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theme/themeOverride2.xml" ContentType="application/vnd.openxmlformats-officedocument.themeOverride+xml"/>
  <Override PartName="/xl/charts/chart14.xml" ContentType="application/vnd.openxmlformats-officedocument.drawingml.chart+xml"/>
  <Override PartName="/xl/theme/themeOverride3.xml" ContentType="application/vnd.openxmlformats-officedocument.themeOverride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charts/chart16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17.xml" ContentType="application/vnd.openxmlformats-officedocument.drawingml.chart+xml"/>
  <Override PartName="/xl/theme/themeOverride6.xml" ContentType="application/vnd.openxmlformats-officedocument.themeOverride+xml"/>
  <Override PartName="/xl/charts/chart18.xml" ContentType="application/vnd.openxmlformats-officedocument.drawingml.chart+xml"/>
  <Override PartName="/xl/theme/themeOverride7.xml" ContentType="application/vnd.openxmlformats-officedocument.themeOverride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2.xml" ContentType="application/vnd.openxmlformats-officedocument.drawingml.chart+xml"/>
  <Override PartName="/xl/theme/themeOverride10.xml" ContentType="application/vnd.openxmlformats-officedocument.themeOverride+xml"/>
  <Override PartName="/xl/charts/chart2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25.xml" ContentType="application/vnd.openxmlformats-officedocument.drawingml.chart+xml"/>
  <Override PartName="/xl/theme/themeOverride1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26.xml" ContentType="application/vnd.openxmlformats-officedocument.drawingml.chart+xml"/>
  <Override PartName="/xl/theme/themeOverride12.xml" ContentType="application/vnd.openxmlformats-officedocument.themeOverride+xml"/>
  <Override PartName="/xl/charts/chart27.xml" ContentType="application/vnd.openxmlformats-officedocument.drawingml.chart+xml"/>
  <Override PartName="/xl/theme/themeOverride13.xml" ContentType="application/vnd.openxmlformats-officedocument.themeOverride+xml"/>
  <Override PartName="/xl/charts/chart28.xml" ContentType="application/vnd.openxmlformats-officedocument.drawingml.chart+xml"/>
  <Override PartName="/xl/theme/themeOverride14.xml" ContentType="application/vnd.openxmlformats-officedocument.themeOverride+xml"/>
  <Override PartName="/xl/charts/chart29.xml" ContentType="application/vnd.openxmlformats-officedocument.drawingml.chart+xml"/>
  <Override PartName="/xl/theme/themeOverride15.xml" ContentType="application/vnd.openxmlformats-officedocument.themeOverride+xml"/>
  <Override PartName="/xl/drawings/drawing12.xml" ContentType="application/vnd.openxmlformats-officedocument.drawing+xml"/>
  <Override PartName="/xl/charts/chart30.xml" ContentType="application/vnd.openxmlformats-officedocument.drawingml.chart+xml"/>
  <Override PartName="/xl/theme/themeOverride16.xml" ContentType="application/vnd.openxmlformats-officedocument.themeOverride+xml"/>
  <Override PartName="/xl/charts/chart3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2.xml" ContentType="application/vnd.openxmlformats-officedocument.drawingml.chart+xml"/>
  <Override PartName="/xl/theme/themeOverride17.xml" ContentType="application/vnd.openxmlformats-officedocument.themeOverride+xml"/>
  <Override PartName="/xl/charts/chart33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34.xml" ContentType="application/vnd.openxmlformats-officedocument.drawingml.chart+xml"/>
  <Override PartName="/xl/theme/themeOverride18.xml" ContentType="application/vnd.openxmlformats-officedocument.themeOverride+xml"/>
  <Override PartName="/xl/charts/chart35.xml" ContentType="application/vnd.openxmlformats-officedocument.drawingml.chart+xml"/>
  <Override PartName="/xl/theme/themeOverride19.xml" ContentType="application/vnd.openxmlformats-officedocument.themeOverride+xml"/>
  <Override PartName="/xl/drawings/drawing16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4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4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3.xml" ContentType="application/vnd.openxmlformats-officedocument.drawingml.chartshapes+xml"/>
  <Override PartName="/xl/charts/chart4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20.xml" ContentType="application/vnd.openxmlformats-officedocument.themeOverride+xml"/>
  <Override PartName="/xl/drawings/drawing24.xml" ContentType="application/vnd.openxmlformats-officedocument.drawing+xml"/>
  <Override PartName="/xl/charts/chart44.xml" ContentType="application/vnd.openxmlformats-officedocument.drawingml.chart+xml"/>
  <Override PartName="/xl/theme/themeOverride21.xml" ContentType="application/vnd.openxmlformats-officedocument.themeOverride+xml"/>
  <Override PartName="/xl/charts/chart45.xml" ContentType="application/vnd.openxmlformats-officedocument.drawingml.chart+xml"/>
  <Override PartName="/xl/theme/themeOverride22.xml" ContentType="application/vnd.openxmlformats-officedocument.themeOverride+xml"/>
  <Override PartName="/xl/drawings/drawing25.xml" ContentType="application/vnd.openxmlformats-officedocument.drawing+xml"/>
  <Override PartName="/xl/charts/chart46.xml" ContentType="application/vnd.openxmlformats-officedocument.drawingml.chart+xml"/>
  <Override PartName="/xl/theme/themeOverride23.xml" ContentType="application/vnd.openxmlformats-officedocument.themeOverride+xml"/>
  <Override PartName="/xl/charts/chart47.xml" ContentType="application/vnd.openxmlformats-officedocument.drawingml.chart+xml"/>
  <Override PartName="/xl/theme/themeOverride24.xml" ContentType="application/vnd.openxmlformats-officedocument.themeOverride+xml"/>
  <Override PartName="/xl/charts/chart48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49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52.xml" ContentType="application/vnd.openxmlformats-officedocument.drawingml.chart+xml"/>
  <Override PartName="/xl/drawings/drawing30.xml" ContentType="application/vnd.openxmlformats-officedocument.drawingml.chartshapes+xml"/>
  <Override PartName="/xl/charts/chart53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54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5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5.xml" ContentType="application/vnd.openxmlformats-officedocument.themeOverride+xml"/>
  <Override PartName="/xl/charts/chart5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+xml"/>
  <Override PartName="/xl/charts/chart57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58.xml" ContentType="application/vnd.openxmlformats-officedocument.drawingml.chart+xml"/>
  <Override PartName="/xl/theme/themeOverride26.xml" ContentType="application/vnd.openxmlformats-officedocument.themeOverride+xml"/>
  <Override PartName="/xl/charts/chart59.xml" ContentType="application/vnd.openxmlformats-officedocument.drawingml.chart+xml"/>
  <Override PartName="/xl/theme/themeOverride27.xml" ContentType="application/vnd.openxmlformats-officedocument.themeOverride+xml"/>
  <Override PartName="/xl/charts/chart60.xml" ContentType="application/vnd.openxmlformats-officedocument.drawingml.chart+xml"/>
  <Override PartName="/xl/theme/themeOverride28.xml" ContentType="application/vnd.openxmlformats-officedocument.themeOverride+xml"/>
  <Override PartName="/xl/charts/chart61.xml" ContentType="application/vnd.openxmlformats-officedocument.drawingml.chart+xml"/>
  <Override PartName="/xl/theme/themeOverride29.xml" ContentType="application/vnd.openxmlformats-officedocument.themeOverride+xml"/>
  <Override PartName="/xl/drawings/drawing40.xml" ContentType="application/vnd.openxmlformats-officedocument.drawing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41.xml" ContentType="application/vnd.openxmlformats-officedocument.drawing+xml"/>
  <Override PartName="/xl/charts/chart64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65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2.xml" ContentType="application/vnd.openxmlformats-officedocument.drawing+xml"/>
  <Override PartName="/xl/charts/chart66.xml" ContentType="application/vnd.openxmlformats-officedocument.drawingml.chart+xml"/>
  <Override PartName="/xl/theme/themeOverride30.xml" ContentType="application/vnd.openxmlformats-officedocument.themeOverride+xml"/>
  <Override PartName="/xl/charts/chart67.xml" ContentType="application/vnd.openxmlformats-officedocument.drawingml.chart+xml"/>
  <Override PartName="/xl/theme/themeOverride31.xml" ContentType="application/vnd.openxmlformats-officedocument.themeOverride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46.xml" ContentType="application/vnd.openxmlformats-officedocument.drawing+xml"/>
  <Override PartName="/xl/comments1.xml" ContentType="application/vnd.openxmlformats-officedocument.spreadsheetml.comments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72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73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74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54.xml" ContentType="application/vnd.openxmlformats-officedocument.drawingml.chartshapes+xml"/>
  <Override PartName="/xl/charts/chart75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76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77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57.xml" ContentType="application/vnd.openxmlformats-officedocument.drawing+xml"/>
  <Override PartName="/xl/charts/chart78.xml" ContentType="application/vnd.openxmlformats-officedocument.drawingml.chart+xml"/>
  <Override PartName="/xl/theme/themeOverride33.xml" ContentType="application/vnd.openxmlformats-officedocument.themeOverride+xml"/>
  <Override PartName="/xl/charts/chart79.xml" ContentType="application/vnd.openxmlformats-officedocument.drawingml.chart+xml"/>
  <Override PartName="/xl/theme/themeOverride34.xml" ContentType="application/vnd.openxmlformats-officedocument.themeOverride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80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81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82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8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60.xml" ContentType="application/vnd.openxmlformats-officedocument.drawing+xml"/>
  <Override PartName="/xl/charts/chart84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85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86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61.xml" ContentType="application/vnd.openxmlformats-officedocument.drawing+xml"/>
  <Override PartName="/xl/charts/chart87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88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89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90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62.xml" ContentType="application/vnd.openxmlformats-officedocument.drawing+xml"/>
  <Override PartName="/xl/charts/chart91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92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93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94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63.xml" ContentType="application/vnd.openxmlformats-officedocument.drawing+xml"/>
  <Override PartName="/xl/charts/chart95.xml" ContentType="application/vnd.openxmlformats-officedocument.drawingml.chart+xml"/>
  <Override PartName="/xl/theme/themeOverride35.xml" ContentType="application/vnd.openxmlformats-officedocument.themeOverride+xml"/>
  <Override PartName="/xl/charts/chart96.xml" ContentType="application/vnd.openxmlformats-officedocument.drawingml.chart+xml"/>
  <Override PartName="/xl/theme/themeOverride36.xml" ContentType="application/vnd.openxmlformats-officedocument.themeOverride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charts/chart97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98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99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100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66.xml" ContentType="application/vnd.openxmlformats-officedocument.drawing+xml"/>
  <Override PartName="/xl/charts/chart101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67.xml" ContentType="application/vnd.openxmlformats-officedocument.drawing+xml"/>
  <Override PartName="/xl/charts/chart102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103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68.xml" ContentType="application/vnd.openxmlformats-officedocument.drawing+xml"/>
  <Override PartName="/xl/comments2.xml" ContentType="application/vnd.openxmlformats-officedocument.spreadsheetml.comments+xml"/>
  <Override PartName="/xl/charts/chart104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harts/chart105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9.xml" ContentType="application/vnd.openxmlformats-officedocument.drawing+xml"/>
  <Override PartName="/xl/charts/chart106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70.xml" ContentType="application/vnd.openxmlformats-officedocument.drawing+xml"/>
  <Override PartName="/xl/charts/chart107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108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71.xml" ContentType="application/vnd.openxmlformats-officedocument.drawing+xml"/>
  <Override PartName="/xl/charts/chart109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110.xml" ContentType="application/vnd.openxmlformats-officedocument.drawingml.chart+xml"/>
  <Override PartName="/xl/theme/themeOverride37.xml" ContentType="application/vnd.openxmlformats-officedocument.themeOverride+xml"/>
  <Override PartName="/xl/charts/chart111.xml" ContentType="application/vnd.openxmlformats-officedocument.drawingml.chart+xml"/>
  <Override PartName="/xl/theme/themeOverride38.xml" ContentType="application/vnd.openxmlformats-officedocument.themeOverride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Tento_zošit"/>
  <bookViews>
    <workbookView xWindow="240" yWindow="105" windowWidth="14805" windowHeight="8010" tabRatio="830"/>
  </bookViews>
  <sheets>
    <sheet name="Obsah" sheetId="73" r:id="rId1"/>
    <sheet name="Graf 1+2" sheetId="142" r:id="rId2"/>
    <sheet name="Tab 1 " sheetId="4" r:id="rId3"/>
    <sheet name="Graf 3+4" sheetId="5" r:id="rId4"/>
    <sheet name="Graf 5+6" sheetId="6" r:id="rId5"/>
    <sheet name="Grafy 7+8" sheetId="7" r:id="rId6"/>
    <sheet name="Graf 9+10" sheetId="144" r:id="rId7"/>
    <sheet name="Graf 11+12 " sheetId="80" r:id="rId8"/>
    <sheet name="Tab 2 " sheetId="11" r:id="rId9"/>
    <sheet name="Graf 13+14 " sheetId="84" r:id="rId10"/>
    <sheet name="Graf 15+16 " sheetId="12" r:id="rId11"/>
    <sheet name="Tab 3 " sheetId="81" r:id="rId12"/>
    <sheet name="Tab 4 " sheetId="82" r:id="rId13"/>
    <sheet name="Graf 17+Tab 5 " sheetId="83" r:id="rId14"/>
    <sheet name="Graf 18+Tab 6 " sheetId="103" r:id="rId15"/>
    <sheet name="Graf 19  + Tab 7 " sheetId="104" r:id="rId16"/>
    <sheet name="Tab 8" sheetId="146" r:id="rId17"/>
    <sheet name="Tab 9" sheetId="16" r:id="rId18"/>
    <sheet name="ESA2010_source" sheetId="110" r:id="rId19"/>
    <sheet name="Graf 20+21 " sheetId="94" r:id="rId20"/>
    <sheet name="Graf 22" sheetId="18" r:id="rId21"/>
    <sheet name="Graf 23+24" sheetId="112" r:id="rId22"/>
    <sheet name="Graf 25" sheetId="20" r:id="rId23"/>
    <sheet name="Tab 10" sheetId="22" r:id="rId24"/>
    <sheet name="Tab 11 " sheetId="28" r:id="rId25"/>
    <sheet name="Graf 26+27; Tab 12" sheetId="29" r:id="rId26"/>
    <sheet name="Graf 28+29" sheetId="156" r:id="rId27"/>
    <sheet name="Tab 13 " sheetId="30" r:id="rId28"/>
    <sheet name="Tab 14 " sheetId="26" r:id="rId29"/>
    <sheet name="Tab 15 " sheetId="24" r:id="rId30"/>
    <sheet name="Tab 16 " sheetId="113" r:id="rId31"/>
    <sheet name="Tab 17 " sheetId="91" r:id="rId32"/>
    <sheet name="Tab 18 " sheetId="25" r:id="rId33"/>
    <sheet name="Graf 30+31 " sheetId="96" r:id="rId34"/>
    <sheet name="Graf 32" sheetId="157" r:id="rId35"/>
    <sheet name="Graf  33 " sheetId="100" r:id="rId36"/>
    <sheet name="Graf 34" sheetId="97" r:id="rId37"/>
    <sheet name="Tab 19" sheetId="114" r:id="rId38"/>
    <sheet name="Tab 20" sheetId="158" r:id="rId39"/>
    <sheet name="Graf 35" sheetId="98" r:id="rId40"/>
    <sheet name="Graf 36 " sheetId="35" r:id="rId41"/>
    <sheet name="Graf 37+38" sheetId="161" r:id="rId42"/>
    <sheet name="Tab 21 " sheetId="36" r:id="rId43"/>
    <sheet name="Tab 22 " sheetId="37" r:id="rId44"/>
    <sheet name="Tab 23 " sheetId="38" r:id="rId45"/>
    <sheet name="Tab 24 " sheetId="39" r:id="rId46"/>
    <sheet name="Graf 39+40" sheetId="141" r:id="rId47"/>
    <sheet name="Graf 41+42" sheetId="151" r:id="rId48"/>
    <sheet name="Graf 43+44" sheetId="147" r:id="rId49"/>
    <sheet name="Tab 25" sheetId="150" r:id="rId50"/>
    <sheet name="Graf 45+46" sheetId="138" r:id="rId51"/>
    <sheet name="Graf 47" sheetId="139" r:id="rId52"/>
    <sheet name="Graf 48+49" sheetId="129" r:id="rId53"/>
    <sheet name="Graf 50+51" sheetId="130" r:id="rId54"/>
    <sheet name="Graf 52+53" sheetId="160" r:id="rId55"/>
    <sheet name="Tab 26" sheetId="135" r:id="rId56"/>
    <sheet name="Graf 54" sheetId="137" r:id="rId57"/>
    <sheet name="Graf 55" sheetId="152" r:id="rId58"/>
    <sheet name="Graf 56+57" sheetId="136" r:id="rId59"/>
    <sheet name="Graf 58" sheetId="153" r:id="rId60"/>
    <sheet name="Tab 27" sheetId="154" r:id="rId61"/>
    <sheet name="Graf 59" sheetId="155" r:id="rId62"/>
    <sheet name="Graf 60+61+62" sheetId="134" r:id="rId63"/>
    <sheet name="DRM" sheetId="143" r:id="rId64"/>
    <sheet name="One-offs EK" sheetId="78" r:id="rId65"/>
  </sheets>
  <externalReferences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</externalReferences>
  <definedNames>
    <definedName name="\A" localSheetId="63">#REF!</definedName>
    <definedName name="\A" localSheetId="1">#REF!</definedName>
    <definedName name="\A" localSheetId="51">#REF!</definedName>
    <definedName name="\A" localSheetId="57">#REF!</definedName>
    <definedName name="\A" localSheetId="59">#REF!</definedName>
    <definedName name="\A" localSheetId="61">#REF!</definedName>
    <definedName name="\A" localSheetId="60">#REF!</definedName>
    <definedName name="\A" localSheetId="16">#REF!</definedName>
    <definedName name="\A">#REF!</definedName>
    <definedName name="\B" localSheetId="63">#REF!</definedName>
    <definedName name="\B" localSheetId="1">#REF!</definedName>
    <definedName name="\B" localSheetId="51">#REF!</definedName>
    <definedName name="\B" localSheetId="57">#REF!</definedName>
    <definedName name="\B" localSheetId="59">#REF!</definedName>
    <definedName name="\B" localSheetId="61">#REF!</definedName>
    <definedName name="\B" localSheetId="60">#REF!</definedName>
    <definedName name="\B" localSheetId="16">#REF!</definedName>
    <definedName name="\B">#REF!</definedName>
    <definedName name="\C" localSheetId="63">#REF!</definedName>
    <definedName name="\C" localSheetId="1">#REF!</definedName>
    <definedName name="\C" localSheetId="51">#REF!</definedName>
    <definedName name="\C" localSheetId="57">#REF!</definedName>
    <definedName name="\C" localSheetId="59">#REF!</definedName>
    <definedName name="\C" localSheetId="61">#REF!</definedName>
    <definedName name="\C" localSheetId="60">#REF!</definedName>
    <definedName name="\C" localSheetId="16">#REF!</definedName>
    <definedName name="\C">#REF!</definedName>
    <definedName name="\D" localSheetId="63">#REF!</definedName>
    <definedName name="\D" localSheetId="1">#REF!</definedName>
    <definedName name="\D" localSheetId="51">#REF!</definedName>
    <definedName name="\D" localSheetId="57">#REF!</definedName>
    <definedName name="\D" localSheetId="59">#REF!</definedName>
    <definedName name="\D" localSheetId="61">#REF!</definedName>
    <definedName name="\D" localSheetId="60">#REF!</definedName>
    <definedName name="\D" localSheetId="16">#REF!</definedName>
    <definedName name="\D">#REF!</definedName>
    <definedName name="\E" localSheetId="63">#REF!</definedName>
    <definedName name="\E" localSheetId="1">#REF!</definedName>
    <definedName name="\E" localSheetId="51">#REF!</definedName>
    <definedName name="\E" localSheetId="57">#REF!</definedName>
    <definedName name="\E" localSheetId="59">#REF!</definedName>
    <definedName name="\E" localSheetId="61">#REF!</definedName>
    <definedName name="\E" localSheetId="60">#REF!</definedName>
    <definedName name="\E" localSheetId="16">#REF!</definedName>
    <definedName name="\E">#REF!</definedName>
    <definedName name="\F" localSheetId="63">#REF!</definedName>
    <definedName name="\F" localSheetId="1">#REF!</definedName>
    <definedName name="\F" localSheetId="51">#REF!</definedName>
    <definedName name="\F" localSheetId="57">#REF!</definedName>
    <definedName name="\F" localSheetId="59">#REF!</definedName>
    <definedName name="\F" localSheetId="61">#REF!</definedName>
    <definedName name="\F" localSheetId="60">#REF!</definedName>
    <definedName name="\F" localSheetId="16">#REF!</definedName>
    <definedName name="\F">#REF!</definedName>
    <definedName name="\G" localSheetId="63">#REF!</definedName>
    <definedName name="\G" localSheetId="1">#REF!</definedName>
    <definedName name="\G" localSheetId="51">#REF!</definedName>
    <definedName name="\G" localSheetId="57">#REF!</definedName>
    <definedName name="\G" localSheetId="59">#REF!</definedName>
    <definedName name="\G" localSheetId="61">#REF!</definedName>
    <definedName name="\G" localSheetId="60">#REF!</definedName>
    <definedName name="\G" localSheetId="16">#REF!</definedName>
    <definedName name="\G">#REF!</definedName>
    <definedName name="\H" localSheetId="63">#REF!</definedName>
    <definedName name="\H" localSheetId="1">#REF!</definedName>
    <definedName name="\H" localSheetId="51">#REF!</definedName>
    <definedName name="\H" localSheetId="57">#REF!</definedName>
    <definedName name="\H" localSheetId="59">#REF!</definedName>
    <definedName name="\H" localSheetId="61">#REF!</definedName>
    <definedName name="\H" localSheetId="60">#REF!</definedName>
    <definedName name="\H" localSheetId="16">#REF!</definedName>
    <definedName name="\H">#REF!</definedName>
    <definedName name="\I" localSheetId="63">#REF!</definedName>
    <definedName name="\I" localSheetId="1">#REF!</definedName>
    <definedName name="\I" localSheetId="51">#REF!</definedName>
    <definedName name="\I" localSheetId="57">#REF!</definedName>
    <definedName name="\I" localSheetId="59">#REF!</definedName>
    <definedName name="\I" localSheetId="61">#REF!</definedName>
    <definedName name="\I" localSheetId="60">#REF!</definedName>
    <definedName name="\I" localSheetId="16">#REF!</definedName>
    <definedName name="\I">#REF!</definedName>
    <definedName name="\J" localSheetId="63">#REF!</definedName>
    <definedName name="\J" localSheetId="1">#REF!</definedName>
    <definedName name="\J" localSheetId="51">#REF!</definedName>
    <definedName name="\J" localSheetId="57">#REF!</definedName>
    <definedName name="\J" localSheetId="59">#REF!</definedName>
    <definedName name="\J" localSheetId="61">#REF!</definedName>
    <definedName name="\J" localSheetId="60">#REF!</definedName>
    <definedName name="\J" localSheetId="16">#REF!</definedName>
    <definedName name="\J">#REF!</definedName>
    <definedName name="\K" localSheetId="63">#REF!</definedName>
    <definedName name="\K" localSheetId="1">#REF!</definedName>
    <definedName name="\K" localSheetId="51">#REF!</definedName>
    <definedName name="\K" localSheetId="57">#REF!</definedName>
    <definedName name="\K" localSheetId="59">#REF!</definedName>
    <definedName name="\K" localSheetId="61">#REF!</definedName>
    <definedName name="\K" localSheetId="60">#REF!</definedName>
    <definedName name="\K" localSheetId="16">#REF!</definedName>
    <definedName name="\K">#REF!</definedName>
    <definedName name="\L" localSheetId="63">#REF!</definedName>
    <definedName name="\L" localSheetId="1">#REF!</definedName>
    <definedName name="\L" localSheetId="51">#REF!</definedName>
    <definedName name="\L" localSheetId="57">#REF!</definedName>
    <definedName name="\L" localSheetId="59">#REF!</definedName>
    <definedName name="\L" localSheetId="61">#REF!</definedName>
    <definedName name="\L" localSheetId="60">#REF!</definedName>
    <definedName name="\L" localSheetId="16">#REF!</definedName>
    <definedName name="\L">#REF!</definedName>
    <definedName name="\M" localSheetId="63">#REF!</definedName>
    <definedName name="\M" localSheetId="1">#REF!</definedName>
    <definedName name="\M" localSheetId="51">#REF!</definedName>
    <definedName name="\M" localSheetId="57">#REF!</definedName>
    <definedName name="\M" localSheetId="59">#REF!</definedName>
    <definedName name="\M" localSheetId="61">#REF!</definedName>
    <definedName name="\M" localSheetId="60">#REF!</definedName>
    <definedName name="\M" localSheetId="16">#REF!</definedName>
    <definedName name="\M">#REF!</definedName>
    <definedName name="\N" localSheetId="63">#REF!</definedName>
    <definedName name="\N" localSheetId="1">#REF!</definedName>
    <definedName name="\N" localSheetId="51">#REF!</definedName>
    <definedName name="\N" localSheetId="57">#REF!</definedName>
    <definedName name="\N" localSheetId="59">#REF!</definedName>
    <definedName name="\N" localSheetId="61">#REF!</definedName>
    <definedName name="\N" localSheetId="60">#REF!</definedName>
    <definedName name="\N" localSheetId="16">#REF!</definedName>
    <definedName name="\N">#REF!</definedName>
    <definedName name="\O" localSheetId="63">#REF!</definedName>
    <definedName name="\O" localSheetId="1">#REF!</definedName>
    <definedName name="\O" localSheetId="51">#REF!</definedName>
    <definedName name="\O" localSheetId="57">#REF!</definedName>
    <definedName name="\O" localSheetId="59">#REF!</definedName>
    <definedName name="\O" localSheetId="61">#REF!</definedName>
    <definedName name="\O" localSheetId="60">#REF!</definedName>
    <definedName name="\O" localSheetId="16">#REF!</definedName>
    <definedName name="\O">#REF!</definedName>
    <definedName name="\P" localSheetId="63">#REF!</definedName>
    <definedName name="\P" localSheetId="1">#REF!</definedName>
    <definedName name="\P" localSheetId="51">#REF!</definedName>
    <definedName name="\P" localSheetId="57">#REF!</definedName>
    <definedName name="\P" localSheetId="59">#REF!</definedName>
    <definedName name="\P" localSheetId="61">#REF!</definedName>
    <definedName name="\P" localSheetId="60">#REF!</definedName>
    <definedName name="\P" localSheetId="16">#REF!</definedName>
    <definedName name="\P">#REF!</definedName>
    <definedName name="\Q" localSheetId="63">#REF!</definedName>
    <definedName name="\Q" localSheetId="1">#REF!</definedName>
    <definedName name="\Q" localSheetId="51">#REF!</definedName>
    <definedName name="\Q" localSheetId="57">#REF!</definedName>
    <definedName name="\Q" localSheetId="59">#REF!</definedName>
    <definedName name="\Q" localSheetId="61">#REF!</definedName>
    <definedName name="\Q" localSheetId="60">#REF!</definedName>
    <definedName name="\Q" localSheetId="16">#REF!</definedName>
    <definedName name="\Q">#REF!</definedName>
    <definedName name="\R" localSheetId="63">#REF!</definedName>
    <definedName name="\R" localSheetId="1">#REF!</definedName>
    <definedName name="\R" localSheetId="51">#REF!</definedName>
    <definedName name="\R" localSheetId="57">#REF!</definedName>
    <definedName name="\R" localSheetId="59">#REF!</definedName>
    <definedName name="\R" localSheetId="61">#REF!</definedName>
    <definedName name="\R" localSheetId="60">#REF!</definedName>
    <definedName name="\R" localSheetId="16">#REF!</definedName>
    <definedName name="\R">#REF!</definedName>
    <definedName name="\S" localSheetId="63">#REF!</definedName>
    <definedName name="\S" localSheetId="1">#REF!</definedName>
    <definedName name="\S" localSheetId="51">#REF!</definedName>
    <definedName name="\S" localSheetId="57">#REF!</definedName>
    <definedName name="\S" localSheetId="59">#REF!</definedName>
    <definedName name="\S" localSheetId="61">#REF!</definedName>
    <definedName name="\S" localSheetId="60">#REF!</definedName>
    <definedName name="\S" localSheetId="16">#REF!</definedName>
    <definedName name="\S">#REF!</definedName>
    <definedName name="\T" localSheetId="63">#REF!</definedName>
    <definedName name="\T" localSheetId="1">#REF!</definedName>
    <definedName name="\T" localSheetId="51">#REF!</definedName>
    <definedName name="\T" localSheetId="57">#REF!</definedName>
    <definedName name="\T" localSheetId="59">#REF!</definedName>
    <definedName name="\T" localSheetId="61">#REF!</definedName>
    <definedName name="\T" localSheetId="60">#REF!</definedName>
    <definedName name="\T" localSheetId="16">#REF!</definedName>
    <definedName name="\T">#REF!</definedName>
    <definedName name="\U" localSheetId="63">#REF!</definedName>
    <definedName name="\U" localSheetId="1">#REF!</definedName>
    <definedName name="\U" localSheetId="51">#REF!</definedName>
    <definedName name="\U" localSheetId="57">#REF!</definedName>
    <definedName name="\U" localSheetId="59">#REF!</definedName>
    <definedName name="\U" localSheetId="61">#REF!</definedName>
    <definedName name="\U" localSheetId="60">#REF!</definedName>
    <definedName name="\U" localSheetId="16">#REF!</definedName>
    <definedName name="\U">#REF!</definedName>
    <definedName name="\V" localSheetId="63">#REF!</definedName>
    <definedName name="\V" localSheetId="1">#REF!</definedName>
    <definedName name="\V" localSheetId="51">#REF!</definedName>
    <definedName name="\V" localSheetId="57">#REF!</definedName>
    <definedName name="\V" localSheetId="59">#REF!</definedName>
    <definedName name="\V" localSheetId="61">#REF!</definedName>
    <definedName name="\V" localSheetId="60">#REF!</definedName>
    <definedName name="\V" localSheetId="16">#REF!</definedName>
    <definedName name="\V">#REF!</definedName>
    <definedName name="\W" localSheetId="63">#REF!</definedName>
    <definedName name="\W" localSheetId="1">#REF!</definedName>
    <definedName name="\W" localSheetId="51">#REF!</definedName>
    <definedName name="\W" localSheetId="57">#REF!</definedName>
    <definedName name="\W" localSheetId="59">#REF!</definedName>
    <definedName name="\W" localSheetId="61">#REF!</definedName>
    <definedName name="\W" localSheetId="60">#REF!</definedName>
    <definedName name="\W" localSheetId="16">#REF!</definedName>
    <definedName name="\W">#REF!</definedName>
    <definedName name="\X" localSheetId="63">#REF!</definedName>
    <definedName name="\X" localSheetId="1">#REF!</definedName>
    <definedName name="\X" localSheetId="51">#REF!</definedName>
    <definedName name="\X" localSheetId="57">#REF!</definedName>
    <definedName name="\X" localSheetId="59">#REF!</definedName>
    <definedName name="\X" localSheetId="61">#REF!</definedName>
    <definedName name="\X" localSheetId="60">#REF!</definedName>
    <definedName name="\X" localSheetId="16">#REF!</definedName>
    <definedName name="\X">#REF!</definedName>
    <definedName name="\Y" localSheetId="63">#REF!</definedName>
    <definedName name="\Y" localSheetId="1">#REF!</definedName>
    <definedName name="\Y" localSheetId="51">#REF!</definedName>
    <definedName name="\Y" localSheetId="57">#REF!</definedName>
    <definedName name="\Y" localSheetId="59">#REF!</definedName>
    <definedName name="\Y" localSheetId="61">#REF!</definedName>
    <definedName name="\Y" localSheetId="60">#REF!</definedName>
    <definedName name="\Y" localSheetId="16">#REF!</definedName>
    <definedName name="\Y">#REF!</definedName>
    <definedName name="\Z" localSheetId="63">#REF!</definedName>
    <definedName name="\Z" localSheetId="1">#REF!</definedName>
    <definedName name="\Z" localSheetId="51">#REF!</definedName>
    <definedName name="\Z" localSheetId="57">#REF!</definedName>
    <definedName name="\Z" localSheetId="59">#REF!</definedName>
    <definedName name="\Z" localSheetId="61">#REF!</definedName>
    <definedName name="\Z" localSheetId="60">#REF!</definedName>
    <definedName name="\Z" localSheetId="16">#REF!</definedName>
    <definedName name="\Z">#REF!</definedName>
    <definedName name="_____BOP2" localSheetId="63">[1]BoP!#REF!</definedName>
    <definedName name="_____BOP2" localSheetId="57">[1]BoP!#REF!</definedName>
    <definedName name="_____BOP2" localSheetId="59">[1]BoP!#REF!</definedName>
    <definedName name="_____BOP2" localSheetId="61">[1]BoP!#REF!</definedName>
    <definedName name="_____BOP2" localSheetId="60">[1]BoP!#REF!</definedName>
    <definedName name="_____BOP2" localSheetId="16">[1]BoP!#REF!</definedName>
    <definedName name="_____BOP2">[1]BoP!#REF!</definedName>
    <definedName name="_____dat1" localSheetId="63">'[2]work Q real'!#REF!</definedName>
    <definedName name="_____dat1" localSheetId="57">'[2]work Q real'!#REF!</definedName>
    <definedName name="_____dat1" localSheetId="59">'[2]work Q real'!#REF!</definedName>
    <definedName name="_____dat1" localSheetId="61">'[2]work Q real'!#REF!</definedName>
    <definedName name="_____dat1" localSheetId="60">'[2]work Q real'!#REF!</definedName>
    <definedName name="_____dat1" localSheetId="16">'[2]work Q real'!#REF!</definedName>
    <definedName name="_____dat1">'[2]work Q real'!#REF!</definedName>
    <definedName name="_____EXP5" localSheetId="63">#REF!</definedName>
    <definedName name="_____EXP5" localSheetId="57">#REF!</definedName>
    <definedName name="_____EXP5" localSheetId="59">#REF!</definedName>
    <definedName name="_____EXP5" localSheetId="61">#REF!</definedName>
    <definedName name="_____EXP5" localSheetId="60">#REF!</definedName>
    <definedName name="_____EXP5" localSheetId="16">#REF!</definedName>
    <definedName name="_____EXP5">#REF!</definedName>
    <definedName name="_____EXP6" localSheetId="63">#REF!</definedName>
    <definedName name="_____EXP6" localSheetId="57">#REF!</definedName>
    <definedName name="_____EXP6" localSheetId="59">#REF!</definedName>
    <definedName name="_____EXP6" localSheetId="61">#REF!</definedName>
    <definedName name="_____EXP6" localSheetId="60">#REF!</definedName>
    <definedName name="_____EXP6" localSheetId="16">#REF!</definedName>
    <definedName name="_____EXP6">#REF!</definedName>
    <definedName name="_____EXP7" localSheetId="63">#REF!</definedName>
    <definedName name="_____EXP7" localSheetId="57">#REF!</definedName>
    <definedName name="_____EXP7" localSheetId="59">#REF!</definedName>
    <definedName name="_____EXP7" localSheetId="61">#REF!</definedName>
    <definedName name="_____EXP7" localSheetId="60">#REF!</definedName>
    <definedName name="_____EXP7" localSheetId="16">#REF!</definedName>
    <definedName name="_____EXP7">#REF!</definedName>
    <definedName name="_____EXP9" localSheetId="63">#REF!</definedName>
    <definedName name="_____EXP9" localSheetId="57">#REF!</definedName>
    <definedName name="_____EXP9" localSheetId="59">#REF!</definedName>
    <definedName name="_____EXP9" localSheetId="61">#REF!</definedName>
    <definedName name="_____EXP9" localSheetId="60">#REF!</definedName>
    <definedName name="_____EXP9" localSheetId="16">#REF!</definedName>
    <definedName name="_____EXP9">#REF!</definedName>
    <definedName name="_____IMP2" localSheetId="63">#REF!</definedName>
    <definedName name="_____IMP2" localSheetId="57">#REF!</definedName>
    <definedName name="_____IMP2" localSheetId="59">#REF!</definedName>
    <definedName name="_____IMP2" localSheetId="61">#REF!</definedName>
    <definedName name="_____IMP2" localSheetId="60">#REF!</definedName>
    <definedName name="_____IMP2" localSheetId="16">#REF!</definedName>
    <definedName name="_____IMP2">#REF!</definedName>
    <definedName name="_____IMP4" localSheetId="63">#REF!</definedName>
    <definedName name="_____IMP4" localSheetId="57">#REF!</definedName>
    <definedName name="_____IMP4" localSheetId="59">#REF!</definedName>
    <definedName name="_____IMP4" localSheetId="61">#REF!</definedName>
    <definedName name="_____IMP4" localSheetId="60">#REF!</definedName>
    <definedName name="_____IMP4" localSheetId="16">#REF!</definedName>
    <definedName name="_____IMP4">#REF!</definedName>
    <definedName name="_____IMP6" localSheetId="63">#REF!</definedName>
    <definedName name="_____IMP6" localSheetId="57">#REF!</definedName>
    <definedName name="_____IMP6" localSheetId="59">#REF!</definedName>
    <definedName name="_____IMP6" localSheetId="61">#REF!</definedName>
    <definedName name="_____IMP6" localSheetId="60">#REF!</definedName>
    <definedName name="_____IMP6" localSheetId="16">#REF!</definedName>
    <definedName name="_____IMP6">#REF!</definedName>
    <definedName name="_____IMP7" localSheetId="63">#REF!</definedName>
    <definedName name="_____IMP7" localSheetId="57">#REF!</definedName>
    <definedName name="_____IMP7" localSheetId="59">#REF!</definedName>
    <definedName name="_____IMP7" localSheetId="61">#REF!</definedName>
    <definedName name="_____IMP7" localSheetId="60">#REF!</definedName>
    <definedName name="_____IMP7" localSheetId="16">#REF!</definedName>
    <definedName name="_____IMP7">#REF!</definedName>
    <definedName name="_____MTS2" localSheetId="63">'[3]Annual Tables'!#REF!</definedName>
    <definedName name="_____MTS2" localSheetId="57">'[3]Annual Tables'!#REF!</definedName>
    <definedName name="_____MTS2" localSheetId="59">'[3]Annual Tables'!#REF!</definedName>
    <definedName name="_____MTS2" localSheetId="61">'[3]Annual Tables'!#REF!</definedName>
    <definedName name="_____MTS2" localSheetId="60">'[3]Annual Tables'!#REF!</definedName>
    <definedName name="_____MTS2" localSheetId="16">'[3]Annual Tables'!#REF!</definedName>
    <definedName name="_____MTS2">'[3]Annual Tables'!#REF!</definedName>
    <definedName name="_____PAG2" localSheetId="63">[3]Index!#REF!</definedName>
    <definedName name="_____PAG2" localSheetId="57">[3]Index!#REF!</definedName>
    <definedName name="_____PAG2" localSheetId="59">[3]Index!#REF!</definedName>
    <definedName name="_____PAG2" localSheetId="61">[3]Index!#REF!</definedName>
    <definedName name="_____PAG2" localSheetId="60">[3]Index!#REF!</definedName>
    <definedName name="_____PAG2" localSheetId="16">[3]Index!#REF!</definedName>
    <definedName name="_____PAG2">[3]Index!#REF!</definedName>
    <definedName name="_____PAG3" localSheetId="63">[3]Index!#REF!</definedName>
    <definedName name="_____PAG3" localSheetId="57">[3]Index!#REF!</definedName>
    <definedName name="_____PAG3" localSheetId="59">[3]Index!#REF!</definedName>
    <definedName name="_____PAG3" localSheetId="61">[3]Index!#REF!</definedName>
    <definedName name="_____PAG3" localSheetId="60">[3]Index!#REF!</definedName>
    <definedName name="_____PAG3" localSheetId="16">[3]Index!#REF!</definedName>
    <definedName name="_____PAG3">[3]Index!#REF!</definedName>
    <definedName name="_____PAG4" localSheetId="63">[3]Index!#REF!</definedName>
    <definedName name="_____PAG4" localSheetId="57">[3]Index!#REF!</definedName>
    <definedName name="_____PAG4" localSheetId="59">[3]Index!#REF!</definedName>
    <definedName name="_____PAG4" localSheetId="61">[3]Index!#REF!</definedName>
    <definedName name="_____PAG4" localSheetId="60">[3]Index!#REF!</definedName>
    <definedName name="_____PAG4" localSheetId="16">[3]Index!#REF!</definedName>
    <definedName name="_____PAG4">[3]Index!#REF!</definedName>
    <definedName name="_____PAG5" localSheetId="63">[3]Index!#REF!</definedName>
    <definedName name="_____PAG5" localSheetId="57">[3]Index!#REF!</definedName>
    <definedName name="_____PAG5" localSheetId="59">[3]Index!#REF!</definedName>
    <definedName name="_____PAG5" localSheetId="61">[3]Index!#REF!</definedName>
    <definedName name="_____PAG5" localSheetId="60">[3]Index!#REF!</definedName>
    <definedName name="_____PAG5" localSheetId="16">[3]Index!#REF!</definedName>
    <definedName name="_____PAG5">[3]Index!#REF!</definedName>
    <definedName name="_____PAG6" localSheetId="63">[3]Index!#REF!</definedName>
    <definedName name="_____PAG6" localSheetId="57">[3]Index!#REF!</definedName>
    <definedName name="_____PAG6" localSheetId="59">[3]Index!#REF!</definedName>
    <definedName name="_____PAG6" localSheetId="61">[3]Index!#REF!</definedName>
    <definedName name="_____PAG6" localSheetId="60">[3]Index!#REF!</definedName>
    <definedName name="_____PAG6" localSheetId="16">[3]Index!#REF!</definedName>
    <definedName name="_____PAG6">[3]Index!#REF!</definedName>
    <definedName name="_____RES2" localSheetId="63">[1]RES!#REF!</definedName>
    <definedName name="_____RES2" localSheetId="57">[1]RES!#REF!</definedName>
    <definedName name="_____RES2" localSheetId="59">[1]RES!#REF!</definedName>
    <definedName name="_____RES2" localSheetId="61">[1]RES!#REF!</definedName>
    <definedName name="_____RES2" localSheetId="60">[1]RES!#REF!</definedName>
    <definedName name="_____RES2" localSheetId="16">[1]RES!#REF!</definedName>
    <definedName name="_____RES2">[1]RES!#REF!</definedName>
    <definedName name="_____TAB7" localSheetId="63">#REF!</definedName>
    <definedName name="_____TAB7" localSheetId="57">#REF!</definedName>
    <definedName name="_____TAB7" localSheetId="59">#REF!</definedName>
    <definedName name="_____TAB7" localSheetId="61">#REF!</definedName>
    <definedName name="_____TAB7" localSheetId="60">#REF!</definedName>
    <definedName name="_____TAB7" localSheetId="16">#REF!</definedName>
    <definedName name="_____TAB7">#REF!</definedName>
    <definedName name="____BOP1" localSheetId="63">#REF!</definedName>
    <definedName name="____BOP1" localSheetId="57">#REF!</definedName>
    <definedName name="____BOP1" localSheetId="59">#REF!</definedName>
    <definedName name="____BOP1" localSheetId="61">#REF!</definedName>
    <definedName name="____BOP1" localSheetId="60">#REF!</definedName>
    <definedName name="____BOP1" localSheetId="16">#REF!</definedName>
    <definedName name="____BOP1">#REF!</definedName>
    <definedName name="____BOP2" localSheetId="63">[1]BoP!#REF!</definedName>
    <definedName name="____BOP2" localSheetId="57">[1]BoP!#REF!</definedName>
    <definedName name="____BOP2" localSheetId="59">[1]BoP!#REF!</definedName>
    <definedName name="____BOP2" localSheetId="61">[1]BoP!#REF!</definedName>
    <definedName name="____BOP2" localSheetId="60">[1]BoP!#REF!</definedName>
    <definedName name="____BOP2" localSheetId="16">[1]BoP!#REF!</definedName>
    <definedName name="____BOP2">[1]BoP!#REF!</definedName>
    <definedName name="____dat1" localSheetId="63">'[2]work Q real'!#REF!</definedName>
    <definedName name="____dat1" localSheetId="57">'[2]work Q real'!#REF!</definedName>
    <definedName name="____dat1" localSheetId="59">'[2]work Q real'!#REF!</definedName>
    <definedName name="____dat1" localSheetId="61">'[2]work Q real'!#REF!</definedName>
    <definedName name="____dat1" localSheetId="60">'[2]work Q real'!#REF!</definedName>
    <definedName name="____dat1" localSheetId="16">'[2]work Q real'!#REF!</definedName>
    <definedName name="____dat1">'[2]work Q real'!#REF!</definedName>
    <definedName name="____dat2" localSheetId="63">#REF!</definedName>
    <definedName name="____dat2" localSheetId="57">#REF!</definedName>
    <definedName name="____dat2" localSheetId="59">#REF!</definedName>
    <definedName name="____dat2" localSheetId="61">#REF!</definedName>
    <definedName name="____dat2" localSheetId="60">#REF!</definedName>
    <definedName name="____dat2" localSheetId="16">#REF!</definedName>
    <definedName name="____dat2">#REF!</definedName>
    <definedName name="____EXP5" localSheetId="63">#REF!</definedName>
    <definedName name="____EXP5" localSheetId="57">#REF!</definedName>
    <definedName name="____EXP5" localSheetId="59">#REF!</definedName>
    <definedName name="____EXP5" localSheetId="61">#REF!</definedName>
    <definedName name="____EXP5" localSheetId="60">#REF!</definedName>
    <definedName name="____EXP5" localSheetId="16">#REF!</definedName>
    <definedName name="____EXP5">#REF!</definedName>
    <definedName name="____EXP6" localSheetId="63">#REF!</definedName>
    <definedName name="____EXP6" localSheetId="57">#REF!</definedName>
    <definedName name="____EXP6" localSheetId="59">#REF!</definedName>
    <definedName name="____EXP6" localSheetId="61">#REF!</definedName>
    <definedName name="____EXP6" localSheetId="60">#REF!</definedName>
    <definedName name="____EXP6" localSheetId="16">#REF!</definedName>
    <definedName name="____EXP6">#REF!</definedName>
    <definedName name="____EXP7" localSheetId="63">#REF!</definedName>
    <definedName name="____EXP7" localSheetId="57">#REF!</definedName>
    <definedName name="____EXP7" localSheetId="59">#REF!</definedName>
    <definedName name="____EXP7" localSheetId="61">#REF!</definedName>
    <definedName name="____EXP7" localSheetId="60">#REF!</definedName>
    <definedName name="____EXP7" localSheetId="16">#REF!</definedName>
    <definedName name="____EXP7">#REF!</definedName>
    <definedName name="____EXP9" localSheetId="63">#REF!</definedName>
    <definedName name="____EXP9" localSheetId="57">#REF!</definedName>
    <definedName name="____EXP9" localSheetId="59">#REF!</definedName>
    <definedName name="____EXP9" localSheetId="61">#REF!</definedName>
    <definedName name="____EXP9" localSheetId="60">#REF!</definedName>
    <definedName name="____EXP9" localSheetId="16">#REF!</definedName>
    <definedName name="____EXP9">#REF!</definedName>
    <definedName name="____IMP10" localSheetId="63">#REF!</definedName>
    <definedName name="____IMP10" localSheetId="57">#REF!</definedName>
    <definedName name="____IMP10" localSheetId="59">#REF!</definedName>
    <definedName name="____IMP10" localSheetId="61">#REF!</definedName>
    <definedName name="____IMP10" localSheetId="60">#REF!</definedName>
    <definedName name="____IMP10" localSheetId="16">#REF!</definedName>
    <definedName name="____IMP10">#REF!</definedName>
    <definedName name="____IMP2" localSheetId="63">#REF!</definedName>
    <definedName name="____IMP2" localSheetId="57">#REF!</definedName>
    <definedName name="____IMP2" localSheetId="59">#REF!</definedName>
    <definedName name="____IMP2" localSheetId="61">#REF!</definedName>
    <definedName name="____IMP2" localSheetId="60">#REF!</definedName>
    <definedName name="____IMP2" localSheetId="16">#REF!</definedName>
    <definedName name="____IMP2">#REF!</definedName>
    <definedName name="____IMP4" localSheetId="63">#REF!</definedName>
    <definedName name="____IMP4" localSheetId="57">#REF!</definedName>
    <definedName name="____IMP4" localSheetId="59">#REF!</definedName>
    <definedName name="____IMP4" localSheetId="61">#REF!</definedName>
    <definedName name="____IMP4" localSheetId="60">#REF!</definedName>
    <definedName name="____IMP4" localSheetId="16">#REF!</definedName>
    <definedName name="____IMP4">#REF!</definedName>
    <definedName name="____IMP6" localSheetId="63">#REF!</definedName>
    <definedName name="____IMP6" localSheetId="57">#REF!</definedName>
    <definedName name="____IMP6" localSheetId="59">#REF!</definedName>
    <definedName name="____IMP6" localSheetId="61">#REF!</definedName>
    <definedName name="____IMP6" localSheetId="60">#REF!</definedName>
    <definedName name="____IMP6" localSheetId="16">#REF!</definedName>
    <definedName name="____IMP6">#REF!</definedName>
    <definedName name="____IMP7" localSheetId="63">#REF!</definedName>
    <definedName name="____IMP7" localSheetId="57">#REF!</definedName>
    <definedName name="____IMP7" localSheetId="59">#REF!</definedName>
    <definedName name="____IMP7" localSheetId="61">#REF!</definedName>
    <definedName name="____IMP7" localSheetId="60">#REF!</definedName>
    <definedName name="____IMP7" localSheetId="16">#REF!</definedName>
    <definedName name="____IMP7">#REF!</definedName>
    <definedName name="____IMP8" localSheetId="63">#REF!</definedName>
    <definedName name="____IMP8" localSheetId="57">#REF!</definedName>
    <definedName name="____IMP8" localSheetId="59">#REF!</definedName>
    <definedName name="____IMP8" localSheetId="61">#REF!</definedName>
    <definedName name="____IMP8" localSheetId="60">#REF!</definedName>
    <definedName name="____IMP8" localSheetId="16">#REF!</definedName>
    <definedName name="____IMP8">#REF!</definedName>
    <definedName name="____MTS2" localSheetId="63">'[3]Annual Tables'!#REF!</definedName>
    <definedName name="____MTS2" localSheetId="57">'[3]Annual Tables'!#REF!</definedName>
    <definedName name="____MTS2" localSheetId="59">'[3]Annual Tables'!#REF!</definedName>
    <definedName name="____MTS2" localSheetId="61">'[3]Annual Tables'!#REF!</definedName>
    <definedName name="____MTS2" localSheetId="60">'[3]Annual Tables'!#REF!</definedName>
    <definedName name="____MTS2" localSheetId="16">'[3]Annual Tables'!#REF!</definedName>
    <definedName name="____MTS2">'[3]Annual Tables'!#REF!</definedName>
    <definedName name="____OUT1" localSheetId="63">#REF!</definedName>
    <definedName name="____OUT1" localSheetId="57">#REF!</definedName>
    <definedName name="____OUT1" localSheetId="59">#REF!</definedName>
    <definedName name="____OUT1" localSheetId="61">#REF!</definedName>
    <definedName name="____OUT1" localSheetId="60">#REF!</definedName>
    <definedName name="____OUT1" localSheetId="16">#REF!</definedName>
    <definedName name="____OUT1">#REF!</definedName>
    <definedName name="____OUT2" localSheetId="63">#REF!</definedName>
    <definedName name="____OUT2" localSheetId="57">#REF!</definedName>
    <definedName name="____OUT2" localSheetId="59">#REF!</definedName>
    <definedName name="____OUT2" localSheetId="61">#REF!</definedName>
    <definedName name="____OUT2" localSheetId="60">#REF!</definedName>
    <definedName name="____OUT2" localSheetId="16">#REF!</definedName>
    <definedName name="____OUT2">#REF!</definedName>
    <definedName name="____PAG2" localSheetId="63">[3]Index!#REF!</definedName>
    <definedName name="____PAG2" localSheetId="57">[3]Index!#REF!</definedName>
    <definedName name="____PAG2" localSheetId="59">[3]Index!#REF!</definedName>
    <definedName name="____PAG2" localSheetId="61">[3]Index!#REF!</definedName>
    <definedName name="____PAG2" localSheetId="60">[3]Index!#REF!</definedName>
    <definedName name="____PAG2" localSheetId="16">[3]Index!#REF!</definedName>
    <definedName name="____PAG2">[3]Index!#REF!</definedName>
    <definedName name="____PAG3" localSheetId="63">[3]Index!#REF!</definedName>
    <definedName name="____PAG3" localSheetId="57">[3]Index!#REF!</definedName>
    <definedName name="____PAG3" localSheetId="59">[3]Index!#REF!</definedName>
    <definedName name="____PAG3" localSheetId="61">[3]Index!#REF!</definedName>
    <definedName name="____PAG3" localSheetId="60">[3]Index!#REF!</definedName>
    <definedName name="____PAG3" localSheetId="16">[3]Index!#REF!</definedName>
    <definedName name="____PAG3">[3]Index!#REF!</definedName>
    <definedName name="____PAG4" localSheetId="63">[3]Index!#REF!</definedName>
    <definedName name="____PAG4" localSheetId="57">[3]Index!#REF!</definedName>
    <definedName name="____PAG4" localSheetId="59">[3]Index!#REF!</definedName>
    <definedName name="____PAG4" localSheetId="61">[3]Index!#REF!</definedName>
    <definedName name="____PAG4" localSheetId="60">[3]Index!#REF!</definedName>
    <definedName name="____PAG4" localSheetId="16">[3]Index!#REF!</definedName>
    <definedName name="____PAG4">[3]Index!#REF!</definedName>
    <definedName name="____PAG5" localSheetId="63">[3]Index!#REF!</definedName>
    <definedName name="____PAG5" localSheetId="57">[3]Index!#REF!</definedName>
    <definedName name="____PAG5" localSheetId="59">[3]Index!#REF!</definedName>
    <definedName name="____PAG5" localSheetId="61">[3]Index!#REF!</definedName>
    <definedName name="____PAG5" localSheetId="60">[3]Index!#REF!</definedName>
    <definedName name="____PAG5" localSheetId="16">[3]Index!#REF!</definedName>
    <definedName name="____PAG5">[3]Index!#REF!</definedName>
    <definedName name="____PAG6" localSheetId="63">[3]Index!#REF!</definedName>
    <definedName name="____PAG6" localSheetId="57">[3]Index!#REF!</definedName>
    <definedName name="____PAG6" localSheetId="59">[3]Index!#REF!</definedName>
    <definedName name="____PAG6" localSheetId="61">[3]Index!#REF!</definedName>
    <definedName name="____PAG6" localSheetId="60">[3]Index!#REF!</definedName>
    <definedName name="____PAG6" localSheetId="16">[3]Index!#REF!</definedName>
    <definedName name="____PAG6">[3]Index!#REF!</definedName>
    <definedName name="____PAG7" localSheetId="63">#REF!</definedName>
    <definedName name="____PAG7" localSheetId="57">#REF!</definedName>
    <definedName name="____PAG7" localSheetId="59">#REF!</definedName>
    <definedName name="____PAG7" localSheetId="61">#REF!</definedName>
    <definedName name="____PAG7" localSheetId="60">#REF!</definedName>
    <definedName name="____PAG7" localSheetId="16">#REF!</definedName>
    <definedName name="____PAG7">#REF!</definedName>
    <definedName name="____pro2001">[4]pro2001!$A$1:$B$72</definedName>
    <definedName name="____RES2" localSheetId="63">[1]RES!#REF!</definedName>
    <definedName name="____RES2" localSheetId="57">[1]RES!#REF!</definedName>
    <definedName name="____RES2" localSheetId="59">[1]RES!#REF!</definedName>
    <definedName name="____RES2" localSheetId="61">[1]RES!#REF!</definedName>
    <definedName name="____RES2" localSheetId="60">[1]RES!#REF!</definedName>
    <definedName name="____RES2" localSheetId="16">[1]RES!#REF!</definedName>
    <definedName name="____RES2">[1]RES!#REF!</definedName>
    <definedName name="____TAB1" localSheetId="63">#REF!</definedName>
    <definedName name="____TAB1" localSheetId="57">#REF!</definedName>
    <definedName name="____TAB1" localSheetId="59">#REF!</definedName>
    <definedName name="____TAB1" localSheetId="61">#REF!</definedName>
    <definedName name="____TAB1" localSheetId="60">#REF!</definedName>
    <definedName name="____TAB1" localSheetId="16">#REF!</definedName>
    <definedName name="____TAB1">#REF!</definedName>
    <definedName name="____TAB10" localSheetId="63">#REF!</definedName>
    <definedName name="____TAB10" localSheetId="57">#REF!</definedName>
    <definedName name="____TAB10" localSheetId="59">#REF!</definedName>
    <definedName name="____TAB10" localSheetId="61">#REF!</definedName>
    <definedName name="____TAB10" localSheetId="60">#REF!</definedName>
    <definedName name="____TAB10" localSheetId="16">#REF!</definedName>
    <definedName name="____TAB10">#REF!</definedName>
    <definedName name="____TAB12" localSheetId="63">#REF!</definedName>
    <definedName name="____TAB12" localSheetId="57">#REF!</definedName>
    <definedName name="____TAB12" localSheetId="59">#REF!</definedName>
    <definedName name="____TAB12" localSheetId="61">#REF!</definedName>
    <definedName name="____TAB12" localSheetId="60">#REF!</definedName>
    <definedName name="____TAB12" localSheetId="16">#REF!</definedName>
    <definedName name="____TAB12">#REF!</definedName>
    <definedName name="____Tab19" localSheetId="63">#REF!</definedName>
    <definedName name="____Tab19" localSheetId="57">#REF!</definedName>
    <definedName name="____Tab19" localSheetId="59">#REF!</definedName>
    <definedName name="____Tab19" localSheetId="61">#REF!</definedName>
    <definedName name="____Tab19" localSheetId="60">#REF!</definedName>
    <definedName name="____Tab19" localSheetId="16">#REF!</definedName>
    <definedName name="____Tab19">#REF!</definedName>
    <definedName name="____TAB2" localSheetId="63">#REF!</definedName>
    <definedName name="____TAB2" localSheetId="57">#REF!</definedName>
    <definedName name="____TAB2" localSheetId="59">#REF!</definedName>
    <definedName name="____TAB2" localSheetId="61">#REF!</definedName>
    <definedName name="____TAB2" localSheetId="60">#REF!</definedName>
    <definedName name="____TAB2" localSheetId="16">#REF!</definedName>
    <definedName name="____TAB2">#REF!</definedName>
    <definedName name="____Tab20" localSheetId="63">#REF!</definedName>
    <definedName name="____Tab20" localSheetId="57">#REF!</definedName>
    <definedName name="____Tab20" localSheetId="59">#REF!</definedName>
    <definedName name="____Tab20" localSheetId="61">#REF!</definedName>
    <definedName name="____Tab20" localSheetId="60">#REF!</definedName>
    <definedName name="____Tab20" localSheetId="16">#REF!</definedName>
    <definedName name="____Tab20">#REF!</definedName>
    <definedName name="____Tab21" localSheetId="63">#REF!</definedName>
    <definedName name="____Tab21" localSheetId="57">#REF!</definedName>
    <definedName name="____Tab21" localSheetId="59">#REF!</definedName>
    <definedName name="____Tab21" localSheetId="61">#REF!</definedName>
    <definedName name="____Tab21" localSheetId="60">#REF!</definedName>
    <definedName name="____Tab21" localSheetId="16">#REF!</definedName>
    <definedName name="____Tab21">#REF!</definedName>
    <definedName name="____Tab22" localSheetId="63">#REF!</definedName>
    <definedName name="____Tab22" localSheetId="57">#REF!</definedName>
    <definedName name="____Tab22" localSheetId="59">#REF!</definedName>
    <definedName name="____Tab22" localSheetId="61">#REF!</definedName>
    <definedName name="____Tab22" localSheetId="60">#REF!</definedName>
    <definedName name="____Tab22" localSheetId="16">#REF!</definedName>
    <definedName name="____Tab22">#REF!</definedName>
    <definedName name="____Tab23" localSheetId="63">#REF!</definedName>
    <definedName name="____Tab23" localSheetId="57">#REF!</definedName>
    <definedName name="____Tab23" localSheetId="59">#REF!</definedName>
    <definedName name="____Tab23" localSheetId="61">#REF!</definedName>
    <definedName name="____Tab23" localSheetId="60">#REF!</definedName>
    <definedName name="____Tab23" localSheetId="16">#REF!</definedName>
    <definedName name="____Tab23">#REF!</definedName>
    <definedName name="____Tab24" localSheetId="63">#REF!</definedName>
    <definedName name="____Tab24" localSheetId="57">#REF!</definedName>
    <definedName name="____Tab24" localSheetId="59">#REF!</definedName>
    <definedName name="____Tab24" localSheetId="61">#REF!</definedName>
    <definedName name="____Tab24" localSheetId="60">#REF!</definedName>
    <definedName name="____Tab24" localSheetId="16">#REF!</definedName>
    <definedName name="____Tab24">#REF!</definedName>
    <definedName name="____Tab26" localSheetId="63">#REF!</definedName>
    <definedName name="____Tab26" localSheetId="57">#REF!</definedName>
    <definedName name="____Tab26" localSheetId="59">#REF!</definedName>
    <definedName name="____Tab26" localSheetId="61">#REF!</definedName>
    <definedName name="____Tab26" localSheetId="60">#REF!</definedName>
    <definedName name="____Tab26" localSheetId="16">#REF!</definedName>
    <definedName name="____Tab26">#REF!</definedName>
    <definedName name="____Tab27" localSheetId="63">#REF!</definedName>
    <definedName name="____Tab27" localSheetId="57">#REF!</definedName>
    <definedName name="____Tab27" localSheetId="59">#REF!</definedName>
    <definedName name="____Tab27" localSheetId="61">#REF!</definedName>
    <definedName name="____Tab27" localSheetId="60">#REF!</definedName>
    <definedName name="____Tab27" localSheetId="16">#REF!</definedName>
    <definedName name="____Tab27">#REF!</definedName>
    <definedName name="____Tab28" localSheetId="63">#REF!</definedName>
    <definedName name="____Tab28" localSheetId="57">#REF!</definedName>
    <definedName name="____Tab28" localSheetId="59">#REF!</definedName>
    <definedName name="____Tab28" localSheetId="61">#REF!</definedName>
    <definedName name="____Tab28" localSheetId="60">#REF!</definedName>
    <definedName name="____Tab28" localSheetId="16">#REF!</definedName>
    <definedName name="____Tab28">#REF!</definedName>
    <definedName name="____Tab29" localSheetId="63">#REF!</definedName>
    <definedName name="____Tab29" localSheetId="57">#REF!</definedName>
    <definedName name="____Tab29" localSheetId="59">#REF!</definedName>
    <definedName name="____Tab29" localSheetId="61">#REF!</definedName>
    <definedName name="____Tab29" localSheetId="60">#REF!</definedName>
    <definedName name="____Tab29" localSheetId="16">#REF!</definedName>
    <definedName name="____Tab29">#REF!</definedName>
    <definedName name="____TAB3" localSheetId="63">#REF!</definedName>
    <definedName name="____TAB3" localSheetId="57">#REF!</definedName>
    <definedName name="____TAB3" localSheetId="59">#REF!</definedName>
    <definedName name="____TAB3" localSheetId="61">#REF!</definedName>
    <definedName name="____TAB3" localSheetId="60">#REF!</definedName>
    <definedName name="____TAB3" localSheetId="16">#REF!</definedName>
    <definedName name="____TAB3">#REF!</definedName>
    <definedName name="____Tab30" localSheetId="63">#REF!</definedName>
    <definedName name="____Tab30" localSheetId="57">#REF!</definedName>
    <definedName name="____Tab30" localSheetId="59">#REF!</definedName>
    <definedName name="____Tab30" localSheetId="61">#REF!</definedName>
    <definedName name="____Tab30" localSheetId="60">#REF!</definedName>
    <definedName name="____Tab30" localSheetId="16">#REF!</definedName>
    <definedName name="____Tab30">#REF!</definedName>
    <definedName name="____Tab31" localSheetId="63">#REF!</definedName>
    <definedName name="____Tab31" localSheetId="57">#REF!</definedName>
    <definedName name="____Tab31" localSheetId="59">#REF!</definedName>
    <definedName name="____Tab31" localSheetId="61">#REF!</definedName>
    <definedName name="____Tab31" localSheetId="60">#REF!</definedName>
    <definedName name="____Tab31" localSheetId="16">#REF!</definedName>
    <definedName name="____Tab31">#REF!</definedName>
    <definedName name="____Tab32" localSheetId="63">#REF!</definedName>
    <definedName name="____Tab32" localSheetId="57">#REF!</definedName>
    <definedName name="____Tab32" localSheetId="59">#REF!</definedName>
    <definedName name="____Tab32" localSheetId="61">#REF!</definedName>
    <definedName name="____Tab32" localSheetId="60">#REF!</definedName>
    <definedName name="____Tab32" localSheetId="16">#REF!</definedName>
    <definedName name="____Tab32">#REF!</definedName>
    <definedName name="____Tab33" localSheetId="63">#REF!</definedName>
    <definedName name="____Tab33" localSheetId="57">#REF!</definedName>
    <definedName name="____Tab33" localSheetId="59">#REF!</definedName>
    <definedName name="____Tab33" localSheetId="61">#REF!</definedName>
    <definedName name="____Tab33" localSheetId="60">#REF!</definedName>
    <definedName name="____Tab33" localSheetId="16">#REF!</definedName>
    <definedName name="____Tab33">#REF!</definedName>
    <definedName name="____Tab34" localSheetId="63">#REF!</definedName>
    <definedName name="____Tab34" localSheetId="57">#REF!</definedName>
    <definedName name="____Tab34" localSheetId="59">#REF!</definedName>
    <definedName name="____Tab34" localSheetId="61">#REF!</definedName>
    <definedName name="____Tab34" localSheetId="60">#REF!</definedName>
    <definedName name="____Tab34" localSheetId="16">#REF!</definedName>
    <definedName name="____Tab34">#REF!</definedName>
    <definedName name="____Tab35" localSheetId="63">#REF!</definedName>
    <definedName name="____Tab35" localSheetId="57">#REF!</definedName>
    <definedName name="____Tab35" localSheetId="59">#REF!</definedName>
    <definedName name="____Tab35" localSheetId="61">#REF!</definedName>
    <definedName name="____Tab35" localSheetId="60">#REF!</definedName>
    <definedName name="____Tab35" localSheetId="16">#REF!</definedName>
    <definedName name="____Tab35">#REF!</definedName>
    <definedName name="____TAB4" localSheetId="63">#REF!</definedName>
    <definedName name="____TAB4" localSheetId="57">#REF!</definedName>
    <definedName name="____TAB4" localSheetId="59">#REF!</definedName>
    <definedName name="____TAB4" localSheetId="61">#REF!</definedName>
    <definedName name="____TAB4" localSheetId="60">#REF!</definedName>
    <definedName name="____TAB4" localSheetId="16">#REF!</definedName>
    <definedName name="____TAB4">#REF!</definedName>
    <definedName name="____TAB5" localSheetId="63">#REF!</definedName>
    <definedName name="____TAB5" localSheetId="57">#REF!</definedName>
    <definedName name="____TAB5" localSheetId="59">#REF!</definedName>
    <definedName name="____TAB5" localSheetId="61">#REF!</definedName>
    <definedName name="____TAB5" localSheetId="60">#REF!</definedName>
    <definedName name="____TAB5" localSheetId="16">#REF!</definedName>
    <definedName name="____TAB5">#REF!</definedName>
    <definedName name="____tab6" localSheetId="63">#REF!</definedName>
    <definedName name="____tab6" localSheetId="57">#REF!</definedName>
    <definedName name="____tab6" localSheetId="59">#REF!</definedName>
    <definedName name="____tab6" localSheetId="61">#REF!</definedName>
    <definedName name="____tab6" localSheetId="60">#REF!</definedName>
    <definedName name="____tab6" localSheetId="16">#REF!</definedName>
    <definedName name="____tab6">#REF!</definedName>
    <definedName name="____TAB7" localSheetId="63">#REF!</definedName>
    <definedName name="____TAB7" localSheetId="57">#REF!</definedName>
    <definedName name="____TAB7" localSheetId="59">#REF!</definedName>
    <definedName name="____TAB7" localSheetId="61">#REF!</definedName>
    <definedName name="____TAB7" localSheetId="60">#REF!</definedName>
    <definedName name="____TAB7" localSheetId="16">#REF!</definedName>
    <definedName name="____TAB7">#REF!</definedName>
    <definedName name="____TAB8" localSheetId="63">#REF!</definedName>
    <definedName name="____TAB8" localSheetId="57">#REF!</definedName>
    <definedName name="____TAB8" localSheetId="59">#REF!</definedName>
    <definedName name="____TAB8" localSheetId="61">#REF!</definedName>
    <definedName name="____TAB8" localSheetId="60">#REF!</definedName>
    <definedName name="____TAB8" localSheetId="16">#REF!</definedName>
    <definedName name="____TAB8">#REF!</definedName>
    <definedName name="____tab9" localSheetId="63">#REF!</definedName>
    <definedName name="____tab9" localSheetId="57">#REF!</definedName>
    <definedName name="____tab9" localSheetId="59">#REF!</definedName>
    <definedName name="____tab9" localSheetId="61">#REF!</definedName>
    <definedName name="____tab9" localSheetId="60">#REF!</definedName>
    <definedName name="____tab9" localSheetId="16">#REF!</definedName>
    <definedName name="____tab9">#REF!</definedName>
    <definedName name="____TB41" localSheetId="63">#REF!</definedName>
    <definedName name="____TB41" localSheetId="57">#REF!</definedName>
    <definedName name="____TB41" localSheetId="59">#REF!</definedName>
    <definedName name="____TB41" localSheetId="61">#REF!</definedName>
    <definedName name="____TB41" localSheetId="60">#REF!</definedName>
    <definedName name="____TB41" localSheetId="16">#REF!</definedName>
    <definedName name="____TB41">#REF!</definedName>
    <definedName name="____WEO1" localSheetId="63">#REF!</definedName>
    <definedName name="____WEO1" localSheetId="57">#REF!</definedName>
    <definedName name="____WEO1" localSheetId="59">#REF!</definedName>
    <definedName name="____WEO1" localSheetId="61">#REF!</definedName>
    <definedName name="____WEO1" localSheetId="60">#REF!</definedName>
    <definedName name="____WEO1" localSheetId="16">#REF!</definedName>
    <definedName name="____WEO1">#REF!</definedName>
    <definedName name="____WEO2" localSheetId="63">#REF!</definedName>
    <definedName name="____WEO2" localSheetId="57">#REF!</definedName>
    <definedName name="____WEO2" localSheetId="59">#REF!</definedName>
    <definedName name="____WEO2" localSheetId="61">#REF!</definedName>
    <definedName name="____WEO2" localSheetId="60">#REF!</definedName>
    <definedName name="____WEO2" localSheetId="16">#REF!</definedName>
    <definedName name="____WEO2">#REF!</definedName>
    <definedName name="___BOP1" localSheetId="63">#REF!</definedName>
    <definedName name="___BOP1" localSheetId="57">#REF!</definedName>
    <definedName name="___BOP1" localSheetId="59">#REF!</definedName>
    <definedName name="___BOP1" localSheetId="61">#REF!</definedName>
    <definedName name="___BOP1" localSheetId="60">#REF!</definedName>
    <definedName name="___BOP1" localSheetId="16">#REF!</definedName>
    <definedName name="___BOP1">#REF!</definedName>
    <definedName name="___BOP2" localSheetId="63">[1]BoP!#REF!</definedName>
    <definedName name="___BOP2" localSheetId="57">[1]BoP!#REF!</definedName>
    <definedName name="___BOP2" localSheetId="59">[1]BoP!#REF!</definedName>
    <definedName name="___BOP2" localSheetId="61">[1]BoP!#REF!</definedName>
    <definedName name="___BOP2" localSheetId="60">[1]BoP!#REF!</definedName>
    <definedName name="___BOP2" localSheetId="16">[1]BoP!#REF!</definedName>
    <definedName name="___BOP2">[1]BoP!#REF!</definedName>
    <definedName name="___dat1" localSheetId="63">'[2]work Q real'!#REF!</definedName>
    <definedName name="___dat1" localSheetId="57">'[2]work Q real'!#REF!</definedName>
    <definedName name="___dat1" localSheetId="59">'[2]work Q real'!#REF!</definedName>
    <definedName name="___dat1" localSheetId="61">'[2]work Q real'!#REF!</definedName>
    <definedName name="___dat1" localSheetId="60">'[2]work Q real'!#REF!</definedName>
    <definedName name="___dat1" localSheetId="16">'[2]work Q real'!#REF!</definedName>
    <definedName name="___dat1">'[2]work Q real'!#REF!</definedName>
    <definedName name="___dat2" localSheetId="63">#REF!</definedName>
    <definedName name="___dat2" localSheetId="57">#REF!</definedName>
    <definedName name="___dat2" localSheetId="59">#REF!</definedName>
    <definedName name="___dat2" localSheetId="61">#REF!</definedName>
    <definedName name="___dat2" localSheetId="60">#REF!</definedName>
    <definedName name="___dat2" localSheetId="16">#REF!</definedName>
    <definedName name="___dat2">#REF!</definedName>
    <definedName name="___EXP5" localSheetId="63">#REF!</definedName>
    <definedName name="___EXP5" localSheetId="57">#REF!</definedName>
    <definedName name="___EXP5" localSheetId="59">#REF!</definedName>
    <definedName name="___EXP5" localSheetId="61">#REF!</definedName>
    <definedName name="___EXP5" localSheetId="60">#REF!</definedName>
    <definedName name="___EXP5" localSheetId="16">#REF!</definedName>
    <definedName name="___EXP5">#REF!</definedName>
    <definedName name="___EXP6" localSheetId="63">#REF!</definedName>
    <definedName name="___EXP6" localSheetId="57">#REF!</definedName>
    <definedName name="___EXP6" localSheetId="59">#REF!</definedName>
    <definedName name="___EXP6" localSheetId="61">#REF!</definedName>
    <definedName name="___EXP6" localSheetId="60">#REF!</definedName>
    <definedName name="___EXP6" localSheetId="16">#REF!</definedName>
    <definedName name="___EXP6">#REF!</definedName>
    <definedName name="___EXP7" localSheetId="63">#REF!</definedName>
    <definedName name="___EXP7" localSheetId="57">#REF!</definedName>
    <definedName name="___EXP7" localSheetId="59">#REF!</definedName>
    <definedName name="___EXP7" localSheetId="61">#REF!</definedName>
    <definedName name="___EXP7" localSheetId="60">#REF!</definedName>
    <definedName name="___EXP7" localSheetId="16">#REF!</definedName>
    <definedName name="___EXP7">#REF!</definedName>
    <definedName name="___EXP9" localSheetId="63">#REF!</definedName>
    <definedName name="___EXP9" localSheetId="57">#REF!</definedName>
    <definedName name="___EXP9" localSheetId="59">#REF!</definedName>
    <definedName name="___EXP9" localSheetId="61">#REF!</definedName>
    <definedName name="___EXP9" localSheetId="60">#REF!</definedName>
    <definedName name="___EXP9" localSheetId="16">#REF!</definedName>
    <definedName name="___EXP9">#REF!</definedName>
    <definedName name="___IMP10" localSheetId="63">#REF!</definedName>
    <definedName name="___IMP10" localSheetId="57">#REF!</definedName>
    <definedName name="___IMP10" localSheetId="59">#REF!</definedName>
    <definedName name="___IMP10" localSheetId="61">#REF!</definedName>
    <definedName name="___IMP10" localSheetId="60">#REF!</definedName>
    <definedName name="___IMP10" localSheetId="16">#REF!</definedName>
    <definedName name="___IMP10">#REF!</definedName>
    <definedName name="___IMP2" localSheetId="63">#REF!</definedName>
    <definedName name="___IMP2" localSheetId="57">#REF!</definedName>
    <definedName name="___IMP2" localSheetId="59">#REF!</definedName>
    <definedName name="___IMP2" localSheetId="61">#REF!</definedName>
    <definedName name="___IMP2" localSheetId="60">#REF!</definedName>
    <definedName name="___IMP2" localSheetId="16">#REF!</definedName>
    <definedName name="___IMP2">#REF!</definedName>
    <definedName name="___IMP4" localSheetId="63">#REF!</definedName>
    <definedName name="___IMP4" localSheetId="57">#REF!</definedName>
    <definedName name="___IMP4" localSheetId="59">#REF!</definedName>
    <definedName name="___IMP4" localSheetId="61">#REF!</definedName>
    <definedName name="___IMP4" localSheetId="60">#REF!</definedName>
    <definedName name="___IMP4" localSheetId="16">#REF!</definedName>
    <definedName name="___IMP4">#REF!</definedName>
    <definedName name="___IMP6" localSheetId="63">#REF!</definedName>
    <definedName name="___IMP6" localSheetId="57">#REF!</definedName>
    <definedName name="___IMP6" localSheetId="59">#REF!</definedName>
    <definedName name="___IMP6" localSheetId="61">#REF!</definedName>
    <definedName name="___IMP6" localSheetId="60">#REF!</definedName>
    <definedName name="___IMP6" localSheetId="16">#REF!</definedName>
    <definedName name="___IMP6">#REF!</definedName>
    <definedName name="___IMP7" localSheetId="63">#REF!</definedName>
    <definedName name="___IMP7" localSheetId="57">#REF!</definedName>
    <definedName name="___IMP7" localSheetId="59">#REF!</definedName>
    <definedName name="___IMP7" localSheetId="61">#REF!</definedName>
    <definedName name="___IMP7" localSheetId="60">#REF!</definedName>
    <definedName name="___IMP7" localSheetId="16">#REF!</definedName>
    <definedName name="___IMP7">#REF!</definedName>
    <definedName name="___IMP8" localSheetId="63">#REF!</definedName>
    <definedName name="___IMP8" localSheetId="57">#REF!</definedName>
    <definedName name="___IMP8" localSheetId="59">#REF!</definedName>
    <definedName name="___IMP8" localSheetId="61">#REF!</definedName>
    <definedName name="___IMP8" localSheetId="60">#REF!</definedName>
    <definedName name="___IMP8" localSheetId="16">#REF!</definedName>
    <definedName name="___IMP8">#REF!</definedName>
    <definedName name="___MTS2" localSheetId="63">'[3]Annual Tables'!#REF!</definedName>
    <definedName name="___MTS2" localSheetId="57">'[3]Annual Tables'!#REF!</definedName>
    <definedName name="___MTS2" localSheetId="59">'[3]Annual Tables'!#REF!</definedName>
    <definedName name="___MTS2" localSheetId="61">'[3]Annual Tables'!#REF!</definedName>
    <definedName name="___MTS2" localSheetId="60">'[3]Annual Tables'!#REF!</definedName>
    <definedName name="___MTS2" localSheetId="16">'[3]Annual Tables'!#REF!</definedName>
    <definedName name="___MTS2">'[3]Annual Tables'!#REF!</definedName>
    <definedName name="___OUT1" localSheetId="63">#REF!</definedName>
    <definedName name="___OUT1" localSheetId="57">#REF!</definedName>
    <definedName name="___OUT1" localSheetId="59">#REF!</definedName>
    <definedName name="___OUT1" localSheetId="61">#REF!</definedName>
    <definedName name="___OUT1" localSheetId="60">#REF!</definedName>
    <definedName name="___OUT1" localSheetId="16">#REF!</definedName>
    <definedName name="___OUT1">#REF!</definedName>
    <definedName name="___OUT2" localSheetId="63">#REF!</definedName>
    <definedName name="___OUT2" localSheetId="57">#REF!</definedName>
    <definedName name="___OUT2" localSheetId="59">#REF!</definedName>
    <definedName name="___OUT2" localSheetId="61">#REF!</definedName>
    <definedName name="___OUT2" localSheetId="60">#REF!</definedName>
    <definedName name="___OUT2" localSheetId="16">#REF!</definedName>
    <definedName name="___OUT2">#REF!</definedName>
    <definedName name="___PAG2" localSheetId="63">[3]Index!#REF!</definedName>
    <definedName name="___PAG2" localSheetId="57">[3]Index!#REF!</definedName>
    <definedName name="___PAG2" localSheetId="59">[3]Index!#REF!</definedName>
    <definedName name="___PAG2" localSheetId="61">[3]Index!#REF!</definedName>
    <definedName name="___PAG2" localSheetId="60">[3]Index!#REF!</definedName>
    <definedName name="___PAG2" localSheetId="16">[3]Index!#REF!</definedName>
    <definedName name="___PAG2">[3]Index!#REF!</definedName>
    <definedName name="___PAG3" localSheetId="63">[3]Index!#REF!</definedName>
    <definedName name="___PAG3" localSheetId="57">[3]Index!#REF!</definedName>
    <definedName name="___PAG3" localSheetId="59">[3]Index!#REF!</definedName>
    <definedName name="___PAG3" localSheetId="61">[3]Index!#REF!</definedName>
    <definedName name="___PAG3" localSheetId="60">[3]Index!#REF!</definedName>
    <definedName name="___PAG3" localSheetId="16">[3]Index!#REF!</definedName>
    <definedName name="___PAG3">[3]Index!#REF!</definedName>
    <definedName name="___PAG4" localSheetId="63">[3]Index!#REF!</definedName>
    <definedName name="___PAG4" localSheetId="57">[3]Index!#REF!</definedName>
    <definedName name="___PAG4" localSheetId="59">[3]Index!#REF!</definedName>
    <definedName name="___PAG4" localSheetId="61">[3]Index!#REF!</definedName>
    <definedName name="___PAG4" localSheetId="60">[3]Index!#REF!</definedName>
    <definedName name="___PAG4" localSheetId="16">[3]Index!#REF!</definedName>
    <definedName name="___PAG4">[3]Index!#REF!</definedName>
    <definedName name="___PAG5" localSheetId="63">[3]Index!#REF!</definedName>
    <definedName name="___PAG5" localSheetId="57">[3]Index!#REF!</definedName>
    <definedName name="___PAG5" localSheetId="59">[3]Index!#REF!</definedName>
    <definedName name="___PAG5" localSheetId="61">[3]Index!#REF!</definedName>
    <definedName name="___PAG5" localSheetId="60">[3]Index!#REF!</definedName>
    <definedName name="___PAG5" localSheetId="16">[3]Index!#REF!</definedName>
    <definedName name="___PAG5">[3]Index!#REF!</definedName>
    <definedName name="___PAG6" localSheetId="63">[3]Index!#REF!</definedName>
    <definedName name="___PAG6" localSheetId="57">[3]Index!#REF!</definedName>
    <definedName name="___PAG6" localSheetId="59">[3]Index!#REF!</definedName>
    <definedName name="___PAG6" localSheetId="61">[3]Index!#REF!</definedName>
    <definedName name="___PAG6" localSheetId="60">[3]Index!#REF!</definedName>
    <definedName name="___PAG6" localSheetId="16">[3]Index!#REF!</definedName>
    <definedName name="___PAG6">[3]Index!#REF!</definedName>
    <definedName name="___PAG7" localSheetId="63">#REF!</definedName>
    <definedName name="___PAG7" localSheetId="57">#REF!</definedName>
    <definedName name="___PAG7" localSheetId="59">#REF!</definedName>
    <definedName name="___PAG7" localSheetId="61">#REF!</definedName>
    <definedName name="___PAG7" localSheetId="60">#REF!</definedName>
    <definedName name="___PAG7" localSheetId="16">#REF!</definedName>
    <definedName name="___PAG7">#REF!</definedName>
    <definedName name="___pro2001">[4]pro2001!$A$1:$B$72</definedName>
    <definedName name="___RES2" localSheetId="63">[1]RES!#REF!</definedName>
    <definedName name="___RES2" localSheetId="57">[1]RES!#REF!</definedName>
    <definedName name="___RES2" localSheetId="59">[1]RES!#REF!</definedName>
    <definedName name="___RES2" localSheetId="61">[1]RES!#REF!</definedName>
    <definedName name="___RES2" localSheetId="60">[1]RES!#REF!</definedName>
    <definedName name="___RES2" localSheetId="16">[1]RES!#REF!</definedName>
    <definedName name="___RES2">[1]RES!#REF!</definedName>
    <definedName name="___TAB1" localSheetId="63">#REF!</definedName>
    <definedName name="___TAB1" localSheetId="57">#REF!</definedName>
    <definedName name="___TAB1" localSheetId="59">#REF!</definedName>
    <definedName name="___TAB1" localSheetId="61">#REF!</definedName>
    <definedName name="___TAB1" localSheetId="60">#REF!</definedName>
    <definedName name="___TAB1" localSheetId="16">#REF!</definedName>
    <definedName name="___TAB1">#REF!</definedName>
    <definedName name="___TAB10" localSheetId="63">#REF!</definedName>
    <definedName name="___TAB10" localSheetId="57">#REF!</definedName>
    <definedName name="___TAB10" localSheetId="59">#REF!</definedName>
    <definedName name="___TAB10" localSheetId="61">#REF!</definedName>
    <definedName name="___TAB10" localSheetId="60">#REF!</definedName>
    <definedName name="___TAB10" localSheetId="16">#REF!</definedName>
    <definedName name="___TAB10">#REF!</definedName>
    <definedName name="___TAB12" localSheetId="63">#REF!</definedName>
    <definedName name="___TAB12" localSheetId="57">#REF!</definedName>
    <definedName name="___TAB12" localSheetId="59">#REF!</definedName>
    <definedName name="___TAB12" localSheetId="61">#REF!</definedName>
    <definedName name="___TAB12" localSheetId="60">#REF!</definedName>
    <definedName name="___TAB12" localSheetId="16">#REF!</definedName>
    <definedName name="___TAB12">#REF!</definedName>
    <definedName name="___Tab19" localSheetId="63">#REF!</definedName>
    <definedName name="___Tab19" localSheetId="57">#REF!</definedName>
    <definedName name="___Tab19" localSheetId="59">#REF!</definedName>
    <definedName name="___Tab19" localSheetId="61">#REF!</definedName>
    <definedName name="___Tab19" localSheetId="60">#REF!</definedName>
    <definedName name="___Tab19" localSheetId="16">#REF!</definedName>
    <definedName name="___Tab19">#REF!</definedName>
    <definedName name="___TAB2" localSheetId="63">#REF!</definedName>
    <definedName name="___TAB2" localSheetId="57">#REF!</definedName>
    <definedName name="___TAB2" localSheetId="59">#REF!</definedName>
    <definedName name="___TAB2" localSheetId="61">#REF!</definedName>
    <definedName name="___TAB2" localSheetId="60">#REF!</definedName>
    <definedName name="___TAB2" localSheetId="16">#REF!</definedName>
    <definedName name="___TAB2">#REF!</definedName>
    <definedName name="___Tab20" localSheetId="63">#REF!</definedName>
    <definedName name="___Tab20" localSheetId="57">#REF!</definedName>
    <definedName name="___Tab20" localSheetId="59">#REF!</definedName>
    <definedName name="___Tab20" localSheetId="61">#REF!</definedName>
    <definedName name="___Tab20" localSheetId="60">#REF!</definedName>
    <definedName name="___Tab20" localSheetId="16">#REF!</definedName>
    <definedName name="___Tab20">#REF!</definedName>
    <definedName name="___Tab21" localSheetId="63">#REF!</definedName>
    <definedName name="___Tab21" localSheetId="57">#REF!</definedName>
    <definedName name="___Tab21" localSheetId="59">#REF!</definedName>
    <definedName name="___Tab21" localSheetId="61">#REF!</definedName>
    <definedName name="___Tab21" localSheetId="60">#REF!</definedName>
    <definedName name="___Tab21" localSheetId="16">#REF!</definedName>
    <definedName name="___Tab21">#REF!</definedName>
    <definedName name="___Tab22" localSheetId="63">#REF!</definedName>
    <definedName name="___Tab22" localSheetId="57">#REF!</definedName>
    <definedName name="___Tab22" localSheetId="59">#REF!</definedName>
    <definedName name="___Tab22" localSheetId="61">#REF!</definedName>
    <definedName name="___Tab22" localSheetId="60">#REF!</definedName>
    <definedName name="___Tab22" localSheetId="16">#REF!</definedName>
    <definedName name="___Tab22">#REF!</definedName>
    <definedName name="___Tab23" localSheetId="63">#REF!</definedName>
    <definedName name="___Tab23" localSheetId="57">#REF!</definedName>
    <definedName name="___Tab23" localSheetId="59">#REF!</definedName>
    <definedName name="___Tab23" localSheetId="61">#REF!</definedName>
    <definedName name="___Tab23" localSheetId="60">#REF!</definedName>
    <definedName name="___Tab23" localSheetId="16">#REF!</definedName>
    <definedName name="___Tab23">#REF!</definedName>
    <definedName name="___Tab24" localSheetId="63">#REF!</definedName>
    <definedName name="___Tab24" localSheetId="57">#REF!</definedName>
    <definedName name="___Tab24" localSheetId="59">#REF!</definedName>
    <definedName name="___Tab24" localSheetId="61">#REF!</definedName>
    <definedName name="___Tab24" localSheetId="60">#REF!</definedName>
    <definedName name="___Tab24" localSheetId="16">#REF!</definedName>
    <definedName name="___Tab24">#REF!</definedName>
    <definedName name="___Tab26" localSheetId="63">#REF!</definedName>
    <definedName name="___Tab26" localSheetId="57">#REF!</definedName>
    <definedName name="___Tab26" localSheetId="59">#REF!</definedName>
    <definedName name="___Tab26" localSheetId="61">#REF!</definedName>
    <definedName name="___Tab26" localSheetId="60">#REF!</definedName>
    <definedName name="___Tab26" localSheetId="16">#REF!</definedName>
    <definedName name="___Tab26">#REF!</definedName>
    <definedName name="___Tab27" localSheetId="63">#REF!</definedName>
    <definedName name="___Tab27" localSheetId="57">#REF!</definedName>
    <definedName name="___Tab27" localSheetId="59">#REF!</definedName>
    <definedName name="___Tab27" localSheetId="61">#REF!</definedName>
    <definedName name="___Tab27" localSheetId="60">#REF!</definedName>
    <definedName name="___Tab27" localSheetId="16">#REF!</definedName>
    <definedName name="___Tab27">#REF!</definedName>
    <definedName name="___Tab28" localSheetId="63">#REF!</definedName>
    <definedName name="___Tab28" localSheetId="57">#REF!</definedName>
    <definedName name="___Tab28" localSheetId="59">#REF!</definedName>
    <definedName name="___Tab28" localSheetId="61">#REF!</definedName>
    <definedName name="___Tab28" localSheetId="60">#REF!</definedName>
    <definedName name="___Tab28" localSheetId="16">#REF!</definedName>
    <definedName name="___Tab28">#REF!</definedName>
    <definedName name="___Tab29" localSheetId="63">#REF!</definedName>
    <definedName name="___Tab29" localSheetId="57">#REF!</definedName>
    <definedName name="___Tab29" localSheetId="59">#REF!</definedName>
    <definedName name="___Tab29" localSheetId="61">#REF!</definedName>
    <definedName name="___Tab29" localSheetId="60">#REF!</definedName>
    <definedName name="___Tab29" localSheetId="16">#REF!</definedName>
    <definedName name="___Tab29">#REF!</definedName>
    <definedName name="___TAB3" localSheetId="63">#REF!</definedName>
    <definedName name="___TAB3" localSheetId="57">#REF!</definedName>
    <definedName name="___TAB3" localSheetId="59">#REF!</definedName>
    <definedName name="___TAB3" localSheetId="61">#REF!</definedName>
    <definedName name="___TAB3" localSheetId="60">#REF!</definedName>
    <definedName name="___TAB3" localSheetId="16">#REF!</definedName>
    <definedName name="___TAB3">#REF!</definedName>
    <definedName name="___Tab30" localSheetId="63">#REF!</definedName>
    <definedName name="___Tab30" localSheetId="57">#REF!</definedName>
    <definedName name="___Tab30" localSheetId="59">#REF!</definedName>
    <definedName name="___Tab30" localSheetId="61">#REF!</definedName>
    <definedName name="___Tab30" localSheetId="60">#REF!</definedName>
    <definedName name="___Tab30" localSheetId="16">#REF!</definedName>
    <definedName name="___Tab30">#REF!</definedName>
    <definedName name="___Tab31" localSheetId="63">#REF!</definedName>
    <definedName name="___Tab31" localSheetId="57">#REF!</definedName>
    <definedName name="___Tab31" localSheetId="59">#REF!</definedName>
    <definedName name="___Tab31" localSheetId="61">#REF!</definedName>
    <definedName name="___Tab31" localSheetId="60">#REF!</definedName>
    <definedName name="___Tab31" localSheetId="16">#REF!</definedName>
    <definedName name="___Tab31">#REF!</definedName>
    <definedName name="___Tab32" localSheetId="63">#REF!</definedName>
    <definedName name="___Tab32" localSheetId="57">#REF!</definedName>
    <definedName name="___Tab32" localSheetId="59">#REF!</definedName>
    <definedName name="___Tab32" localSheetId="61">#REF!</definedName>
    <definedName name="___Tab32" localSheetId="60">#REF!</definedName>
    <definedName name="___Tab32" localSheetId="16">#REF!</definedName>
    <definedName name="___Tab32">#REF!</definedName>
    <definedName name="___Tab33" localSheetId="63">#REF!</definedName>
    <definedName name="___Tab33" localSheetId="57">#REF!</definedName>
    <definedName name="___Tab33" localSheetId="59">#REF!</definedName>
    <definedName name="___Tab33" localSheetId="61">#REF!</definedName>
    <definedName name="___Tab33" localSheetId="60">#REF!</definedName>
    <definedName name="___Tab33" localSheetId="16">#REF!</definedName>
    <definedName name="___Tab33">#REF!</definedName>
    <definedName name="___Tab34" localSheetId="63">#REF!</definedName>
    <definedName name="___Tab34" localSheetId="57">#REF!</definedName>
    <definedName name="___Tab34" localSheetId="59">#REF!</definedName>
    <definedName name="___Tab34" localSheetId="61">#REF!</definedName>
    <definedName name="___Tab34" localSheetId="60">#REF!</definedName>
    <definedName name="___Tab34" localSheetId="16">#REF!</definedName>
    <definedName name="___Tab34">#REF!</definedName>
    <definedName name="___Tab35" localSheetId="63">#REF!</definedName>
    <definedName name="___Tab35" localSheetId="57">#REF!</definedName>
    <definedName name="___Tab35" localSheetId="59">#REF!</definedName>
    <definedName name="___Tab35" localSheetId="61">#REF!</definedName>
    <definedName name="___Tab35" localSheetId="60">#REF!</definedName>
    <definedName name="___Tab35" localSheetId="16">#REF!</definedName>
    <definedName name="___Tab35">#REF!</definedName>
    <definedName name="___TAB4" localSheetId="63">#REF!</definedName>
    <definedName name="___TAB4" localSheetId="57">#REF!</definedName>
    <definedName name="___TAB4" localSheetId="59">#REF!</definedName>
    <definedName name="___TAB4" localSheetId="61">#REF!</definedName>
    <definedName name="___TAB4" localSheetId="60">#REF!</definedName>
    <definedName name="___TAB4" localSheetId="16">#REF!</definedName>
    <definedName name="___TAB4">#REF!</definedName>
    <definedName name="___TAB5" localSheetId="63">#REF!</definedName>
    <definedName name="___TAB5" localSheetId="57">#REF!</definedName>
    <definedName name="___TAB5" localSheetId="59">#REF!</definedName>
    <definedName name="___TAB5" localSheetId="61">#REF!</definedName>
    <definedName name="___TAB5" localSheetId="60">#REF!</definedName>
    <definedName name="___TAB5" localSheetId="16">#REF!</definedName>
    <definedName name="___TAB5">#REF!</definedName>
    <definedName name="___tab6" localSheetId="63">#REF!</definedName>
    <definedName name="___tab6" localSheetId="57">#REF!</definedName>
    <definedName name="___tab6" localSheetId="59">#REF!</definedName>
    <definedName name="___tab6" localSheetId="61">#REF!</definedName>
    <definedName name="___tab6" localSheetId="60">#REF!</definedName>
    <definedName name="___tab6" localSheetId="16">#REF!</definedName>
    <definedName name="___tab6">#REF!</definedName>
    <definedName name="___TAB7" localSheetId="63">#REF!</definedName>
    <definedName name="___TAB7" localSheetId="57">#REF!</definedName>
    <definedName name="___TAB7" localSheetId="59">#REF!</definedName>
    <definedName name="___TAB7" localSheetId="61">#REF!</definedName>
    <definedName name="___TAB7" localSheetId="60">#REF!</definedName>
    <definedName name="___TAB7" localSheetId="16">#REF!</definedName>
    <definedName name="___TAB7">#REF!</definedName>
    <definedName name="___TAB8" localSheetId="63">#REF!</definedName>
    <definedName name="___TAB8" localSheetId="57">#REF!</definedName>
    <definedName name="___TAB8" localSheetId="59">#REF!</definedName>
    <definedName name="___TAB8" localSheetId="61">#REF!</definedName>
    <definedName name="___TAB8" localSheetId="60">#REF!</definedName>
    <definedName name="___TAB8" localSheetId="16">#REF!</definedName>
    <definedName name="___TAB8">#REF!</definedName>
    <definedName name="___tab9" localSheetId="63">#REF!</definedName>
    <definedName name="___tab9" localSheetId="57">#REF!</definedName>
    <definedName name="___tab9" localSheetId="59">#REF!</definedName>
    <definedName name="___tab9" localSheetId="61">#REF!</definedName>
    <definedName name="___tab9" localSheetId="60">#REF!</definedName>
    <definedName name="___tab9" localSheetId="16">#REF!</definedName>
    <definedName name="___tab9">#REF!</definedName>
    <definedName name="___TB41" localSheetId="63">#REF!</definedName>
    <definedName name="___TB41" localSheetId="57">#REF!</definedName>
    <definedName name="___TB41" localSheetId="59">#REF!</definedName>
    <definedName name="___TB41" localSheetId="61">#REF!</definedName>
    <definedName name="___TB41" localSheetId="60">#REF!</definedName>
    <definedName name="___TB41" localSheetId="16">#REF!</definedName>
    <definedName name="___TB41">#REF!</definedName>
    <definedName name="___WEO1" localSheetId="63">#REF!</definedName>
    <definedName name="___WEO1" localSheetId="57">#REF!</definedName>
    <definedName name="___WEO1" localSheetId="59">#REF!</definedName>
    <definedName name="___WEO1" localSheetId="61">#REF!</definedName>
    <definedName name="___WEO1" localSheetId="60">#REF!</definedName>
    <definedName name="___WEO1" localSheetId="16">#REF!</definedName>
    <definedName name="___WEO1">#REF!</definedName>
    <definedName name="___WEO2" localSheetId="63">#REF!</definedName>
    <definedName name="___WEO2" localSheetId="57">#REF!</definedName>
    <definedName name="___WEO2" localSheetId="59">#REF!</definedName>
    <definedName name="___WEO2" localSheetId="61">#REF!</definedName>
    <definedName name="___WEO2" localSheetId="60">#REF!</definedName>
    <definedName name="___WEO2" localSheetId="16">#REF!</definedName>
    <definedName name="___WEO2">#REF!</definedName>
    <definedName name="__123Graph_A" localSheetId="63" hidden="1">#REF!</definedName>
    <definedName name="__123Graph_A" localSheetId="1" hidden="1">#REF!</definedName>
    <definedName name="__123Graph_A" localSheetId="50" hidden="1">#REF!</definedName>
    <definedName name="__123Graph_A" localSheetId="51" hidden="1">#REF!</definedName>
    <definedName name="__123Graph_A" localSheetId="57" hidden="1">#REF!</definedName>
    <definedName name="__123Graph_A" localSheetId="59" hidden="1">#REF!</definedName>
    <definedName name="__123Graph_A" localSheetId="61" hidden="1">#REF!</definedName>
    <definedName name="__123Graph_A" localSheetId="60" hidden="1">#REF!</definedName>
    <definedName name="__123Graph_A" localSheetId="16" hidden="1">#REF!</definedName>
    <definedName name="__123Graph_A" hidden="1">#REF!</definedName>
    <definedName name="__123Graph_AEXP" localSheetId="63" hidden="1">#REF!</definedName>
    <definedName name="__123Graph_AEXP" localSheetId="57" hidden="1">#REF!</definedName>
    <definedName name="__123Graph_AEXP" localSheetId="59" hidden="1">#REF!</definedName>
    <definedName name="__123Graph_AEXP" localSheetId="61" hidden="1">#REF!</definedName>
    <definedName name="__123Graph_AEXP" localSheetId="60" hidden="1">#REF!</definedName>
    <definedName name="__123Graph_AEXP" localSheetId="16" hidden="1">#REF!</definedName>
    <definedName name="__123Graph_AEXP" hidden="1">#REF!</definedName>
    <definedName name="__123Graph_ATEST1" localSheetId="63" hidden="1">[5]REER!$AZ$144:$AZ$210</definedName>
    <definedName name="__123Graph_ATEST1" localSheetId="51" hidden="1">[6]REER!$AZ$144:$AZ$210</definedName>
    <definedName name="__123Graph_ATEST1" hidden="1">[7]REER!$AZ$144:$AZ$210</definedName>
    <definedName name="__123Graph_B" localSheetId="63" hidden="1">#REF!</definedName>
    <definedName name="__123Graph_B" localSheetId="1" hidden="1">#REF!</definedName>
    <definedName name="__123Graph_B" localSheetId="50" hidden="1">#REF!</definedName>
    <definedName name="__123Graph_B" localSheetId="51" hidden="1">#REF!</definedName>
    <definedName name="__123Graph_B" localSheetId="57" hidden="1">#REF!</definedName>
    <definedName name="__123Graph_B" localSheetId="59" hidden="1">#REF!</definedName>
    <definedName name="__123Graph_B" localSheetId="61" hidden="1">#REF!</definedName>
    <definedName name="__123Graph_B" localSheetId="60" hidden="1">#REF!</definedName>
    <definedName name="__123Graph_B" localSheetId="16" hidden="1">#REF!</definedName>
    <definedName name="__123Graph_B" hidden="1">#REF!</definedName>
    <definedName name="__123Graph_BCurrent" localSheetId="63" hidden="1">[8]G!#REF!</definedName>
    <definedName name="__123Graph_BCurrent" localSheetId="1" hidden="1">[8]G!#REF!</definedName>
    <definedName name="__123Graph_BCurrent" localSheetId="50" hidden="1">[8]G!#REF!</definedName>
    <definedName name="__123Graph_BCurrent" localSheetId="51" hidden="1">[8]G!#REF!</definedName>
    <definedName name="__123Graph_BCurrent" localSheetId="57" hidden="1">[8]G!#REF!</definedName>
    <definedName name="__123Graph_BCurrent" localSheetId="59" hidden="1">[8]G!#REF!</definedName>
    <definedName name="__123Graph_BCurrent" localSheetId="61" hidden="1">[8]G!#REF!</definedName>
    <definedName name="__123Graph_BCurrent" localSheetId="60" hidden="1">[8]G!#REF!</definedName>
    <definedName name="__123Graph_BCurrent" localSheetId="16" hidden="1">[8]G!#REF!</definedName>
    <definedName name="__123Graph_BCurrent" hidden="1">[8]G!#REF!</definedName>
    <definedName name="__123Graph_BGDP" localSheetId="63" hidden="1">'[9]Quarterly Program'!#REF!</definedName>
    <definedName name="__123Graph_BGDP" localSheetId="57" hidden="1">'[9]Quarterly Program'!#REF!</definedName>
    <definedName name="__123Graph_BGDP" localSheetId="59" hidden="1">'[9]Quarterly Program'!#REF!</definedName>
    <definedName name="__123Graph_BGDP" localSheetId="61" hidden="1">'[9]Quarterly Program'!#REF!</definedName>
    <definedName name="__123Graph_BGDP" localSheetId="60" hidden="1">'[9]Quarterly Program'!#REF!</definedName>
    <definedName name="__123Graph_BGDP" localSheetId="16" hidden="1">'[9]Quarterly Program'!#REF!</definedName>
    <definedName name="__123Graph_BGDP" hidden="1">'[9]Quarterly Program'!#REF!</definedName>
    <definedName name="__123Graph_BMONEY" localSheetId="63" hidden="1">'[9]Quarterly Program'!#REF!</definedName>
    <definedName name="__123Graph_BMONEY" localSheetId="57" hidden="1">'[9]Quarterly Program'!#REF!</definedName>
    <definedName name="__123Graph_BMONEY" localSheetId="59" hidden="1">'[9]Quarterly Program'!#REF!</definedName>
    <definedName name="__123Graph_BMONEY" localSheetId="61" hidden="1">'[9]Quarterly Program'!#REF!</definedName>
    <definedName name="__123Graph_BMONEY" localSheetId="60" hidden="1">'[9]Quarterly Program'!#REF!</definedName>
    <definedName name="__123Graph_BMONEY" localSheetId="16" hidden="1">'[9]Quarterly Program'!#REF!</definedName>
    <definedName name="__123Graph_BMONEY" hidden="1">'[9]Quarterly Program'!#REF!</definedName>
    <definedName name="__123Graph_BREER3" localSheetId="63" hidden="1">[5]REER!$BB$144:$BB$212</definedName>
    <definedName name="__123Graph_BREER3" localSheetId="51" hidden="1">[6]REER!$BB$144:$BB$212</definedName>
    <definedName name="__123Graph_BREER3" hidden="1">[7]REER!$BB$144:$BB$212</definedName>
    <definedName name="__123Graph_BTEST1" localSheetId="63" hidden="1">[5]REER!$AY$144:$AY$210</definedName>
    <definedName name="__123Graph_BTEST1" localSheetId="51" hidden="1">[6]REER!$AY$144:$AY$210</definedName>
    <definedName name="__123Graph_BTEST1" hidden="1">[7]REER!$AY$144:$AY$210</definedName>
    <definedName name="__123Graph_CREER3" localSheetId="63" hidden="1">[5]REER!$BB$144:$BB$212</definedName>
    <definedName name="__123Graph_CREER3" localSheetId="51" hidden="1">[6]REER!$BB$144:$BB$212</definedName>
    <definedName name="__123Graph_CREER3" hidden="1">[7]REER!$BB$144:$BB$212</definedName>
    <definedName name="__123Graph_CTEST1" localSheetId="63" hidden="1">[5]REER!$BK$140:$BK$140</definedName>
    <definedName name="__123Graph_CTEST1" localSheetId="51" hidden="1">[6]REER!$BK$140:$BK$140</definedName>
    <definedName name="__123Graph_CTEST1" hidden="1">[7]REER!$BK$140:$BK$140</definedName>
    <definedName name="__123Graph_DREER3" localSheetId="63" hidden="1">[5]REER!$BB$144:$BB$210</definedName>
    <definedName name="__123Graph_DREER3" localSheetId="51" hidden="1">[6]REER!$BB$144:$BB$210</definedName>
    <definedName name="__123Graph_DREER3" hidden="1">[7]REER!$BB$144:$BB$210</definedName>
    <definedName name="__123Graph_DTEST1" localSheetId="63" hidden="1">[5]REER!$BB$144:$BB$210</definedName>
    <definedName name="__123Graph_DTEST1" localSheetId="51" hidden="1">[6]REER!$BB$144:$BB$210</definedName>
    <definedName name="__123Graph_DTEST1" hidden="1">[7]REER!$BB$144:$BB$210</definedName>
    <definedName name="__123Graph_EREER3" localSheetId="63" hidden="1">[5]REER!$BR$144:$BR$211</definedName>
    <definedName name="__123Graph_EREER3" localSheetId="51" hidden="1">[6]REER!$BR$144:$BR$211</definedName>
    <definedName name="__123Graph_EREER3" hidden="1">[7]REER!$BR$144:$BR$211</definedName>
    <definedName name="__123Graph_ETEST1" localSheetId="63" hidden="1">[5]REER!$BR$144:$BR$211</definedName>
    <definedName name="__123Graph_ETEST1" localSheetId="51" hidden="1">[6]REER!$BR$144:$BR$211</definedName>
    <definedName name="__123Graph_ETEST1" hidden="1">[7]REER!$BR$144:$BR$211</definedName>
    <definedName name="__123Graph_FREER3" localSheetId="63" hidden="1">[5]REER!$BN$140:$BN$140</definedName>
    <definedName name="__123Graph_FREER3" localSheetId="51" hidden="1">[6]REER!$BN$140:$BN$140</definedName>
    <definedName name="__123Graph_FREER3" hidden="1">[7]REER!$BN$140:$BN$140</definedName>
    <definedName name="__123Graph_FTEST1" localSheetId="63" hidden="1">[5]REER!$BN$140:$BN$140</definedName>
    <definedName name="__123Graph_FTEST1" localSheetId="51" hidden="1">[6]REER!$BN$140:$BN$140</definedName>
    <definedName name="__123Graph_FTEST1" hidden="1">[7]REER!$BN$140:$BN$140</definedName>
    <definedName name="__123Graph_X" localSheetId="63" hidden="1">'[10]i2-KA'!#REF!</definedName>
    <definedName name="__123Graph_X" localSheetId="1" hidden="1">'[10]i2-KA'!#REF!</definedName>
    <definedName name="__123Graph_X" localSheetId="50" hidden="1">'[10]i2-KA'!#REF!</definedName>
    <definedName name="__123Graph_X" localSheetId="51" hidden="1">'[10]i2-KA'!#REF!</definedName>
    <definedName name="__123Graph_X" localSheetId="57" hidden="1">'[10]i2-KA'!#REF!</definedName>
    <definedName name="__123Graph_X" localSheetId="59" hidden="1">'[10]i2-KA'!#REF!</definedName>
    <definedName name="__123Graph_X" localSheetId="61" hidden="1">'[10]i2-KA'!#REF!</definedName>
    <definedName name="__123Graph_X" localSheetId="60" hidden="1">'[10]i2-KA'!#REF!</definedName>
    <definedName name="__123Graph_X" localSheetId="16" hidden="1">'[10]i2-KA'!#REF!</definedName>
    <definedName name="__123Graph_X" hidden="1">'[10]i2-KA'!#REF!</definedName>
    <definedName name="__123Graph_XCurrent" localSheetId="63" hidden="1">'[10]i2-KA'!#REF!</definedName>
    <definedName name="__123Graph_XCurrent" localSheetId="1" hidden="1">'[10]i2-KA'!#REF!</definedName>
    <definedName name="__123Graph_XCurrent" localSheetId="50" hidden="1">'[10]i2-KA'!#REF!</definedName>
    <definedName name="__123Graph_XCurrent" localSheetId="51" hidden="1">'[10]i2-KA'!#REF!</definedName>
    <definedName name="__123Graph_XCurrent" localSheetId="57" hidden="1">'[10]i2-KA'!#REF!</definedName>
    <definedName name="__123Graph_XCurrent" localSheetId="59" hidden="1">'[10]i2-KA'!#REF!</definedName>
    <definedName name="__123Graph_XCurrent" localSheetId="61" hidden="1">'[10]i2-KA'!#REF!</definedName>
    <definedName name="__123Graph_XCurrent" localSheetId="60" hidden="1">'[10]i2-KA'!#REF!</definedName>
    <definedName name="__123Graph_XCurrent" localSheetId="16" hidden="1">'[10]i2-KA'!#REF!</definedName>
    <definedName name="__123Graph_XCurrent" hidden="1">'[10]i2-KA'!#REF!</definedName>
    <definedName name="__123Graph_XEXP" localSheetId="63" hidden="1">[11]EdssGeeGAS!#REF!</definedName>
    <definedName name="__123Graph_XEXP" localSheetId="57" hidden="1">[11]EdssGeeGAS!#REF!</definedName>
    <definedName name="__123Graph_XEXP" localSheetId="59" hidden="1">[11]EdssGeeGAS!#REF!</definedName>
    <definedName name="__123Graph_XEXP" localSheetId="61" hidden="1">[11]EdssGeeGAS!#REF!</definedName>
    <definedName name="__123Graph_XEXP" localSheetId="60" hidden="1">[11]EdssGeeGAS!#REF!</definedName>
    <definedName name="__123Graph_XEXP" localSheetId="16" hidden="1">[11]EdssGeeGAS!#REF!</definedName>
    <definedName name="__123Graph_XEXP" hidden="1">[11]EdssGeeGAS!#REF!</definedName>
    <definedName name="__123Graph_XChart1" localSheetId="63" hidden="1">'[10]i2-KA'!#REF!</definedName>
    <definedName name="__123Graph_XChart1" localSheetId="1" hidden="1">'[10]i2-KA'!#REF!</definedName>
    <definedName name="__123Graph_XChart1" localSheetId="50" hidden="1">'[10]i2-KA'!#REF!</definedName>
    <definedName name="__123Graph_XChart1" localSheetId="51" hidden="1">'[10]i2-KA'!#REF!</definedName>
    <definedName name="__123Graph_XChart1" localSheetId="57" hidden="1">'[10]i2-KA'!#REF!</definedName>
    <definedName name="__123Graph_XChart1" localSheetId="59" hidden="1">'[10]i2-KA'!#REF!</definedName>
    <definedName name="__123Graph_XChart1" localSheetId="61" hidden="1">'[10]i2-KA'!#REF!</definedName>
    <definedName name="__123Graph_XChart1" localSheetId="60" hidden="1">'[10]i2-KA'!#REF!</definedName>
    <definedName name="__123Graph_XChart1" localSheetId="16" hidden="1">'[10]i2-KA'!#REF!</definedName>
    <definedName name="__123Graph_XChart1" hidden="1">'[10]i2-KA'!#REF!</definedName>
    <definedName name="__123Graph_XChart2" localSheetId="63" hidden="1">'[10]i2-KA'!#REF!</definedName>
    <definedName name="__123Graph_XChart2" localSheetId="1" hidden="1">'[10]i2-KA'!#REF!</definedName>
    <definedName name="__123Graph_XChart2" localSheetId="50" hidden="1">'[10]i2-KA'!#REF!</definedName>
    <definedName name="__123Graph_XChart2" localSheetId="51" hidden="1">'[10]i2-KA'!#REF!</definedName>
    <definedName name="__123Graph_XChart2" localSheetId="57" hidden="1">'[10]i2-KA'!#REF!</definedName>
    <definedName name="__123Graph_XChart2" localSheetId="59" hidden="1">'[10]i2-KA'!#REF!</definedName>
    <definedName name="__123Graph_XChart2" localSheetId="61" hidden="1">'[10]i2-KA'!#REF!</definedName>
    <definedName name="__123Graph_XChart2" localSheetId="60" hidden="1">'[10]i2-KA'!#REF!</definedName>
    <definedName name="__123Graph_XChart2" localSheetId="16" hidden="1">'[10]i2-KA'!#REF!</definedName>
    <definedName name="__123Graph_XChart2" hidden="1">'[10]i2-KA'!#REF!</definedName>
    <definedName name="__123Graph_XTEST1" localSheetId="63" hidden="1">[5]REER!$C$9:$C$75</definedName>
    <definedName name="__123Graph_XTEST1" localSheetId="51" hidden="1">[6]REER!$C$9:$C$75</definedName>
    <definedName name="__123Graph_XTEST1" hidden="1">[7]REER!$C$9:$C$75</definedName>
    <definedName name="__BOP1" localSheetId="63">#REF!</definedName>
    <definedName name="__BOP1" localSheetId="1">#REF!</definedName>
    <definedName name="__BOP1" localSheetId="57">#REF!</definedName>
    <definedName name="__BOP1" localSheetId="59">#REF!</definedName>
    <definedName name="__BOP1" localSheetId="61">#REF!</definedName>
    <definedName name="__BOP1" localSheetId="60">#REF!</definedName>
    <definedName name="__BOP1" localSheetId="16">#REF!</definedName>
    <definedName name="__BOP1">#REF!</definedName>
    <definedName name="__BOP2" localSheetId="63">[1]BoP!#REF!</definedName>
    <definedName name="__BOP2" localSheetId="1">[1]BoP!#REF!</definedName>
    <definedName name="__BOP2" localSheetId="51">[1]BoP!#REF!</definedName>
    <definedName name="__BOP2" localSheetId="57">[1]BoP!#REF!</definedName>
    <definedName name="__BOP2" localSheetId="59">[1]BoP!#REF!</definedName>
    <definedName name="__BOP2" localSheetId="61">[1]BoP!#REF!</definedName>
    <definedName name="__BOP2" localSheetId="60">[1]BoP!#REF!</definedName>
    <definedName name="__BOP2" localSheetId="16">[1]BoP!#REF!</definedName>
    <definedName name="__BOP2">[1]BoP!#REF!</definedName>
    <definedName name="__dat1" localSheetId="63">'[2]work Q real'!#REF!</definedName>
    <definedName name="__dat1" localSheetId="1">'[2]work Q real'!#REF!</definedName>
    <definedName name="__dat1" localSheetId="51">'[2]work Q real'!#REF!</definedName>
    <definedName name="__dat1" localSheetId="57">'[2]work Q real'!#REF!</definedName>
    <definedName name="__dat1" localSheetId="59">'[2]work Q real'!#REF!</definedName>
    <definedName name="__dat1" localSheetId="61">'[2]work Q real'!#REF!</definedName>
    <definedName name="__dat1" localSheetId="60">'[2]work Q real'!#REF!</definedName>
    <definedName name="__dat1" localSheetId="16">'[2]work Q real'!#REF!</definedName>
    <definedName name="__dat1">'[2]work Q real'!#REF!</definedName>
    <definedName name="__dat2" localSheetId="63">#REF!</definedName>
    <definedName name="__dat2" localSheetId="1">#REF!</definedName>
    <definedName name="__dat2" localSheetId="57">#REF!</definedName>
    <definedName name="__dat2" localSheetId="59">#REF!</definedName>
    <definedName name="__dat2" localSheetId="61">#REF!</definedName>
    <definedName name="__dat2" localSheetId="60">#REF!</definedName>
    <definedName name="__dat2" localSheetId="16">#REF!</definedName>
    <definedName name="__dat2">#REF!</definedName>
    <definedName name="__EXP5" localSheetId="63">#REF!</definedName>
    <definedName name="__EXP5" localSheetId="1">#REF!</definedName>
    <definedName name="__EXP5" localSheetId="51">#REF!</definedName>
    <definedName name="__EXP5" localSheetId="57">#REF!</definedName>
    <definedName name="__EXP5" localSheetId="59">#REF!</definedName>
    <definedName name="__EXP5" localSheetId="61">#REF!</definedName>
    <definedName name="__EXP5" localSheetId="60">#REF!</definedName>
    <definedName name="__EXP5" localSheetId="16">#REF!</definedName>
    <definedName name="__EXP5">#REF!</definedName>
    <definedName name="__EXP6" localSheetId="63">#REF!</definedName>
    <definedName name="__EXP6" localSheetId="1">#REF!</definedName>
    <definedName name="__EXP6" localSheetId="51">#REF!</definedName>
    <definedName name="__EXP6" localSheetId="57">#REF!</definedName>
    <definedName name="__EXP6" localSheetId="59">#REF!</definedName>
    <definedName name="__EXP6" localSheetId="61">#REF!</definedName>
    <definedName name="__EXP6" localSheetId="60">#REF!</definedName>
    <definedName name="__EXP6" localSheetId="16">#REF!</definedName>
    <definedName name="__EXP6">#REF!</definedName>
    <definedName name="__EXP7" localSheetId="63">#REF!</definedName>
    <definedName name="__EXP7" localSheetId="1">#REF!</definedName>
    <definedName name="__EXP7" localSheetId="51">#REF!</definedName>
    <definedName name="__EXP7" localSheetId="57">#REF!</definedName>
    <definedName name="__EXP7" localSheetId="59">#REF!</definedName>
    <definedName name="__EXP7" localSheetId="61">#REF!</definedName>
    <definedName name="__EXP7" localSheetId="60">#REF!</definedName>
    <definedName name="__EXP7" localSheetId="16">#REF!</definedName>
    <definedName name="__EXP7">#REF!</definedName>
    <definedName name="__EXP9" localSheetId="63">#REF!</definedName>
    <definedName name="__EXP9" localSheetId="1">#REF!</definedName>
    <definedName name="__EXP9" localSheetId="51">#REF!</definedName>
    <definedName name="__EXP9" localSheetId="57">#REF!</definedName>
    <definedName name="__EXP9" localSheetId="59">#REF!</definedName>
    <definedName name="__EXP9" localSheetId="61">#REF!</definedName>
    <definedName name="__EXP9" localSheetId="60">#REF!</definedName>
    <definedName name="__EXP9" localSheetId="16">#REF!</definedName>
    <definedName name="__EXP9">#REF!</definedName>
    <definedName name="__IMP10" localSheetId="63">#REF!</definedName>
    <definedName name="__IMP10" localSheetId="1">#REF!</definedName>
    <definedName name="__IMP10" localSheetId="57">#REF!</definedName>
    <definedName name="__IMP10" localSheetId="59">#REF!</definedName>
    <definedName name="__IMP10" localSheetId="61">#REF!</definedName>
    <definedName name="__IMP10" localSheetId="60">#REF!</definedName>
    <definedName name="__IMP10" localSheetId="16">#REF!</definedName>
    <definedName name="__IMP10">#REF!</definedName>
    <definedName name="__IMP2" localSheetId="63">#REF!</definedName>
    <definedName name="__IMP2" localSheetId="1">#REF!</definedName>
    <definedName name="__IMP2" localSheetId="51">#REF!</definedName>
    <definedName name="__IMP2" localSheetId="57">#REF!</definedName>
    <definedName name="__IMP2" localSheetId="59">#REF!</definedName>
    <definedName name="__IMP2" localSheetId="61">#REF!</definedName>
    <definedName name="__IMP2" localSheetId="60">#REF!</definedName>
    <definedName name="__IMP2" localSheetId="16">#REF!</definedName>
    <definedName name="__IMP2">#REF!</definedName>
    <definedName name="__IMP4" localSheetId="63">#REF!</definedName>
    <definedName name="__IMP4" localSheetId="1">#REF!</definedName>
    <definedName name="__IMP4" localSheetId="51">#REF!</definedName>
    <definedName name="__IMP4" localSheetId="57">#REF!</definedName>
    <definedName name="__IMP4" localSheetId="59">#REF!</definedName>
    <definedName name="__IMP4" localSheetId="61">#REF!</definedName>
    <definedName name="__IMP4" localSheetId="60">#REF!</definedName>
    <definedName name="__IMP4" localSheetId="16">#REF!</definedName>
    <definedName name="__IMP4">#REF!</definedName>
    <definedName name="__IMP6" localSheetId="63">#REF!</definedName>
    <definedName name="__IMP6" localSheetId="1">#REF!</definedName>
    <definedName name="__IMP6" localSheetId="51">#REF!</definedName>
    <definedName name="__IMP6" localSheetId="57">#REF!</definedName>
    <definedName name="__IMP6" localSheetId="59">#REF!</definedName>
    <definedName name="__IMP6" localSheetId="61">#REF!</definedName>
    <definedName name="__IMP6" localSheetId="60">#REF!</definedName>
    <definedName name="__IMP6" localSheetId="16">#REF!</definedName>
    <definedName name="__IMP6">#REF!</definedName>
    <definedName name="__IMP7" localSheetId="63">#REF!</definedName>
    <definedName name="__IMP7" localSheetId="1">#REF!</definedName>
    <definedName name="__IMP7" localSheetId="51">#REF!</definedName>
    <definedName name="__IMP7" localSheetId="57">#REF!</definedName>
    <definedName name="__IMP7" localSheetId="59">#REF!</definedName>
    <definedName name="__IMP7" localSheetId="61">#REF!</definedName>
    <definedName name="__IMP7" localSheetId="60">#REF!</definedName>
    <definedName name="__IMP7" localSheetId="16">#REF!</definedName>
    <definedName name="__IMP7">#REF!</definedName>
    <definedName name="__IMP8" localSheetId="63">#REF!</definedName>
    <definedName name="__IMP8" localSheetId="1">#REF!</definedName>
    <definedName name="__IMP8" localSheetId="57">#REF!</definedName>
    <definedName name="__IMP8" localSheetId="59">#REF!</definedName>
    <definedName name="__IMP8" localSheetId="61">#REF!</definedName>
    <definedName name="__IMP8" localSheetId="60">#REF!</definedName>
    <definedName name="__IMP8" localSheetId="16">#REF!</definedName>
    <definedName name="__IMP8">#REF!</definedName>
    <definedName name="__MTS2" localSheetId="63">'[3]Annual Tables'!#REF!</definedName>
    <definedName name="__MTS2" localSheetId="1">'[3]Annual Tables'!#REF!</definedName>
    <definedName name="__MTS2" localSheetId="51">'[3]Annual Tables'!#REF!</definedName>
    <definedName name="__MTS2" localSheetId="57">'[3]Annual Tables'!#REF!</definedName>
    <definedName name="__MTS2" localSheetId="59">'[3]Annual Tables'!#REF!</definedName>
    <definedName name="__MTS2" localSheetId="61">'[3]Annual Tables'!#REF!</definedName>
    <definedName name="__MTS2" localSheetId="60">'[3]Annual Tables'!#REF!</definedName>
    <definedName name="__MTS2" localSheetId="16">'[3]Annual Tables'!#REF!</definedName>
    <definedName name="__MTS2">'[3]Annual Tables'!#REF!</definedName>
    <definedName name="__OUT1" localSheetId="63">#REF!</definedName>
    <definedName name="__OUT1" localSheetId="1">#REF!</definedName>
    <definedName name="__OUT1" localSheetId="57">#REF!</definedName>
    <definedName name="__OUT1" localSheetId="59">#REF!</definedName>
    <definedName name="__OUT1" localSheetId="61">#REF!</definedName>
    <definedName name="__OUT1" localSheetId="60">#REF!</definedName>
    <definedName name="__OUT1" localSheetId="16">#REF!</definedName>
    <definedName name="__OUT1">#REF!</definedName>
    <definedName name="__OUT2" localSheetId="63">#REF!</definedName>
    <definedName name="__OUT2" localSheetId="1">#REF!</definedName>
    <definedName name="__OUT2" localSheetId="57">#REF!</definedName>
    <definedName name="__OUT2" localSheetId="59">#REF!</definedName>
    <definedName name="__OUT2" localSheetId="61">#REF!</definedName>
    <definedName name="__OUT2" localSheetId="60">#REF!</definedName>
    <definedName name="__OUT2" localSheetId="16">#REF!</definedName>
    <definedName name="__OUT2">#REF!</definedName>
    <definedName name="__PAG2" localSheetId="63">[3]Index!#REF!</definedName>
    <definedName name="__PAG2" localSheetId="1">[3]Index!#REF!</definedName>
    <definedName name="__PAG2" localSheetId="51">[3]Index!#REF!</definedName>
    <definedName name="__PAG2" localSheetId="57">[3]Index!#REF!</definedName>
    <definedName name="__PAG2" localSheetId="59">[3]Index!#REF!</definedName>
    <definedName name="__PAG2" localSheetId="61">[3]Index!#REF!</definedName>
    <definedName name="__PAG2" localSheetId="60">[3]Index!#REF!</definedName>
    <definedName name="__PAG2" localSheetId="16">[3]Index!#REF!</definedName>
    <definedName name="__PAG2">[3]Index!#REF!</definedName>
    <definedName name="__PAG3" localSheetId="63">[3]Index!#REF!</definedName>
    <definedName name="__PAG3" localSheetId="1">[3]Index!#REF!</definedName>
    <definedName name="__PAG3" localSheetId="51">[3]Index!#REF!</definedName>
    <definedName name="__PAG3" localSheetId="57">[3]Index!#REF!</definedName>
    <definedName name="__PAG3" localSheetId="59">[3]Index!#REF!</definedName>
    <definedName name="__PAG3" localSheetId="61">[3]Index!#REF!</definedName>
    <definedName name="__PAG3" localSheetId="60">[3]Index!#REF!</definedName>
    <definedName name="__PAG3" localSheetId="16">[3]Index!#REF!</definedName>
    <definedName name="__PAG3">[3]Index!#REF!</definedName>
    <definedName name="__PAG4" localSheetId="63">[3]Index!#REF!</definedName>
    <definedName name="__PAG4" localSheetId="1">[3]Index!#REF!</definedName>
    <definedName name="__PAG4" localSheetId="51">[3]Index!#REF!</definedName>
    <definedName name="__PAG4" localSheetId="57">[3]Index!#REF!</definedName>
    <definedName name="__PAG4" localSheetId="59">[3]Index!#REF!</definedName>
    <definedName name="__PAG4" localSheetId="61">[3]Index!#REF!</definedName>
    <definedName name="__PAG4" localSheetId="60">[3]Index!#REF!</definedName>
    <definedName name="__PAG4" localSheetId="16">[3]Index!#REF!</definedName>
    <definedName name="__PAG4">[3]Index!#REF!</definedName>
    <definedName name="__PAG5" localSheetId="63">[3]Index!#REF!</definedName>
    <definedName name="__PAG5" localSheetId="1">[3]Index!#REF!</definedName>
    <definedName name="__PAG5" localSheetId="51">[3]Index!#REF!</definedName>
    <definedName name="__PAG5" localSheetId="57">[3]Index!#REF!</definedName>
    <definedName name="__PAG5" localSheetId="59">[3]Index!#REF!</definedName>
    <definedName name="__PAG5" localSheetId="61">[3]Index!#REF!</definedName>
    <definedName name="__PAG5" localSheetId="60">[3]Index!#REF!</definedName>
    <definedName name="__PAG5" localSheetId="16">[3]Index!#REF!</definedName>
    <definedName name="__PAG5">[3]Index!#REF!</definedName>
    <definedName name="__PAG6" localSheetId="63">[3]Index!#REF!</definedName>
    <definedName name="__PAG6" localSheetId="1">[3]Index!#REF!</definedName>
    <definedName name="__PAG6" localSheetId="51">[3]Index!#REF!</definedName>
    <definedName name="__PAG6" localSheetId="57">[3]Index!#REF!</definedName>
    <definedName name="__PAG6" localSheetId="59">[3]Index!#REF!</definedName>
    <definedName name="__PAG6" localSheetId="61">[3]Index!#REF!</definedName>
    <definedName name="__PAG6" localSheetId="60">[3]Index!#REF!</definedName>
    <definedName name="__PAG6" localSheetId="16">[3]Index!#REF!</definedName>
    <definedName name="__PAG6">[3]Index!#REF!</definedName>
    <definedName name="__PAG7" localSheetId="63">#REF!</definedName>
    <definedName name="__PAG7" localSheetId="1">#REF!</definedName>
    <definedName name="__PAG7" localSheetId="57">#REF!</definedName>
    <definedName name="__PAG7" localSheetId="59">#REF!</definedName>
    <definedName name="__PAG7" localSheetId="61">#REF!</definedName>
    <definedName name="__PAG7" localSheetId="60">#REF!</definedName>
    <definedName name="__PAG7" localSheetId="16">#REF!</definedName>
    <definedName name="__PAG7">#REF!</definedName>
    <definedName name="__pro2001" localSheetId="63">[4]pro2001!$A$1:$B$72</definedName>
    <definedName name="__pro2001">[12]pro2001!$A$1:$B$72</definedName>
    <definedName name="__RES2" localSheetId="63">[1]RES!#REF!</definedName>
    <definedName name="__RES2" localSheetId="1">[1]RES!#REF!</definedName>
    <definedName name="__RES2" localSheetId="51">[1]RES!#REF!</definedName>
    <definedName name="__RES2" localSheetId="57">[1]RES!#REF!</definedName>
    <definedName name="__RES2" localSheetId="59">[1]RES!#REF!</definedName>
    <definedName name="__RES2" localSheetId="61">[1]RES!#REF!</definedName>
    <definedName name="__RES2" localSheetId="60">[1]RES!#REF!</definedName>
    <definedName name="__RES2" localSheetId="16">[1]RES!#REF!</definedName>
    <definedName name="__RES2">[1]RES!#REF!</definedName>
    <definedName name="__TAB1" localSheetId="63">#REF!</definedName>
    <definedName name="__TAB1" localSheetId="1">#REF!</definedName>
    <definedName name="__TAB1" localSheetId="57">#REF!</definedName>
    <definedName name="__TAB1" localSheetId="59">#REF!</definedName>
    <definedName name="__TAB1" localSheetId="61">#REF!</definedName>
    <definedName name="__TAB1" localSheetId="60">#REF!</definedName>
    <definedName name="__TAB1" localSheetId="16">#REF!</definedName>
    <definedName name="__TAB1">#REF!</definedName>
    <definedName name="__TAB10" localSheetId="63">#REF!</definedName>
    <definedName name="__TAB10" localSheetId="1">#REF!</definedName>
    <definedName name="__TAB10" localSheetId="57">#REF!</definedName>
    <definedName name="__TAB10" localSheetId="59">#REF!</definedName>
    <definedName name="__TAB10" localSheetId="61">#REF!</definedName>
    <definedName name="__TAB10" localSheetId="60">#REF!</definedName>
    <definedName name="__TAB10" localSheetId="16">#REF!</definedName>
    <definedName name="__TAB10">#REF!</definedName>
    <definedName name="__TAB12" localSheetId="63">#REF!</definedName>
    <definedName name="__TAB12" localSheetId="1">#REF!</definedName>
    <definedName name="__TAB12" localSheetId="57">#REF!</definedName>
    <definedName name="__TAB12" localSheetId="59">#REF!</definedName>
    <definedName name="__TAB12" localSheetId="61">#REF!</definedName>
    <definedName name="__TAB12" localSheetId="60">#REF!</definedName>
    <definedName name="__TAB12" localSheetId="16">#REF!</definedName>
    <definedName name="__TAB12">#REF!</definedName>
    <definedName name="__Tab19" localSheetId="63">#REF!</definedName>
    <definedName name="__Tab19" localSheetId="1">#REF!</definedName>
    <definedName name="__Tab19" localSheetId="57">#REF!</definedName>
    <definedName name="__Tab19" localSheetId="59">#REF!</definedName>
    <definedName name="__Tab19" localSheetId="61">#REF!</definedName>
    <definedName name="__Tab19" localSheetId="60">#REF!</definedName>
    <definedName name="__Tab19" localSheetId="16">#REF!</definedName>
    <definedName name="__Tab19">#REF!</definedName>
    <definedName name="__TAB2" localSheetId="63">#REF!</definedName>
    <definedName name="__TAB2" localSheetId="1">#REF!</definedName>
    <definedName name="__TAB2" localSheetId="57">#REF!</definedName>
    <definedName name="__TAB2" localSheetId="59">#REF!</definedName>
    <definedName name="__TAB2" localSheetId="61">#REF!</definedName>
    <definedName name="__TAB2" localSheetId="60">#REF!</definedName>
    <definedName name="__TAB2" localSheetId="16">#REF!</definedName>
    <definedName name="__TAB2">#REF!</definedName>
    <definedName name="__Tab20" localSheetId="63">#REF!</definedName>
    <definedName name="__Tab20" localSheetId="1">#REF!</definedName>
    <definedName name="__Tab20" localSheetId="57">#REF!</definedName>
    <definedName name="__Tab20" localSheetId="59">#REF!</definedName>
    <definedName name="__Tab20" localSheetId="61">#REF!</definedName>
    <definedName name="__Tab20" localSheetId="60">#REF!</definedName>
    <definedName name="__Tab20" localSheetId="16">#REF!</definedName>
    <definedName name="__Tab20">#REF!</definedName>
    <definedName name="__Tab21" localSheetId="63">#REF!</definedName>
    <definedName name="__Tab21" localSheetId="1">#REF!</definedName>
    <definedName name="__Tab21" localSheetId="57">#REF!</definedName>
    <definedName name="__Tab21" localSheetId="59">#REF!</definedName>
    <definedName name="__Tab21" localSheetId="61">#REF!</definedName>
    <definedName name="__Tab21" localSheetId="60">#REF!</definedName>
    <definedName name="__Tab21" localSheetId="16">#REF!</definedName>
    <definedName name="__Tab21">#REF!</definedName>
    <definedName name="__Tab22" localSheetId="63">#REF!</definedName>
    <definedName name="__Tab22" localSheetId="1">#REF!</definedName>
    <definedName name="__Tab22" localSheetId="57">#REF!</definedName>
    <definedName name="__Tab22" localSheetId="59">#REF!</definedName>
    <definedName name="__Tab22" localSheetId="61">#REF!</definedName>
    <definedName name="__Tab22" localSheetId="60">#REF!</definedName>
    <definedName name="__Tab22" localSheetId="16">#REF!</definedName>
    <definedName name="__Tab22">#REF!</definedName>
    <definedName name="__Tab23" localSheetId="63">#REF!</definedName>
    <definedName name="__Tab23" localSheetId="1">#REF!</definedName>
    <definedName name="__Tab23" localSheetId="57">#REF!</definedName>
    <definedName name="__Tab23" localSheetId="59">#REF!</definedName>
    <definedName name="__Tab23" localSheetId="61">#REF!</definedName>
    <definedName name="__Tab23" localSheetId="60">#REF!</definedName>
    <definedName name="__Tab23" localSheetId="16">#REF!</definedName>
    <definedName name="__Tab23">#REF!</definedName>
    <definedName name="__Tab24" localSheetId="63">#REF!</definedName>
    <definedName name="__Tab24" localSheetId="1">#REF!</definedName>
    <definedName name="__Tab24" localSheetId="57">#REF!</definedName>
    <definedName name="__Tab24" localSheetId="59">#REF!</definedName>
    <definedName name="__Tab24" localSheetId="61">#REF!</definedName>
    <definedName name="__Tab24" localSheetId="60">#REF!</definedName>
    <definedName name="__Tab24" localSheetId="16">#REF!</definedName>
    <definedName name="__Tab24">#REF!</definedName>
    <definedName name="__Tab26" localSheetId="63">#REF!</definedName>
    <definedName name="__Tab26" localSheetId="1">#REF!</definedName>
    <definedName name="__Tab26" localSheetId="57">#REF!</definedName>
    <definedName name="__Tab26" localSheetId="59">#REF!</definedName>
    <definedName name="__Tab26" localSheetId="61">#REF!</definedName>
    <definedName name="__Tab26" localSheetId="60">#REF!</definedName>
    <definedName name="__Tab26" localSheetId="16">#REF!</definedName>
    <definedName name="__Tab26">#REF!</definedName>
    <definedName name="__Tab27" localSheetId="63">#REF!</definedName>
    <definedName name="__Tab27" localSheetId="1">#REF!</definedName>
    <definedName name="__Tab27" localSheetId="57">#REF!</definedName>
    <definedName name="__Tab27" localSheetId="59">#REF!</definedName>
    <definedName name="__Tab27" localSheetId="61">#REF!</definedName>
    <definedName name="__Tab27" localSheetId="60">#REF!</definedName>
    <definedName name="__Tab27" localSheetId="16">#REF!</definedName>
    <definedName name="__Tab27">#REF!</definedName>
    <definedName name="__Tab28" localSheetId="63">#REF!</definedName>
    <definedName name="__Tab28" localSheetId="1">#REF!</definedName>
    <definedName name="__Tab28" localSheetId="57">#REF!</definedName>
    <definedName name="__Tab28" localSheetId="59">#REF!</definedName>
    <definedName name="__Tab28" localSheetId="61">#REF!</definedName>
    <definedName name="__Tab28" localSheetId="60">#REF!</definedName>
    <definedName name="__Tab28" localSheetId="16">#REF!</definedName>
    <definedName name="__Tab28">#REF!</definedName>
    <definedName name="__Tab29" localSheetId="63">#REF!</definedName>
    <definedName name="__Tab29" localSheetId="1">#REF!</definedName>
    <definedName name="__Tab29" localSheetId="57">#REF!</definedName>
    <definedName name="__Tab29" localSheetId="59">#REF!</definedName>
    <definedName name="__Tab29" localSheetId="61">#REF!</definedName>
    <definedName name="__Tab29" localSheetId="60">#REF!</definedName>
    <definedName name="__Tab29" localSheetId="16">#REF!</definedName>
    <definedName name="__Tab29">#REF!</definedName>
    <definedName name="__TAB3" localSheetId="63">#REF!</definedName>
    <definedName name="__TAB3" localSheetId="1">#REF!</definedName>
    <definedName name="__TAB3" localSheetId="57">#REF!</definedName>
    <definedName name="__TAB3" localSheetId="59">#REF!</definedName>
    <definedName name="__TAB3" localSheetId="61">#REF!</definedName>
    <definedName name="__TAB3" localSheetId="60">#REF!</definedName>
    <definedName name="__TAB3" localSheetId="16">#REF!</definedName>
    <definedName name="__TAB3">#REF!</definedName>
    <definedName name="__Tab30" localSheetId="63">#REF!</definedName>
    <definedName name="__Tab30" localSheetId="1">#REF!</definedName>
    <definedName name="__Tab30" localSheetId="57">#REF!</definedName>
    <definedName name="__Tab30" localSheetId="59">#REF!</definedName>
    <definedName name="__Tab30" localSheetId="61">#REF!</definedName>
    <definedName name="__Tab30" localSheetId="60">#REF!</definedName>
    <definedName name="__Tab30" localSheetId="16">#REF!</definedName>
    <definedName name="__Tab30">#REF!</definedName>
    <definedName name="__Tab31" localSheetId="63">#REF!</definedName>
    <definedName name="__Tab31" localSheetId="1">#REF!</definedName>
    <definedName name="__Tab31" localSheetId="57">#REF!</definedName>
    <definedName name="__Tab31" localSheetId="59">#REF!</definedName>
    <definedName name="__Tab31" localSheetId="61">#REF!</definedName>
    <definedName name="__Tab31" localSheetId="60">#REF!</definedName>
    <definedName name="__Tab31" localSheetId="16">#REF!</definedName>
    <definedName name="__Tab31">#REF!</definedName>
    <definedName name="__Tab32" localSheetId="63">#REF!</definedName>
    <definedName name="__Tab32" localSheetId="1">#REF!</definedName>
    <definedName name="__Tab32" localSheetId="57">#REF!</definedName>
    <definedName name="__Tab32" localSheetId="59">#REF!</definedName>
    <definedName name="__Tab32" localSheetId="61">#REF!</definedName>
    <definedName name="__Tab32" localSheetId="60">#REF!</definedName>
    <definedName name="__Tab32" localSheetId="16">#REF!</definedName>
    <definedName name="__Tab32">#REF!</definedName>
    <definedName name="__Tab33" localSheetId="63">#REF!</definedName>
    <definedName name="__Tab33" localSheetId="1">#REF!</definedName>
    <definedName name="__Tab33" localSheetId="57">#REF!</definedName>
    <definedName name="__Tab33" localSheetId="59">#REF!</definedName>
    <definedName name="__Tab33" localSheetId="61">#REF!</definedName>
    <definedName name="__Tab33" localSheetId="60">#REF!</definedName>
    <definedName name="__Tab33" localSheetId="16">#REF!</definedName>
    <definedName name="__Tab33">#REF!</definedName>
    <definedName name="__Tab34" localSheetId="63">#REF!</definedName>
    <definedName name="__Tab34" localSheetId="1">#REF!</definedName>
    <definedName name="__Tab34" localSheetId="57">#REF!</definedName>
    <definedName name="__Tab34" localSheetId="59">#REF!</definedName>
    <definedName name="__Tab34" localSheetId="61">#REF!</definedName>
    <definedName name="__Tab34" localSheetId="60">#REF!</definedName>
    <definedName name="__Tab34" localSheetId="16">#REF!</definedName>
    <definedName name="__Tab34">#REF!</definedName>
    <definedName name="__Tab35" localSheetId="63">#REF!</definedName>
    <definedName name="__Tab35" localSheetId="1">#REF!</definedName>
    <definedName name="__Tab35" localSheetId="57">#REF!</definedName>
    <definedName name="__Tab35" localSheetId="59">#REF!</definedName>
    <definedName name="__Tab35" localSheetId="61">#REF!</definedName>
    <definedName name="__Tab35" localSheetId="60">#REF!</definedName>
    <definedName name="__Tab35" localSheetId="16">#REF!</definedName>
    <definedName name="__Tab35">#REF!</definedName>
    <definedName name="__TAB4" localSheetId="63">#REF!</definedName>
    <definedName name="__TAB4" localSheetId="1">#REF!</definedName>
    <definedName name="__TAB4" localSheetId="57">#REF!</definedName>
    <definedName name="__TAB4" localSheetId="59">#REF!</definedName>
    <definedName name="__TAB4" localSheetId="61">#REF!</definedName>
    <definedName name="__TAB4" localSheetId="60">#REF!</definedName>
    <definedName name="__TAB4" localSheetId="16">#REF!</definedName>
    <definedName name="__TAB4">#REF!</definedName>
    <definedName name="__TAB5" localSheetId="63">#REF!</definedName>
    <definedName name="__TAB5" localSheetId="1">#REF!</definedName>
    <definedName name="__TAB5" localSheetId="57">#REF!</definedName>
    <definedName name="__TAB5" localSheetId="59">#REF!</definedName>
    <definedName name="__TAB5" localSheetId="61">#REF!</definedName>
    <definedName name="__TAB5" localSheetId="60">#REF!</definedName>
    <definedName name="__TAB5" localSheetId="16">#REF!</definedName>
    <definedName name="__TAB5">#REF!</definedName>
    <definedName name="__tab6" localSheetId="63">#REF!</definedName>
    <definedName name="__tab6" localSheetId="1">#REF!</definedName>
    <definedName name="__tab6" localSheetId="57">#REF!</definedName>
    <definedName name="__tab6" localSheetId="59">#REF!</definedName>
    <definedName name="__tab6" localSheetId="61">#REF!</definedName>
    <definedName name="__tab6" localSheetId="60">#REF!</definedName>
    <definedName name="__tab6" localSheetId="16">#REF!</definedName>
    <definedName name="__tab6">#REF!</definedName>
    <definedName name="__TAB7" localSheetId="63">#REF!</definedName>
    <definedName name="__TAB7" localSheetId="1">#REF!</definedName>
    <definedName name="__TAB7" localSheetId="51">#REF!</definedName>
    <definedName name="__TAB7" localSheetId="57">#REF!</definedName>
    <definedName name="__TAB7" localSheetId="59">#REF!</definedName>
    <definedName name="__TAB7" localSheetId="61">#REF!</definedName>
    <definedName name="__TAB7" localSheetId="60">#REF!</definedName>
    <definedName name="__TAB7" localSheetId="16">#REF!</definedName>
    <definedName name="__TAB7">#REF!</definedName>
    <definedName name="__TAB8" localSheetId="63">#REF!</definedName>
    <definedName name="__TAB8" localSheetId="1">#REF!</definedName>
    <definedName name="__TAB8" localSheetId="57">#REF!</definedName>
    <definedName name="__TAB8" localSheetId="59">#REF!</definedName>
    <definedName name="__TAB8" localSheetId="61">#REF!</definedName>
    <definedName name="__TAB8" localSheetId="60">#REF!</definedName>
    <definedName name="__TAB8" localSheetId="16">#REF!</definedName>
    <definedName name="__TAB8">#REF!</definedName>
    <definedName name="__tab9" localSheetId="63">#REF!</definedName>
    <definedName name="__tab9" localSheetId="1">#REF!</definedName>
    <definedName name="__tab9" localSheetId="57">#REF!</definedName>
    <definedName name="__tab9" localSheetId="59">#REF!</definedName>
    <definedName name="__tab9" localSheetId="61">#REF!</definedName>
    <definedName name="__tab9" localSheetId="60">#REF!</definedName>
    <definedName name="__tab9" localSheetId="16">#REF!</definedName>
    <definedName name="__tab9">#REF!</definedName>
    <definedName name="__TB41" localSheetId="63">#REF!</definedName>
    <definedName name="__TB41" localSheetId="1">#REF!</definedName>
    <definedName name="__TB41" localSheetId="57">#REF!</definedName>
    <definedName name="__TB41" localSheetId="59">#REF!</definedName>
    <definedName name="__TB41" localSheetId="61">#REF!</definedName>
    <definedName name="__TB41" localSheetId="60">#REF!</definedName>
    <definedName name="__TB41" localSheetId="16">#REF!</definedName>
    <definedName name="__TB41">#REF!</definedName>
    <definedName name="__WEO1" localSheetId="63">#REF!</definedName>
    <definedName name="__WEO1" localSheetId="1">#REF!</definedName>
    <definedName name="__WEO1" localSheetId="57">#REF!</definedName>
    <definedName name="__WEO1" localSheetId="59">#REF!</definedName>
    <definedName name="__WEO1" localSheetId="61">#REF!</definedName>
    <definedName name="__WEO1" localSheetId="60">#REF!</definedName>
    <definedName name="__WEO1" localSheetId="16">#REF!</definedName>
    <definedName name="__WEO1">#REF!</definedName>
    <definedName name="__WEO2" localSheetId="63">#REF!</definedName>
    <definedName name="__WEO2" localSheetId="1">#REF!</definedName>
    <definedName name="__WEO2" localSheetId="57">#REF!</definedName>
    <definedName name="__WEO2" localSheetId="59">#REF!</definedName>
    <definedName name="__WEO2" localSheetId="61">#REF!</definedName>
    <definedName name="__WEO2" localSheetId="60">#REF!</definedName>
    <definedName name="__WEO2" localSheetId="16">#REF!</definedName>
    <definedName name="__WEO2">#REF!</definedName>
    <definedName name="_1_123Graph_A" localSheetId="63" hidden="1">#REF!</definedName>
    <definedName name="_1_123Graph_A" localSheetId="57" hidden="1">#REF!</definedName>
    <definedName name="_1_123Graph_A" localSheetId="59" hidden="1">#REF!</definedName>
    <definedName name="_1_123Graph_A" localSheetId="61" hidden="1">#REF!</definedName>
    <definedName name="_1_123Graph_A" localSheetId="60" hidden="1">#REF!</definedName>
    <definedName name="_1_123Graph_A" localSheetId="16" hidden="1">#REF!</definedName>
    <definedName name="_1_123Graph_A" hidden="1">#REF!</definedName>
    <definedName name="_10__123Graph_ACHART_2" localSheetId="63" hidden="1">'[13]Employment Data Sectors (wages)'!$A$8173:$A$8184</definedName>
    <definedName name="_10__123Graph_ACHART_2" localSheetId="41" hidden="1">'[14]Employment Data Sectors (wages)'!$A$8173:$A$8184</definedName>
    <definedName name="_10__123Graph_ACHART_2" hidden="1">'[15]Employment Data Sectors (wages)'!$A$8173:$A$8184</definedName>
    <definedName name="_10__123Graph_ACHART_8" hidden="1">'[16]Employment Data Sectors (wages)'!$W$8175:$W$8186</definedName>
    <definedName name="_10__123Graph_BCHART_1" hidden="1">'[17]Employment Data Sectors (wages)'!$B$8173:$B$8184</definedName>
    <definedName name="_100__123Graph_BCHART_8" localSheetId="51" hidden="1">'[18]Employment Data Sectors (wages)'!$W$13:$W$8187</definedName>
    <definedName name="_100__123Graph_BCHART_8" hidden="1">'[13]Employment Data Sectors (wages)'!$W$13:$W$8187</definedName>
    <definedName name="_102__123Graph_CCHART_1" localSheetId="51" hidden="1">'[19]Employment Data Sectors (wages)'!$C$8173:$C$8184</definedName>
    <definedName name="_105__123Graph_CCHART_1" localSheetId="51" hidden="1">'[18]Employment Data Sectors (wages)'!$C$8173:$C$8184</definedName>
    <definedName name="_105__123Graph_CCHART_1" hidden="1">'[13]Employment Data Sectors (wages)'!$C$8173:$C$8184</definedName>
    <definedName name="_107__123Graph_CCHART_2" localSheetId="51" hidden="1">'[19]Employment Data Sectors (wages)'!$C$8173:$C$8184</definedName>
    <definedName name="_11__123Graph_BCHART_1" hidden="1">'[16]Employment Data Sectors (wages)'!$B$8173:$B$8184</definedName>
    <definedName name="_11__123Graph_BCHART_2" hidden="1">'[17]Employment Data Sectors (wages)'!$B$8173:$B$8184</definedName>
    <definedName name="_110__123Graph_CCHART_2" localSheetId="51" hidden="1">'[18]Employment Data Sectors (wages)'!$C$8173:$C$8184</definedName>
    <definedName name="_110__123Graph_CCHART_2" hidden="1">'[13]Employment Data Sectors (wages)'!$C$8173:$C$8184</definedName>
    <definedName name="_112__123Graph_CCHART_3" localSheetId="51" hidden="1">'[19]Employment Data Sectors (wages)'!$C$11:$C$8185</definedName>
    <definedName name="_115__123Graph_CCHART_3" localSheetId="51" hidden="1">'[18]Employment Data Sectors (wages)'!$C$11:$C$8185</definedName>
    <definedName name="_115__123Graph_CCHART_3" hidden="1">'[13]Employment Data Sectors (wages)'!$C$11:$C$8185</definedName>
    <definedName name="_117__123Graph_CCHART_4" localSheetId="51" hidden="1">'[19]Employment Data Sectors (wages)'!$C$12:$C$23</definedName>
    <definedName name="_12__123Graph_ACHART_3" localSheetId="63" hidden="1">'[13]Employment Data Sectors (wages)'!$A$11:$A$8185</definedName>
    <definedName name="_12__123Graph_ACHART_3" localSheetId="41" hidden="1">'[14]Employment Data Sectors (wages)'!$A$11:$A$8185</definedName>
    <definedName name="_12__123Graph_ACHART_3" hidden="1">'[15]Employment Data Sectors (wages)'!$A$11:$A$8185</definedName>
    <definedName name="_12__123Graph_BCHART_2" hidden="1">'[16]Employment Data Sectors (wages)'!$B$8173:$B$8184</definedName>
    <definedName name="_12__123Graph_BCHART_3" hidden="1">'[17]Employment Data Sectors (wages)'!$B$11:$B$8185</definedName>
    <definedName name="_120__123Graph_CCHART_4" localSheetId="51" hidden="1">'[18]Employment Data Sectors (wages)'!$C$12:$C$23</definedName>
    <definedName name="_120__123Graph_CCHART_4" hidden="1">'[13]Employment Data Sectors (wages)'!$C$12:$C$23</definedName>
    <definedName name="_122__123Graph_CCHART_5" localSheetId="51" hidden="1">'[19]Employment Data Sectors (wages)'!$C$24:$C$35</definedName>
    <definedName name="_123Graph_AB" localSheetId="63" hidden="1">#REF!</definedName>
    <definedName name="_123Graph_AB" localSheetId="1" hidden="1">#REF!</definedName>
    <definedName name="_123Graph_AB" localSheetId="50" hidden="1">#REF!</definedName>
    <definedName name="_123Graph_AB" localSheetId="51" hidden="1">#REF!</definedName>
    <definedName name="_123Graph_AB" localSheetId="57" hidden="1">#REF!</definedName>
    <definedName name="_123Graph_AB" localSheetId="59" hidden="1">#REF!</definedName>
    <definedName name="_123Graph_AB" localSheetId="61" hidden="1">#REF!</definedName>
    <definedName name="_123Graph_AB" localSheetId="60" hidden="1">#REF!</definedName>
    <definedName name="_123Graph_AB" localSheetId="16" hidden="1">#REF!</definedName>
    <definedName name="_123Graph_AB" hidden="1">#REF!</definedName>
    <definedName name="_123Graph_B" localSheetId="63" hidden="1">#REF!</definedName>
    <definedName name="_123Graph_B" localSheetId="1" hidden="1">#REF!</definedName>
    <definedName name="_123Graph_B" localSheetId="50" hidden="1">#REF!</definedName>
    <definedName name="_123Graph_B" localSheetId="51" hidden="1">#REF!</definedName>
    <definedName name="_123Graph_B" localSheetId="57" hidden="1">#REF!</definedName>
    <definedName name="_123Graph_B" localSheetId="59" hidden="1">#REF!</definedName>
    <definedName name="_123Graph_B" localSheetId="61" hidden="1">#REF!</definedName>
    <definedName name="_123Graph_B" localSheetId="60" hidden="1">#REF!</definedName>
    <definedName name="_123Graph_B" localSheetId="16" hidden="1">#REF!</definedName>
    <definedName name="_123Graph_B" hidden="1">#REF!</definedName>
    <definedName name="_123Graph_DB" localSheetId="63" hidden="1">#REF!</definedName>
    <definedName name="_123Graph_DB" localSheetId="1" hidden="1">#REF!</definedName>
    <definedName name="_123Graph_DB" localSheetId="50" hidden="1">#REF!</definedName>
    <definedName name="_123Graph_DB" localSheetId="51" hidden="1">#REF!</definedName>
    <definedName name="_123Graph_DB" localSheetId="57" hidden="1">#REF!</definedName>
    <definedName name="_123Graph_DB" localSheetId="59" hidden="1">#REF!</definedName>
    <definedName name="_123Graph_DB" localSheetId="61" hidden="1">#REF!</definedName>
    <definedName name="_123Graph_DB" localSheetId="60" hidden="1">#REF!</definedName>
    <definedName name="_123Graph_DB" localSheetId="16" hidden="1">#REF!</definedName>
    <definedName name="_123Graph_DB" hidden="1">#REF!</definedName>
    <definedName name="_123Graph_EB" localSheetId="63" hidden="1">#REF!</definedName>
    <definedName name="_123Graph_EB" localSheetId="1" hidden="1">#REF!</definedName>
    <definedName name="_123Graph_EB" localSheetId="50" hidden="1">#REF!</definedName>
    <definedName name="_123Graph_EB" localSheetId="51" hidden="1">#REF!</definedName>
    <definedName name="_123Graph_EB" localSheetId="57" hidden="1">#REF!</definedName>
    <definedName name="_123Graph_EB" localSheetId="59" hidden="1">#REF!</definedName>
    <definedName name="_123Graph_EB" localSheetId="61" hidden="1">#REF!</definedName>
    <definedName name="_123Graph_EB" localSheetId="60" hidden="1">#REF!</definedName>
    <definedName name="_123Graph_EB" localSheetId="16" hidden="1">#REF!</definedName>
    <definedName name="_123Graph_EB" hidden="1">#REF!</definedName>
    <definedName name="_123Graph_FB" localSheetId="63" hidden="1">#REF!</definedName>
    <definedName name="_123Graph_FB" localSheetId="1" hidden="1">#REF!</definedName>
    <definedName name="_123Graph_FB" localSheetId="50" hidden="1">#REF!</definedName>
    <definedName name="_123Graph_FB" localSheetId="51" hidden="1">#REF!</definedName>
    <definedName name="_123Graph_FB" localSheetId="57" hidden="1">#REF!</definedName>
    <definedName name="_123Graph_FB" localSheetId="59" hidden="1">#REF!</definedName>
    <definedName name="_123Graph_FB" localSheetId="61" hidden="1">#REF!</definedName>
    <definedName name="_123Graph_FB" localSheetId="60" hidden="1">#REF!</definedName>
    <definedName name="_123Graph_FB" localSheetId="16" hidden="1">#REF!</definedName>
    <definedName name="_123Graph_FB" hidden="1">#REF!</definedName>
    <definedName name="_125__123Graph_CCHART_5" localSheetId="51" hidden="1">'[18]Employment Data Sectors (wages)'!$C$24:$C$35</definedName>
    <definedName name="_125__123Graph_CCHART_5" hidden="1">'[13]Employment Data Sectors (wages)'!$C$24:$C$35</definedName>
    <definedName name="_127__123Graph_CCHART_6" localSheetId="51" hidden="1">'[19]Employment Data Sectors (wages)'!$U$49:$U$8103</definedName>
    <definedName name="_13__123Graph_BCHART_3" hidden="1">'[16]Employment Data Sectors (wages)'!$B$11:$B$8185</definedName>
    <definedName name="_13__123Graph_BCHART_4" hidden="1">'[17]Employment Data Sectors (wages)'!$B$12:$B$23</definedName>
    <definedName name="_130__123Graph_CCHART_6" localSheetId="51" hidden="1">'[18]Employment Data Sectors (wages)'!$U$49:$U$8103</definedName>
    <definedName name="_130__123Graph_CCHART_6" hidden="1">'[13]Employment Data Sectors (wages)'!$U$49:$U$8103</definedName>
    <definedName name="_132__123Graph_CCHART_7" localSheetId="51" hidden="1">'[19]Employment Data Sectors (wages)'!$Y$14:$Y$25</definedName>
    <definedName name="_132Graph_CB" localSheetId="63" hidden="1">#REF!</definedName>
    <definedName name="_132Graph_CB" localSheetId="1" hidden="1">#REF!</definedName>
    <definedName name="_132Graph_CB" localSheetId="50" hidden="1">#REF!</definedName>
    <definedName name="_132Graph_CB" localSheetId="51" hidden="1">#REF!</definedName>
    <definedName name="_132Graph_CB" localSheetId="57" hidden="1">#REF!</definedName>
    <definedName name="_132Graph_CB" localSheetId="59" hidden="1">#REF!</definedName>
    <definedName name="_132Graph_CB" localSheetId="61" hidden="1">#REF!</definedName>
    <definedName name="_132Graph_CB" localSheetId="60" hidden="1">#REF!</definedName>
    <definedName name="_132Graph_CB" localSheetId="16" hidden="1">#REF!</definedName>
    <definedName name="_132Graph_CB" hidden="1">#REF!</definedName>
    <definedName name="_135__123Graph_CCHART_7" localSheetId="51" hidden="1">'[18]Employment Data Sectors (wages)'!$Y$14:$Y$25</definedName>
    <definedName name="_135__123Graph_CCHART_7" hidden="1">'[13]Employment Data Sectors (wages)'!$Y$14:$Y$25</definedName>
    <definedName name="_137__123Graph_CCHART_8" localSheetId="51" hidden="1">'[19]Employment Data Sectors (wages)'!$W$14:$W$25</definedName>
    <definedName name="_14__123Graph_ACHART_4" localSheetId="63" hidden="1">'[13]Employment Data Sectors (wages)'!$A$12:$A$23</definedName>
    <definedName name="_14__123Graph_ACHART_4" localSheetId="41" hidden="1">'[14]Employment Data Sectors (wages)'!$A$12:$A$23</definedName>
    <definedName name="_14__123Graph_ACHART_4" hidden="1">'[15]Employment Data Sectors (wages)'!$A$12:$A$23</definedName>
    <definedName name="_14__123Graph_BCHART_4" hidden="1">'[16]Employment Data Sectors (wages)'!$B$12:$B$23</definedName>
    <definedName name="_14__123Graph_BCHART_5" hidden="1">'[17]Employment Data Sectors (wages)'!$B$24:$B$35</definedName>
    <definedName name="_140__123Graph_CCHART_8" localSheetId="51" hidden="1">'[18]Employment Data Sectors (wages)'!$W$14:$W$25</definedName>
    <definedName name="_140__123Graph_CCHART_8" hidden="1">'[13]Employment Data Sectors (wages)'!$W$14:$W$25</definedName>
    <definedName name="_142__123Graph_DCHART_7" localSheetId="51" hidden="1">'[19]Employment Data Sectors (wages)'!$Y$26:$Y$37</definedName>
    <definedName name="_145__123Graph_DCHART_7" localSheetId="51" hidden="1">'[18]Employment Data Sectors (wages)'!$Y$26:$Y$37</definedName>
    <definedName name="_145__123Graph_DCHART_7" hidden="1">'[13]Employment Data Sectors (wages)'!$Y$26:$Y$37</definedName>
    <definedName name="_147__123Graph_DCHART_8" localSheetId="51" hidden="1">'[19]Employment Data Sectors (wages)'!$W$26:$W$37</definedName>
    <definedName name="_15__123Graph_BCHART_5" hidden="1">'[16]Employment Data Sectors (wages)'!$B$24:$B$35</definedName>
    <definedName name="_15__123Graph_BCHART_6" hidden="1">'[17]Employment Data Sectors (wages)'!$AS$49:$AS$8103</definedName>
    <definedName name="_150__123Graph_DCHART_8" localSheetId="51" hidden="1">'[18]Employment Data Sectors (wages)'!$W$26:$W$37</definedName>
    <definedName name="_150__123Graph_DCHART_8" hidden="1">'[13]Employment Data Sectors (wages)'!$W$26:$W$37</definedName>
    <definedName name="_152__123Graph_ECHART_7" localSheetId="51" hidden="1">'[19]Employment Data Sectors (wages)'!$Y$38:$Y$49</definedName>
    <definedName name="_155__123Graph_ECHART_7" localSheetId="51" hidden="1">'[18]Employment Data Sectors (wages)'!$Y$38:$Y$49</definedName>
    <definedName name="_155__123Graph_ECHART_7" hidden="1">'[13]Employment Data Sectors (wages)'!$Y$38:$Y$49</definedName>
    <definedName name="_157__123Graph_ECHART_8" localSheetId="51" hidden="1">'[19]Employment Data Sectors (wages)'!$H$86:$H$99</definedName>
    <definedName name="_16__123Graph_ACHART_5" localSheetId="63" hidden="1">'[13]Employment Data Sectors (wages)'!$A$24:$A$35</definedName>
    <definedName name="_16__123Graph_ACHART_5" localSheetId="41" hidden="1">'[14]Employment Data Sectors (wages)'!$A$24:$A$35</definedName>
    <definedName name="_16__123Graph_ACHART_5" hidden="1">'[15]Employment Data Sectors (wages)'!$A$24:$A$35</definedName>
    <definedName name="_16__123Graph_BCHART_6" hidden="1">'[16]Employment Data Sectors (wages)'!$AS$49:$AS$8103</definedName>
    <definedName name="_16__123Graph_BCHART_7" hidden="1">'[17]Employment Data Sectors (wages)'!$Y$13:$Y$8187</definedName>
    <definedName name="_160__123Graph_ECHART_8" localSheetId="51" hidden="1">'[18]Employment Data Sectors (wages)'!$H$86:$H$99</definedName>
    <definedName name="_160__123Graph_ECHART_8" hidden="1">'[13]Employment Data Sectors (wages)'!$H$86:$H$99</definedName>
    <definedName name="_162__123Graph_FCHART_8" localSheetId="51" hidden="1">'[19]Employment Data Sectors (wages)'!$H$6:$H$17</definedName>
    <definedName name="_165__123Graph_FCHART_8" localSheetId="51" hidden="1">'[18]Employment Data Sectors (wages)'!$H$6:$H$17</definedName>
    <definedName name="_165__123Graph_FCHART_8" hidden="1">'[13]Employment Data Sectors (wages)'!$H$6:$H$17</definedName>
    <definedName name="_17__123Graph_BCHART_7" hidden="1">'[16]Employment Data Sectors (wages)'!$Y$13:$Y$8187</definedName>
    <definedName name="_17__123Graph_BCHART_8" hidden="1">'[17]Employment Data Sectors (wages)'!$W$13:$W$8187</definedName>
    <definedName name="_18__123Graph_ACHART_6" localSheetId="63" hidden="1">'[13]Employment Data Sectors (wages)'!$Y$49:$Y$8103</definedName>
    <definedName name="_18__123Graph_ACHART_6" localSheetId="41" hidden="1">'[14]Employment Data Sectors (wages)'!$Y$49:$Y$8103</definedName>
    <definedName name="_18__123Graph_ACHART_6" hidden="1">'[15]Employment Data Sectors (wages)'!$Y$49:$Y$8103</definedName>
    <definedName name="_18__123Graph_BCHART_8" hidden="1">'[16]Employment Data Sectors (wages)'!$W$13:$W$8187</definedName>
    <definedName name="_18__123Graph_CCHART_1" hidden="1">'[17]Employment Data Sectors (wages)'!$C$8173:$C$8184</definedName>
    <definedName name="_19__123Graph_CCHART_1" hidden="1">'[16]Employment Data Sectors (wages)'!$C$8173:$C$8184</definedName>
    <definedName name="_19__123Graph_CCHART_2" hidden="1">'[17]Employment Data Sectors (wages)'!$C$8173:$C$8184</definedName>
    <definedName name="_1992BOPB" localSheetId="63">#REF!</definedName>
    <definedName name="_1992BOPB" localSheetId="1">#REF!</definedName>
    <definedName name="_1992BOPB" localSheetId="57">#REF!</definedName>
    <definedName name="_1992BOPB" localSheetId="59">#REF!</definedName>
    <definedName name="_1992BOPB" localSheetId="61">#REF!</definedName>
    <definedName name="_1992BOPB" localSheetId="60">#REF!</definedName>
    <definedName name="_1992BOPB" localSheetId="16">#REF!</definedName>
    <definedName name="_1992BOPB">#REF!</definedName>
    <definedName name="_1Macros_Import_.qbop" localSheetId="63">[20]!'[Macros Import].qbop'</definedName>
    <definedName name="_1Macros_Import_.qbop" localSheetId="57">[20]!'[Macros Import].qbop'</definedName>
    <definedName name="_1Macros_Import_.qbop" localSheetId="59">[20]!'[Macros Import].qbop'</definedName>
    <definedName name="_1Macros_Import_.qbop" localSheetId="61">[20]!'[Macros Import].qbop'</definedName>
    <definedName name="_1Macros_Import_.qbop" localSheetId="60">[20]!'[Macros Import].qbop'</definedName>
    <definedName name="_1Macros_Import_.qbop" localSheetId="16">[20]!'[Macros Import].qbop'</definedName>
    <definedName name="_1Macros_Import_.qbop">[20]!'[Macros Import].qbop'</definedName>
    <definedName name="_2__123Graph_ACHART_1" hidden="1">'[17]Employment Data Sectors (wages)'!$A$8173:$A$8184</definedName>
    <definedName name="_20__123Graph_ACHART_7" localSheetId="63" hidden="1">'[13]Employment Data Sectors (wages)'!$Y$8175:$Y$8186</definedName>
    <definedName name="_20__123Graph_ACHART_7" localSheetId="41" hidden="1">'[14]Employment Data Sectors (wages)'!$Y$8175:$Y$8186</definedName>
    <definedName name="_20__123Graph_ACHART_7" hidden="1">'[15]Employment Data Sectors (wages)'!$Y$8175:$Y$8186</definedName>
    <definedName name="_20__123Graph_CCHART_2" hidden="1">'[16]Employment Data Sectors (wages)'!$C$8173:$C$8184</definedName>
    <definedName name="_20__123Graph_CCHART_3" hidden="1">'[17]Employment Data Sectors (wages)'!$C$11:$C$8185</definedName>
    <definedName name="_20Macros_Import_.qbop" localSheetId="1">[20]!'[Macros Import].qbop'</definedName>
    <definedName name="_20Macros_Import_.qbop" localSheetId="57">[20]!'[Macros Import].qbop'</definedName>
    <definedName name="_20Macros_Import_.qbop" localSheetId="59">[20]!'[Macros Import].qbop'</definedName>
    <definedName name="_20Macros_Import_.qbop" localSheetId="61">[20]!'[Macros Import].qbop'</definedName>
    <definedName name="_20Macros_Import_.qbop" localSheetId="60">[20]!'[Macros Import].qbop'</definedName>
    <definedName name="_20Macros_Import_.qbop" localSheetId="16">[20]!'[Macros Import].qbop'</definedName>
    <definedName name="_20Macros_Import_.qbop">[20]!'[Macros Import].qbop'</definedName>
    <definedName name="_21__123Graph_CCHART_3" hidden="1">'[16]Employment Data Sectors (wages)'!$C$11:$C$8185</definedName>
    <definedName name="_21__123Graph_CCHART_4" hidden="1">'[17]Employment Data Sectors (wages)'!$C$12:$C$23</definedName>
    <definedName name="_22__123Graph_ACHART_1" localSheetId="51" hidden="1">'[19]Employment Data Sectors (wages)'!$A$8173:$A$8184</definedName>
    <definedName name="_22__123Graph_ACHART_8" localSheetId="63" hidden="1">'[13]Employment Data Sectors (wages)'!$W$8175:$W$8186</definedName>
    <definedName name="_22__123Graph_ACHART_8" localSheetId="41" hidden="1">'[14]Employment Data Sectors (wages)'!$W$8175:$W$8186</definedName>
    <definedName name="_22__123Graph_ACHART_8" hidden="1">'[15]Employment Data Sectors (wages)'!$W$8175:$W$8186</definedName>
    <definedName name="_22__123Graph_CCHART_4" hidden="1">'[16]Employment Data Sectors (wages)'!$C$12:$C$23</definedName>
    <definedName name="_22__123Graph_CCHART_5" hidden="1">'[17]Employment Data Sectors (wages)'!$C$24:$C$35</definedName>
    <definedName name="_23__123Graph_CCHART_5" hidden="1">'[16]Employment Data Sectors (wages)'!$C$24:$C$35</definedName>
    <definedName name="_23__123Graph_CCHART_6" hidden="1">'[17]Employment Data Sectors (wages)'!$U$49:$U$8103</definedName>
    <definedName name="_24__123Graph_BCHART_1" localSheetId="63" hidden="1">'[13]Employment Data Sectors (wages)'!$B$8173:$B$8184</definedName>
    <definedName name="_24__123Graph_BCHART_1" localSheetId="41" hidden="1">'[14]Employment Data Sectors (wages)'!$B$8173:$B$8184</definedName>
    <definedName name="_24__123Graph_BCHART_1" hidden="1">'[15]Employment Data Sectors (wages)'!$B$8173:$B$8184</definedName>
    <definedName name="_24__123Graph_CCHART_6" hidden="1">'[16]Employment Data Sectors (wages)'!$U$49:$U$8103</definedName>
    <definedName name="_24__123Graph_CCHART_7" hidden="1">'[17]Employment Data Sectors (wages)'!$Y$14:$Y$25</definedName>
    <definedName name="_25__123Graph_ACHART_1" localSheetId="51" hidden="1">'[18]Employment Data Sectors (wages)'!$A$8173:$A$8184</definedName>
    <definedName name="_25__123Graph_ACHART_1" hidden="1">'[13]Employment Data Sectors (wages)'!$A$8173:$A$8184</definedName>
    <definedName name="_25__123Graph_CCHART_7" hidden="1">'[16]Employment Data Sectors (wages)'!$Y$14:$Y$25</definedName>
    <definedName name="_25__123Graph_CCHART_8" hidden="1">'[17]Employment Data Sectors (wages)'!$W$14:$W$25</definedName>
    <definedName name="_26__123Graph_BCHART_2" localSheetId="63" hidden="1">'[13]Employment Data Sectors (wages)'!$B$8173:$B$8184</definedName>
    <definedName name="_26__123Graph_BCHART_2" localSheetId="41" hidden="1">'[14]Employment Data Sectors (wages)'!$B$8173:$B$8184</definedName>
    <definedName name="_26__123Graph_BCHART_2" hidden="1">'[15]Employment Data Sectors (wages)'!$B$8173:$B$8184</definedName>
    <definedName name="_26__123Graph_CCHART_8" hidden="1">'[16]Employment Data Sectors (wages)'!$W$14:$W$25</definedName>
    <definedName name="_26__123Graph_DCHART_7" hidden="1">'[17]Employment Data Sectors (wages)'!$Y$26:$Y$37</definedName>
    <definedName name="_27__123Graph_ACHART_2" localSheetId="51" hidden="1">'[19]Employment Data Sectors (wages)'!$A$8173:$A$8184</definedName>
    <definedName name="_27__123Graph_DCHART_7" hidden="1">'[16]Employment Data Sectors (wages)'!$Y$26:$Y$37</definedName>
    <definedName name="_27__123Graph_DCHART_8" hidden="1">'[17]Employment Data Sectors (wages)'!$W$26:$W$37</definedName>
    <definedName name="_28__123Graph_BCHART_3" localSheetId="63" hidden="1">'[13]Employment Data Sectors (wages)'!$B$11:$B$8185</definedName>
    <definedName name="_28__123Graph_BCHART_3" localSheetId="41" hidden="1">'[14]Employment Data Sectors (wages)'!$B$11:$B$8185</definedName>
    <definedName name="_28__123Graph_BCHART_3" hidden="1">'[15]Employment Data Sectors (wages)'!$B$11:$B$8185</definedName>
    <definedName name="_28__123Graph_DCHART_8" hidden="1">'[16]Employment Data Sectors (wages)'!$W$26:$W$37</definedName>
    <definedName name="_28__123Graph_ECHART_7" hidden="1">'[17]Employment Data Sectors (wages)'!$Y$38:$Y$49</definedName>
    <definedName name="_29__123Graph_ECHART_7" hidden="1">'[16]Employment Data Sectors (wages)'!$Y$38:$Y$49</definedName>
    <definedName name="_29__123Graph_ECHART_8" hidden="1">'[17]Employment Data Sectors (wages)'!$H$86:$H$99</definedName>
    <definedName name="_2Macros_Import_.qbop" localSheetId="63">[20]!'[Macros Import].qbop'</definedName>
    <definedName name="_2Macros_Import_.qbop" localSheetId="57">[20]!'[Macros Import].qbop'</definedName>
    <definedName name="_2Macros_Import_.qbop" localSheetId="59">[20]!'[Macros Import].qbop'</definedName>
    <definedName name="_2Macros_Import_.qbop" localSheetId="61">[20]!'[Macros Import].qbop'</definedName>
    <definedName name="_2Macros_Import_.qbop" localSheetId="60">[20]!'[Macros Import].qbop'</definedName>
    <definedName name="_2Macros_Import_.qbop" localSheetId="16">[20]!'[Macros Import].qbop'</definedName>
    <definedName name="_2Macros_Import_.qbop">[20]!'[Macros Import].qbop'</definedName>
    <definedName name="_3__123Graph_ACHART_1" hidden="1">'[16]Employment Data Sectors (wages)'!$A$8173:$A$8184</definedName>
    <definedName name="_3__123Graph_ACHART_2" hidden="1">'[17]Employment Data Sectors (wages)'!$A$8173:$A$8184</definedName>
    <definedName name="_30__123Graph_ACHART_2" localSheetId="51" hidden="1">'[18]Employment Data Sectors (wages)'!$A$8173:$A$8184</definedName>
    <definedName name="_30__123Graph_ACHART_2" hidden="1">'[13]Employment Data Sectors (wages)'!$A$8173:$A$8184</definedName>
    <definedName name="_30__123Graph_BCHART_4" localSheetId="63" hidden="1">'[13]Employment Data Sectors (wages)'!$B$12:$B$23</definedName>
    <definedName name="_30__123Graph_BCHART_4" localSheetId="41" hidden="1">'[14]Employment Data Sectors (wages)'!$B$12:$B$23</definedName>
    <definedName name="_30__123Graph_BCHART_4" hidden="1">'[15]Employment Data Sectors (wages)'!$B$12:$B$23</definedName>
    <definedName name="_30__123Graph_ECHART_8" hidden="1">'[16]Employment Data Sectors (wages)'!$H$86:$H$99</definedName>
    <definedName name="_30__123Graph_FCHART_8" hidden="1">'[17]Employment Data Sectors (wages)'!$H$6:$H$17</definedName>
    <definedName name="_31__123Graph_FCHART_8" hidden="1">'[16]Employment Data Sectors (wages)'!$H$6:$H$17</definedName>
    <definedName name="_32__123Graph_ACHART_3" localSheetId="51" hidden="1">'[19]Employment Data Sectors (wages)'!$A$11:$A$8185</definedName>
    <definedName name="_32__123Graph_BCHART_5" localSheetId="63" hidden="1">'[13]Employment Data Sectors (wages)'!$B$24:$B$35</definedName>
    <definedName name="_32__123Graph_BCHART_5" localSheetId="41" hidden="1">'[14]Employment Data Sectors (wages)'!$B$24:$B$35</definedName>
    <definedName name="_32__123Graph_BCHART_5" hidden="1">'[15]Employment Data Sectors (wages)'!$B$24:$B$35</definedName>
    <definedName name="_34__123Graph_BCHART_6" localSheetId="63" hidden="1">'[13]Employment Data Sectors (wages)'!$AS$49:$AS$8103</definedName>
    <definedName name="_34__123Graph_BCHART_6" localSheetId="41" hidden="1">'[14]Employment Data Sectors (wages)'!$AS$49:$AS$8103</definedName>
    <definedName name="_34__123Graph_BCHART_6" hidden="1">'[15]Employment Data Sectors (wages)'!$AS$49:$AS$8103</definedName>
    <definedName name="_35__123Graph_ACHART_3" localSheetId="51" hidden="1">'[18]Employment Data Sectors (wages)'!$A$11:$A$8185</definedName>
    <definedName name="_35__123Graph_ACHART_3" hidden="1">'[13]Employment Data Sectors (wages)'!$A$11:$A$8185</definedName>
    <definedName name="_36__123Graph_BCHART_7" localSheetId="63" hidden="1">'[13]Employment Data Sectors (wages)'!$Y$13:$Y$8187</definedName>
    <definedName name="_36__123Graph_BCHART_7" localSheetId="41" hidden="1">'[14]Employment Data Sectors (wages)'!$Y$13:$Y$8187</definedName>
    <definedName name="_36__123Graph_BCHART_7" hidden="1">'[15]Employment Data Sectors (wages)'!$Y$13:$Y$8187</definedName>
    <definedName name="_37__123Graph_ACHART_4" localSheetId="51" hidden="1">'[19]Employment Data Sectors (wages)'!$A$12:$A$23</definedName>
    <definedName name="_38__123Graph_BCHART_8" localSheetId="63" hidden="1">'[13]Employment Data Sectors (wages)'!$W$13:$W$8187</definedName>
    <definedName name="_38__123Graph_BCHART_8" localSheetId="41" hidden="1">'[14]Employment Data Sectors (wages)'!$W$13:$W$8187</definedName>
    <definedName name="_38__123Graph_BCHART_8" hidden="1">'[15]Employment Data Sectors (wages)'!$W$13:$W$8187</definedName>
    <definedName name="_4__123Graph_ACHART_2" hidden="1">'[16]Employment Data Sectors (wages)'!$A$8173:$A$8184</definedName>
    <definedName name="_4__123Graph_ACHART_3" hidden="1">'[17]Employment Data Sectors (wages)'!$A$11:$A$8185</definedName>
    <definedName name="_40__123Graph_ACHART_4" localSheetId="51" hidden="1">'[18]Employment Data Sectors (wages)'!$A$12:$A$23</definedName>
    <definedName name="_40__123Graph_ACHART_4" hidden="1">'[13]Employment Data Sectors (wages)'!$A$12:$A$23</definedName>
    <definedName name="_40__123Graph_CCHART_1" localSheetId="63" hidden="1">'[13]Employment Data Sectors (wages)'!$C$8173:$C$8184</definedName>
    <definedName name="_40__123Graph_CCHART_1" localSheetId="41" hidden="1">'[14]Employment Data Sectors (wages)'!$C$8173:$C$8184</definedName>
    <definedName name="_40__123Graph_CCHART_1" hidden="1">'[15]Employment Data Sectors (wages)'!$C$8173:$C$8184</definedName>
    <definedName name="_42__123Graph_ACHART_5" localSheetId="51" hidden="1">'[19]Employment Data Sectors (wages)'!$A$24:$A$35</definedName>
    <definedName name="_42__123Graph_CCHART_2" localSheetId="63" hidden="1">'[13]Employment Data Sectors (wages)'!$C$8173:$C$8184</definedName>
    <definedName name="_42__123Graph_CCHART_2" localSheetId="41" hidden="1">'[14]Employment Data Sectors (wages)'!$C$8173:$C$8184</definedName>
    <definedName name="_42__123Graph_CCHART_2" hidden="1">'[15]Employment Data Sectors (wages)'!$C$8173:$C$8184</definedName>
    <definedName name="_44__123Graph_CCHART_3" localSheetId="63" hidden="1">'[13]Employment Data Sectors (wages)'!$C$11:$C$8185</definedName>
    <definedName name="_44__123Graph_CCHART_3" localSheetId="41" hidden="1">'[14]Employment Data Sectors (wages)'!$C$11:$C$8185</definedName>
    <definedName name="_44__123Graph_CCHART_3" hidden="1">'[15]Employment Data Sectors (wages)'!$C$11:$C$8185</definedName>
    <definedName name="_45__123Graph_ACHART_5" localSheetId="51" hidden="1">'[18]Employment Data Sectors (wages)'!$A$24:$A$35</definedName>
    <definedName name="_45__123Graph_ACHART_5" hidden="1">'[13]Employment Data Sectors (wages)'!$A$24:$A$35</definedName>
    <definedName name="_46__123Graph_CCHART_4" localSheetId="63" hidden="1">'[13]Employment Data Sectors (wages)'!$C$12:$C$23</definedName>
    <definedName name="_46__123Graph_CCHART_4" localSheetId="41" hidden="1">'[14]Employment Data Sectors (wages)'!$C$12:$C$23</definedName>
    <definedName name="_46__123Graph_CCHART_4" hidden="1">'[15]Employment Data Sectors (wages)'!$C$12:$C$23</definedName>
    <definedName name="_47__123Graph_ACHART_6" localSheetId="51" hidden="1">'[19]Employment Data Sectors (wages)'!$Y$49:$Y$8103</definedName>
    <definedName name="_48__123Graph_CCHART_5" localSheetId="63" hidden="1">'[13]Employment Data Sectors (wages)'!$C$24:$C$35</definedName>
    <definedName name="_48__123Graph_CCHART_5" localSheetId="41" hidden="1">'[14]Employment Data Sectors (wages)'!$C$24:$C$35</definedName>
    <definedName name="_48__123Graph_CCHART_5" hidden="1">'[15]Employment Data Sectors (wages)'!$C$24:$C$35</definedName>
    <definedName name="_5__123Graph_ACHART_3" hidden="1">'[16]Employment Data Sectors (wages)'!$A$11:$A$8185</definedName>
    <definedName name="_5__123Graph_ACHART_4" hidden="1">'[17]Employment Data Sectors (wages)'!$A$12:$A$23</definedName>
    <definedName name="_50__123Graph_ACHART_6" localSheetId="51" hidden="1">'[18]Employment Data Sectors (wages)'!$Y$49:$Y$8103</definedName>
    <definedName name="_50__123Graph_ACHART_6" hidden="1">'[13]Employment Data Sectors (wages)'!$Y$49:$Y$8103</definedName>
    <definedName name="_50__123Graph_CCHART_6" localSheetId="63" hidden="1">'[13]Employment Data Sectors (wages)'!$U$49:$U$8103</definedName>
    <definedName name="_50__123Graph_CCHART_6" localSheetId="41" hidden="1">'[14]Employment Data Sectors (wages)'!$U$49:$U$8103</definedName>
    <definedName name="_50__123Graph_CCHART_6" hidden="1">'[15]Employment Data Sectors (wages)'!$U$49:$U$8103</definedName>
    <definedName name="_52__123Graph_ACHART_7" localSheetId="51" hidden="1">'[19]Employment Data Sectors (wages)'!$Y$8175:$Y$8186</definedName>
    <definedName name="_52__123Graph_CCHART_7" localSheetId="63" hidden="1">'[13]Employment Data Sectors (wages)'!$Y$14:$Y$25</definedName>
    <definedName name="_52__123Graph_CCHART_7" localSheetId="41" hidden="1">'[14]Employment Data Sectors (wages)'!$Y$14:$Y$25</definedName>
    <definedName name="_52__123Graph_CCHART_7" hidden="1">'[15]Employment Data Sectors (wages)'!$Y$14:$Y$25</definedName>
    <definedName name="_54__123Graph_CCHART_8" localSheetId="63" hidden="1">'[13]Employment Data Sectors (wages)'!$W$14:$W$25</definedName>
    <definedName name="_54__123Graph_CCHART_8" localSheetId="41" hidden="1">'[14]Employment Data Sectors (wages)'!$W$14:$W$25</definedName>
    <definedName name="_54__123Graph_CCHART_8" hidden="1">'[15]Employment Data Sectors (wages)'!$W$14:$W$25</definedName>
    <definedName name="_55__123Graph_ACHART_7" localSheetId="51" hidden="1">'[18]Employment Data Sectors (wages)'!$Y$8175:$Y$8186</definedName>
    <definedName name="_55__123Graph_ACHART_7" hidden="1">'[13]Employment Data Sectors (wages)'!$Y$8175:$Y$8186</definedName>
    <definedName name="_56__123Graph_DCHART_7" localSheetId="63" hidden="1">'[13]Employment Data Sectors (wages)'!$Y$26:$Y$37</definedName>
    <definedName name="_56__123Graph_DCHART_7" localSheetId="41" hidden="1">'[14]Employment Data Sectors (wages)'!$Y$26:$Y$37</definedName>
    <definedName name="_56__123Graph_DCHART_7" hidden="1">'[15]Employment Data Sectors (wages)'!$Y$26:$Y$37</definedName>
    <definedName name="_57__123Graph_ACHART_8" localSheetId="51" hidden="1">'[19]Employment Data Sectors (wages)'!$W$8175:$W$8186</definedName>
    <definedName name="_58__123Graph_DCHART_8" localSheetId="63" hidden="1">'[13]Employment Data Sectors (wages)'!$W$26:$W$37</definedName>
    <definedName name="_58__123Graph_DCHART_8" localSheetId="41" hidden="1">'[14]Employment Data Sectors (wages)'!$W$26:$W$37</definedName>
    <definedName name="_58__123Graph_DCHART_8" hidden="1">'[15]Employment Data Sectors (wages)'!$W$26:$W$37</definedName>
    <definedName name="_5Macros_Import_.qbop" localSheetId="51">[20]!'[Macros Import].qbop'</definedName>
    <definedName name="_6__123Graph_ACHART_4" hidden="1">'[16]Employment Data Sectors (wages)'!$A$12:$A$23</definedName>
    <definedName name="_6__123Graph_ACHART_5" hidden="1">'[17]Employment Data Sectors (wages)'!$A$24:$A$35</definedName>
    <definedName name="_60__123Graph_ACHART_8" localSheetId="51" hidden="1">'[18]Employment Data Sectors (wages)'!$W$8175:$W$8186</definedName>
    <definedName name="_60__123Graph_ACHART_8" hidden="1">'[13]Employment Data Sectors (wages)'!$W$8175:$W$8186</definedName>
    <definedName name="_60__123Graph_ECHART_7" localSheetId="63" hidden="1">'[13]Employment Data Sectors (wages)'!$Y$38:$Y$49</definedName>
    <definedName name="_60__123Graph_ECHART_7" localSheetId="41" hidden="1">'[14]Employment Data Sectors (wages)'!$Y$38:$Y$49</definedName>
    <definedName name="_60__123Graph_ECHART_7" hidden="1">'[15]Employment Data Sectors (wages)'!$Y$38:$Y$49</definedName>
    <definedName name="_62__123Graph_BCHART_1" localSheetId="51" hidden="1">'[19]Employment Data Sectors (wages)'!$B$8173:$B$8184</definedName>
    <definedName name="_62__123Graph_ECHART_8" localSheetId="63" hidden="1">'[13]Employment Data Sectors (wages)'!$H$86:$H$99</definedName>
    <definedName name="_62__123Graph_ECHART_8" localSheetId="41" hidden="1">'[14]Employment Data Sectors (wages)'!$H$86:$H$99</definedName>
    <definedName name="_62__123Graph_ECHART_8" hidden="1">'[15]Employment Data Sectors (wages)'!$H$86:$H$99</definedName>
    <definedName name="_64__123Graph_FCHART_8" localSheetId="63" hidden="1">'[13]Employment Data Sectors (wages)'!$H$6:$H$17</definedName>
    <definedName name="_64__123Graph_FCHART_8" localSheetId="41" hidden="1">'[14]Employment Data Sectors (wages)'!$H$6:$H$17</definedName>
    <definedName name="_64__123Graph_FCHART_8" hidden="1">'[15]Employment Data Sectors (wages)'!$H$6:$H$17</definedName>
    <definedName name="_65__123Graph_BCHART_1" localSheetId="51" hidden="1">'[18]Employment Data Sectors (wages)'!$B$8173:$B$8184</definedName>
    <definedName name="_65__123Graph_BCHART_1" hidden="1">'[13]Employment Data Sectors (wages)'!$B$8173:$B$8184</definedName>
    <definedName name="_67__123Graph_BCHART_2" localSheetId="51" hidden="1">'[19]Employment Data Sectors (wages)'!$B$8173:$B$8184</definedName>
    <definedName name="_6Macros_Import_.qbop" localSheetId="63">[20]!'[Macros Import].qbop'</definedName>
    <definedName name="_6Macros_Import_.qbop" localSheetId="57">[20]!'[Macros Import].qbop'</definedName>
    <definedName name="_6Macros_Import_.qbop" localSheetId="59">[20]!'[Macros Import].qbop'</definedName>
    <definedName name="_6Macros_Import_.qbop" localSheetId="61">[20]!'[Macros Import].qbop'</definedName>
    <definedName name="_6Macros_Import_.qbop" localSheetId="60">[20]!'[Macros Import].qbop'</definedName>
    <definedName name="_6Macros_Import_.qbop" localSheetId="16">[20]!'[Macros Import].qbop'</definedName>
    <definedName name="_6Macros_Import_.qbop">[20]!'[Macros Import].qbop'</definedName>
    <definedName name="_7__123Graph_ACHART_5" hidden="1">'[16]Employment Data Sectors (wages)'!$A$24:$A$35</definedName>
    <definedName name="_7__123Graph_ACHART_6" hidden="1">'[17]Employment Data Sectors (wages)'!$Y$49:$Y$8103</definedName>
    <definedName name="_70__123Graph_BCHART_2" localSheetId="51" hidden="1">'[18]Employment Data Sectors (wages)'!$B$8173:$B$8184</definedName>
    <definedName name="_70__123Graph_BCHART_2" hidden="1">'[13]Employment Data Sectors (wages)'!$B$8173:$B$8184</definedName>
    <definedName name="_72__123Graph_BCHART_3" localSheetId="51" hidden="1">'[19]Employment Data Sectors (wages)'!$B$11:$B$8185</definedName>
    <definedName name="_75__123Graph_BCHART_3" localSheetId="51" hidden="1">'[18]Employment Data Sectors (wages)'!$B$11:$B$8185</definedName>
    <definedName name="_75__123Graph_BCHART_3" hidden="1">'[13]Employment Data Sectors (wages)'!$B$11:$B$8185</definedName>
    <definedName name="_77__123Graph_BCHART_4" localSheetId="51" hidden="1">'[19]Employment Data Sectors (wages)'!$B$12:$B$23</definedName>
    <definedName name="_8__123Graph_ACHART_1" localSheetId="63" hidden="1">'[13]Employment Data Sectors (wages)'!$A$8173:$A$8184</definedName>
    <definedName name="_8__123Graph_ACHART_1" localSheetId="41" hidden="1">'[14]Employment Data Sectors (wages)'!$A$8173:$A$8184</definedName>
    <definedName name="_8__123Graph_ACHART_1" hidden="1">'[15]Employment Data Sectors (wages)'!$A$8173:$A$8184</definedName>
    <definedName name="_8__123Graph_ACHART_6" hidden="1">'[16]Employment Data Sectors (wages)'!$Y$49:$Y$8103</definedName>
    <definedName name="_8__123Graph_ACHART_7" hidden="1">'[17]Employment Data Sectors (wages)'!$Y$8175:$Y$8186</definedName>
    <definedName name="_80__123Graph_BCHART_4" localSheetId="51" hidden="1">'[18]Employment Data Sectors (wages)'!$B$12:$B$23</definedName>
    <definedName name="_80__123Graph_BCHART_4" hidden="1">'[13]Employment Data Sectors (wages)'!$B$12:$B$23</definedName>
    <definedName name="_82__123Graph_BCHART_5" localSheetId="51" hidden="1">'[19]Employment Data Sectors (wages)'!$B$24:$B$35</definedName>
    <definedName name="_85__123Graph_BCHART_5" localSheetId="51" hidden="1">'[18]Employment Data Sectors (wages)'!$B$24:$B$35</definedName>
    <definedName name="_85__123Graph_BCHART_5" hidden="1">'[13]Employment Data Sectors (wages)'!$B$24:$B$35</definedName>
    <definedName name="_87__123Graph_BCHART_6" localSheetId="51" hidden="1">'[19]Employment Data Sectors (wages)'!$AS$49:$AS$8103</definedName>
    <definedName name="_9__123Graph_ACHART_7" hidden="1">'[16]Employment Data Sectors (wages)'!$Y$8175:$Y$8186</definedName>
    <definedName name="_9__123Graph_ACHART_8" hidden="1">'[17]Employment Data Sectors (wages)'!$W$8175:$W$8186</definedName>
    <definedName name="_90__123Graph_BCHART_6" localSheetId="51" hidden="1">'[18]Employment Data Sectors (wages)'!$AS$49:$AS$8103</definedName>
    <definedName name="_90__123Graph_BCHART_6" hidden="1">'[13]Employment Data Sectors (wages)'!$AS$49:$AS$8103</definedName>
    <definedName name="_92__123Graph_BCHART_7" localSheetId="51" hidden="1">'[19]Employment Data Sectors (wages)'!$Y$13:$Y$8187</definedName>
    <definedName name="_95__123Graph_BCHART_7" localSheetId="51" hidden="1">'[18]Employment Data Sectors (wages)'!$Y$13:$Y$8187</definedName>
    <definedName name="_95__123Graph_BCHART_7" hidden="1">'[13]Employment Data Sectors (wages)'!$Y$13:$Y$8187</definedName>
    <definedName name="_97__123Graph_BCHART_8" localSheetId="51" hidden="1">'[19]Employment Data Sectors (wages)'!$W$13:$W$8187</definedName>
    <definedName name="_BOP1" localSheetId="63">#REF!</definedName>
    <definedName name="_BOP1" localSheetId="1">#REF!</definedName>
    <definedName name="_BOP1" localSheetId="51">#REF!</definedName>
    <definedName name="_BOP1" localSheetId="57">#REF!</definedName>
    <definedName name="_BOP1" localSheetId="59">#REF!</definedName>
    <definedName name="_BOP1" localSheetId="61">#REF!</definedName>
    <definedName name="_BOP1" localSheetId="60">#REF!</definedName>
    <definedName name="_BOP1" localSheetId="16">#REF!</definedName>
    <definedName name="_BOP1">#REF!</definedName>
    <definedName name="_BOP2" localSheetId="63">[1]BoP!#REF!</definedName>
    <definedName name="_BOP2" localSheetId="1">[1]BoP!#REF!</definedName>
    <definedName name="_BOP2" localSheetId="51">[1]BoP!#REF!</definedName>
    <definedName name="_BOP2" localSheetId="57">[1]BoP!#REF!</definedName>
    <definedName name="_BOP2" localSheetId="59">[1]BoP!#REF!</definedName>
    <definedName name="_BOP2" localSheetId="61">[1]BoP!#REF!</definedName>
    <definedName name="_BOP2" localSheetId="60">[1]BoP!#REF!</definedName>
    <definedName name="_BOP2" localSheetId="16">[1]BoP!#REF!</definedName>
    <definedName name="_BOP2">[1]BoP!#REF!</definedName>
    <definedName name="_dat1" localSheetId="63">'[2]work Q real'!#REF!</definedName>
    <definedName name="_dat1" localSheetId="1">'[2]work Q real'!#REF!</definedName>
    <definedName name="_dat1" localSheetId="51">'[2]work Q real'!#REF!</definedName>
    <definedName name="_dat1" localSheetId="57">'[2]work Q real'!#REF!</definedName>
    <definedName name="_dat1" localSheetId="59">'[2]work Q real'!#REF!</definedName>
    <definedName name="_dat1" localSheetId="61">'[2]work Q real'!#REF!</definedName>
    <definedName name="_dat1" localSheetId="60">'[2]work Q real'!#REF!</definedName>
    <definedName name="_dat1" localSheetId="16">'[2]work Q real'!#REF!</definedName>
    <definedName name="_dat1">'[2]work Q real'!#REF!</definedName>
    <definedName name="_dat2" localSheetId="63">#REF!</definedName>
    <definedName name="_dat2" localSheetId="1">#REF!</definedName>
    <definedName name="_dat2" localSheetId="51">#REF!</definedName>
    <definedName name="_dat2" localSheetId="57">#REF!</definedName>
    <definedName name="_dat2" localSheetId="59">#REF!</definedName>
    <definedName name="_dat2" localSheetId="61">#REF!</definedName>
    <definedName name="_dat2" localSheetId="60">#REF!</definedName>
    <definedName name="_dat2" localSheetId="16">#REF!</definedName>
    <definedName name="_dat2">#REF!</definedName>
    <definedName name="_EXP5" localSheetId="63">#REF!</definedName>
    <definedName name="_EXP5" localSheetId="1">#REF!</definedName>
    <definedName name="_EXP5" localSheetId="51">#REF!</definedName>
    <definedName name="_EXP5" localSheetId="57">#REF!</definedName>
    <definedName name="_EXP5" localSheetId="59">#REF!</definedName>
    <definedName name="_EXP5" localSheetId="61">#REF!</definedName>
    <definedName name="_EXP5" localSheetId="60">#REF!</definedName>
    <definedName name="_EXP5" localSheetId="16">#REF!</definedName>
    <definedName name="_EXP5">#REF!</definedName>
    <definedName name="_EXP6" localSheetId="63">#REF!</definedName>
    <definedName name="_EXP6" localSheetId="1">#REF!</definedName>
    <definedName name="_EXP6" localSheetId="51">#REF!</definedName>
    <definedName name="_EXP6" localSheetId="57">#REF!</definedName>
    <definedName name="_EXP6" localSheetId="59">#REF!</definedName>
    <definedName name="_EXP6" localSheetId="61">#REF!</definedName>
    <definedName name="_EXP6" localSheetId="60">#REF!</definedName>
    <definedName name="_EXP6" localSheetId="16">#REF!</definedName>
    <definedName name="_EXP6">#REF!</definedName>
    <definedName name="_EXP7" localSheetId="63">#REF!</definedName>
    <definedName name="_EXP7" localSheetId="1">#REF!</definedName>
    <definedName name="_EXP7" localSheetId="51">#REF!</definedName>
    <definedName name="_EXP7" localSheetId="57">#REF!</definedName>
    <definedName name="_EXP7" localSheetId="59">#REF!</definedName>
    <definedName name="_EXP7" localSheetId="61">#REF!</definedName>
    <definedName name="_EXP7" localSheetId="60">#REF!</definedName>
    <definedName name="_EXP7" localSheetId="16">#REF!</definedName>
    <definedName name="_EXP7">#REF!</definedName>
    <definedName name="_EXP9" localSheetId="63">#REF!</definedName>
    <definedName name="_EXP9" localSheetId="1">#REF!</definedName>
    <definedName name="_EXP9" localSheetId="51">#REF!</definedName>
    <definedName name="_EXP9" localSheetId="57">#REF!</definedName>
    <definedName name="_EXP9" localSheetId="59">#REF!</definedName>
    <definedName name="_EXP9" localSheetId="61">#REF!</definedName>
    <definedName name="_EXP9" localSheetId="60">#REF!</definedName>
    <definedName name="_EXP9" localSheetId="16">#REF!</definedName>
    <definedName name="_EXP9">#REF!</definedName>
    <definedName name="_Fill" localSheetId="63" hidden="1">#REF!</definedName>
    <definedName name="_Fill" localSheetId="1" hidden="1">#REF!</definedName>
    <definedName name="_Fill" localSheetId="50" hidden="1">#REF!</definedName>
    <definedName name="_Fill" localSheetId="51" hidden="1">#REF!</definedName>
    <definedName name="_Fill" localSheetId="57" hidden="1">#REF!</definedName>
    <definedName name="_Fill" localSheetId="59" hidden="1">#REF!</definedName>
    <definedName name="_Fill" localSheetId="61" hidden="1">#REF!</definedName>
    <definedName name="_Fill" localSheetId="60" hidden="1">#REF!</definedName>
    <definedName name="_Fill" localSheetId="16" hidden="1">#REF!</definedName>
    <definedName name="_Fill" hidden="1">#REF!</definedName>
    <definedName name="_ftn1" localSheetId="8">'Tab 2 '!$A$24</definedName>
    <definedName name="_ftnref1" localSheetId="8">'Tab 2 '!$B$9</definedName>
    <definedName name="_IMP10" localSheetId="63">#REF!</definedName>
    <definedName name="_IMP10" localSheetId="1">#REF!</definedName>
    <definedName name="_IMP10" localSheetId="51">#REF!</definedName>
    <definedName name="_IMP10" localSheetId="57">#REF!</definedName>
    <definedName name="_IMP10" localSheetId="59">#REF!</definedName>
    <definedName name="_IMP10" localSheetId="61">#REF!</definedName>
    <definedName name="_IMP10" localSheetId="60">#REF!</definedName>
    <definedName name="_IMP10" localSheetId="16">#REF!</definedName>
    <definedName name="_IMP10">#REF!</definedName>
    <definedName name="_IMP2" localSheetId="63">#REF!</definedName>
    <definedName name="_IMP2" localSheetId="1">#REF!</definedName>
    <definedName name="_IMP2" localSheetId="51">#REF!</definedName>
    <definedName name="_IMP2" localSheetId="57">#REF!</definedName>
    <definedName name="_IMP2" localSheetId="59">#REF!</definedName>
    <definedName name="_IMP2" localSheetId="61">#REF!</definedName>
    <definedName name="_IMP2" localSheetId="60">#REF!</definedName>
    <definedName name="_IMP2" localSheetId="16">#REF!</definedName>
    <definedName name="_IMP2">#REF!</definedName>
    <definedName name="_IMP4" localSheetId="63">#REF!</definedName>
    <definedName name="_IMP4" localSheetId="1">#REF!</definedName>
    <definedName name="_IMP4" localSheetId="51">#REF!</definedName>
    <definedName name="_IMP4" localSheetId="57">#REF!</definedName>
    <definedName name="_IMP4" localSheetId="59">#REF!</definedName>
    <definedName name="_IMP4" localSheetId="61">#REF!</definedName>
    <definedName name="_IMP4" localSheetId="60">#REF!</definedName>
    <definedName name="_IMP4" localSheetId="16">#REF!</definedName>
    <definedName name="_IMP4">#REF!</definedName>
    <definedName name="_IMP6" localSheetId="63">#REF!</definedName>
    <definedName name="_IMP6" localSheetId="1">#REF!</definedName>
    <definedName name="_IMP6" localSheetId="51">#REF!</definedName>
    <definedName name="_IMP6" localSheetId="57">#REF!</definedName>
    <definedName name="_IMP6" localSheetId="59">#REF!</definedName>
    <definedName name="_IMP6" localSheetId="61">#REF!</definedName>
    <definedName name="_IMP6" localSheetId="60">#REF!</definedName>
    <definedName name="_IMP6" localSheetId="16">#REF!</definedName>
    <definedName name="_IMP6">#REF!</definedName>
    <definedName name="_IMP7" localSheetId="63">#REF!</definedName>
    <definedName name="_IMP7" localSheetId="1">#REF!</definedName>
    <definedName name="_IMP7" localSheetId="51">#REF!</definedName>
    <definedName name="_IMP7" localSheetId="57">#REF!</definedName>
    <definedName name="_IMP7" localSheetId="59">#REF!</definedName>
    <definedName name="_IMP7" localSheetId="61">#REF!</definedName>
    <definedName name="_IMP7" localSheetId="60">#REF!</definedName>
    <definedName name="_IMP7" localSheetId="16">#REF!</definedName>
    <definedName name="_IMP7">#REF!</definedName>
    <definedName name="_IMP8" localSheetId="63">#REF!</definedName>
    <definedName name="_IMP8" localSheetId="1">#REF!</definedName>
    <definedName name="_IMP8" localSheetId="51">#REF!</definedName>
    <definedName name="_IMP8" localSheetId="57">#REF!</definedName>
    <definedName name="_IMP8" localSheetId="59">#REF!</definedName>
    <definedName name="_IMP8" localSheetId="61">#REF!</definedName>
    <definedName name="_IMP8" localSheetId="60">#REF!</definedName>
    <definedName name="_IMP8" localSheetId="16">#REF!</definedName>
    <definedName name="_IMP8">#REF!</definedName>
    <definedName name="_MTS2" localSheetId="63">'[3]Annual Tables'!#REF!</definedName>
    <definedName name="_MTS2" localSheetId="1">'[3]Annual Tables'!#REF!</definedName>
    <definedName name="_MTS2" localSheetId="51">'[3]Annual Tables'!#REF!</definedName>
    <definedName name="_MTS2" localSheetId="57">'[3]Annual Tables'!#REF!</definedName>
    <definedName name="_MTS2" localSheetId="59">'[3]Annual Tables'!#REF!</definedName>
    <definedName name="_MTS2" localSheetId="61">'[3]Annual Tables'!#REF!</definedName>
    <definedName name="_MTS2" localSheetId="60">'[3]Annual Tables'!#REF!</definedName>
    <definedName name="_MTS2" localSheetId="16">'[3]Annual Tables'!#REF!</definedName>
    <definedName name="_MTS2">'[3]Annual Tables'!#REF!</definedName>
    <definedName name="_Order1" hidden="1">255</definedName>
    <definedName name="_Order2" hidden="1">255</definedName>
    <definedName name="_OUT1" localSheetId="63">#REF!</definedName>
    <definedName name="_OUT1" localSheetId="1">#REF!</definedName>
    <definedName name="_OUT1" localSheetId="51">#REF!</definedName>
    <definedName name="_OUT1" localSheetId="57">#REF!</definedName>
    <definedName name="_OUT1" localSheetId="59">#REF!</definedName>
    <definedName name="_OUT1" localSheetId="61">#REF!</definedName>
    <definedName name="_OUT1" localSheetId="60">#REF!</definedName>
    <definedName name="_OUT1" localSheetId="16">#REF!</definedName>
    <definedName name="_OUT1">#REF!</definedName>
    <definedName name="_OUT2" localSheetId="63">#REF!</definedName>
    <definedName name="_OUT2" localSheetId="1">#REF!</definedName>
    <definedName name="_OUT2" localSheetId="51">#REF!</definedName>
    <definedName name="_OUT2" localSheetId="57">#REF!</definedName>
    <definedName name="_OUT2" localSheetId="59">#REF!</definedName>
    <definedName name="_OUT2" localSheetId="61">#REF!</definedName>
    <definedName name="_OUT2" localSheetId="60">#REF!</definedName>
    <definedName name="_OUT2" localSheetId="16">#REF!</definedName>
    <definedName name="_OUT2">#REF!</definedName>
    <definedName name="_PAG2" localSheetId="63">[3]Index!#REF!</definedName>
    <definedName name="_PAG2" localSheetId="1">[3]Index!#REF!</definedName>
    <definedName name="_PAG2" localSheetId="51">[3]Index!#REF!</definedName>
    <definedName name="_PAG2" localSheetId="57">[3]Index!#REF!</definedName>
    <definedName name="_PAG2" localSheetId="59">[3]Index!#REF!</definedName>
    <definedName name="_PAG2" localSheetId="61">[3]Index!#REF!</definedName>
    <definedName name="_PAG2" localSheetId="60">[3]Index!#REF!</definedName>
    <definedName name="_PAG2" localSheetId="16">[3]Index!#REF!</definedName>
    <definedName name="_PAG2">[3]Index!#REF!</definedName>
    <definedName name="_PAG3" localSheetId="63">[3]Index!#REF!</definedName>
    <definedName name="_PAG3" localSheetId="1">[3]Index!#REF!</definedName>
    <definedName name="_PAG3" localSheetId="51">[3]Index!#REF!</definedName>
    <definedName name="_PAG3" localSheetId="57">[3]Index!#REF!</definedName>
    <definedName name="_PAG3" localSheetId="59">[3]Index!#REF!</definedName>
    <definedName name="_PAG3" localSheetId="61">[3]Index!#REF!</definedName>
    <definedName name="_PAG3" localSheetId="60">[3]Index!#REF!</definedName>
    <definedName name="_PAG3" localSheetId="16">[3]Index!#REF!</definedName>
    <definedName name="_PAG3">[3]Index!#REF!</definedName>
    <definedName name="_PAG4" localSheetId="63">[3]Index!#REF!</definedName>
    <definedName name="_PAG4" localSheetId="1">[3]Index!#REF!</definedName>
    <definedName name="_PAG4" localSheetId="51">[3]Index!#REF!</definedName>
    <definedName name="_PAG4" localSheetId="57">[3]Index!#REF!</definedName>
    <definedName name="_PAG4" localSheetId="59">[3]Index!#REF!</definedName>
    <definedName name="_PAG4" localSheetId="61">[3]Index!#REF!</definedName>
    <definedName name="_PAG4" localSheetId="60">[3]Index!#REF!</definedName>
    <definedName name="_PAG4" localSheetId="16">[3]Index!#REF!</definedName>
    <definedName name="_PAG4">[3]Index!#REF!</definedName>
    <definedName name="_PAG5" localSheetId="63">[3]Index!#REF!</definedName>
    <definedName name="_PAG5" localSheetId="1">[3]Index!#REF!</definedName>
    <definedName name="_PAG5" localSheetId="51">[3]Index!#REF!</definedName>
    <definedName name="_PAG5" localSheetId="57">[3]Index!#REF!</definedName>
    <definedName name="_PAG5" localSheetId="59">[3]Index!#REF!</definedName>
    <definedName name="_PAG5" localSheetId="61">[3]Index!#REF!</definedName>
    <definedName name="_PAG5" localSheetId="60">[3]Index!#REF!</definedName>
    <definedName name="_PAG5" localSheetId="16">[3]Index!#REF!</definedName>
    <definedName name="_PAG5">[3]Index!#REF!</definedName>
    <definedName name="_PAG6" localSheetId="63">[3]Index!#REF!</definedName>
    <definedName name="_PAG6" localSheetId="1">[3]Index!#REF!</definedName>
    <definedName name="_PAG6" localSheetId="51">[3]Index!#REF!</definedName>
    <definedName name="_PAG6" localSheetId="57">[3]Index!#REF!</definedName>
    <definedName name="_PAG6" localSheetId="59">[3]Index!#REF!</definedName>
    <definedName name="_PAG6" localSheetId="61">[3]Index!#REF!</definedName>
    <definedName name="_PAG6" localSheetId="60">[3]Index!#REF!</definedName>
    <definedName name="_PAG6" localSheetId="16">[3]Index!#REF!</definedName>
    <definedName name="_PAG6">[3]Index!#REF!</definedName>
    <definedName name="_PAG7" localSheetId="63">#REF!</definedName>
    <definedName name="_PAG7" localSheetId="1">#REF!</definedName>
    <definedName name="_PAG7" localSheetId="51">#REF!</definedName>
    <definedName name="_PAG7" localSheetId="57">#REF!</definedName>
    <definedName name="_PAG7" localSheetId="59">#REF!</definedName>
    <definedName name="_PAG7" localSheetId="61">#REF!</definedName>
    <definedName name="_PAG7" localSheetId="60">#REF!</definedName>
    <definedName name="_PAG7" localSheetId="16">#REF!</definedName>
    <definedName name="_PAG7">#REF!</definedName>
    <definedName name="_pro2001" localSheetId="63">[4]pro2001!$A$1:$B$72</definedName>
    <definedName name="_pro2001">[12]pro2001!$A$1:$B$72</definedName>
    <definedName name="_r13" localSheetId="63">[21]splatnosti!$V$39</definedName>
    <definedName name="_r13" localSheetId="41">[22]splatnosti!$V$39</definedName>
    <definedName name="_r13">[23]splatnosti!$V$39</definedName>
    <definedName name="_r14" localSheetId="63">[21]splatnosti!$V$40</definedName>
    <definedName name="_r14" localSheetId="41">[22]splatnosti!$V$40</definedName>
    <definedName name="_r14">[23]splatnosti!$V$40</definedName>
    <definedName name="_Regression_X" localSheetId="63" hidden="1">#REF!</definedName>
    <definedName name="_Regression_X" localSheetId="1" hidden="1">#REF!</definedName>
    <definedName name="_Regression_X" localSheetId="50" hidden="1">#REF!</definedName>
    <definedName name="_Regression_X" localSheetId="51" hidden="1">#REF!</definedName>
    <definedName name="_Regression_X" localSheetId="57" hidden="1">#REF!</definedName>
    <definedName name="_Regression_X" localSheetId="59" hidden="1">#REF!</definedName>
    <definedName name="_Regression_X" localSheetId="61" hidden="1">#REF!</definedName>
    <definedName name="_Regression_X" localSheetId="60" hidden="1">#REF!</definedName>
    <definedName name="_Regression_X" localSheetId="16" hidden="1">#REF!</definedName>
    <definedName name="_Regression_X" hidden="1">#REF!</definedName>
    <definedName name="_Regression_Y" localSheetId="63" hidden="1">#REF!</definedName>
    <definedName name="_Regression_Y" localSheetId="1" hidden="1">#REF!</definedName>
    <definedName name="_Regression_Y" localSheetId="50" hidden="1">#REF!</definedName>
    <definedName name="_Regression_Y" localSheetId="51" hidden="1">#REF!</definedName>
    <definedName name="_Regression_Y" localSheetId="57" hidden="1">#REF!</definedName>
    <definedName name="_Regression_Y" localSheetId="59" hidden="1">#REF!</definedName>
    <definedName name="_Regression_Y" localSheetId="61" hidden="1">#REF!</definedName>
    <definedName name="_Regression_Y" localSheetId="60" hidden="1">#REF!</definedName>
    <definedName name="_Regression_Y" localSheetId="16" hidden="1">#REF!</definedName>
    <definedName name="_Regression_Y" hidden="1">#REF!</definedName>
    <definedName name="_RES2" localSheetId="63">[1]RES!#REF!</definedName>
    <definedName name="_RES2" localSheetId="1">[1]RES!#REF!</definedName>
    <definedName name="_RES2" localSheetId="51">[1]RES!#REF!</definedName>
    <definedName name="_RES2" localSheetId="57">[1]RES!#REF!</definedName>
    <definedName name="_RES2" localSheetId="59">[1]RES!#REF!</definedName>
    <definedName name="_RES2" localSheetId="61">[1]RES!#REF!</definedName>
    <definedName name="_RES2" localSheetId="60">[1]RES!#REF!</definedName>
    <definedName name="_RES2" localSheetId="16">[1]RES!#REF!</definedName>
    <definedName name="_RES2">[1]RES!#REF!</definedName>
    <definedName name="_RULC" localSheetId="63">[5]REER!$BA$144:$BA$206</definedName>
    <definedName name="_RULC" localSheetId="51">[6]REER!$BA$144:$BA$206</definedName>
    <definedName name="_RULC">[24]REER!$BA$144:$BA$206</definedName>
    <definedName name="_TAB1" localSheetId="63">#REF!</definedName>
    <definedName name="_TAB1" localSheetId="1">#REF!</definedName>
    <definedName name="_TAB1" localSheetId="51">#REF!</definedName>
    <definedName name="_TAB1" localSheetId="57">#REF!</definedName>
    <definedName name="_TAB1" localSheetId="59">#REF!</definedName>
    <definedName name="_TAB1" localSheetId="61">#REF!</definedName>
    <definedName name="_TAB1" localSheetId="60">#REF!</definedName>
    <definedName name="_TAB1" localSheetId="16">#REF!</definedName>
    <definedName name="_TAB1">#REF!</definedName>
    <definedName name="_TAB10" localSheetId="63">#REF!</definedName>
    <definedName name="_TAB10" localSheetId="1">#REF!</definedName>
    <definedName name="_TAB10" localSheetId="51">#REF!</definedName>
    <definedName name="_TAB10" localSheetId="57">#REF!</definedName>
    <definedName name="_TAB10" localSheetId="59">#REF!</definedName>
    <definedName name="_TAB10" localSheetId="61">#REF!</definedName>
    <definedName name="_TAB10" localSheetId="60">#REF!</definedName>
    <definedName name="_TAB10" localSheetId="16">#REF!</definedName>
    <definedName name="_TAB10">#REF!</definedName>
    <definedName name="_TAB12" localSheetId="63">#REF!</definedName>
    <definedName name="_TAB12" localSheetId="1">#REF!</definedName>
    <definedName name="_TAB12" localSheetId="51">#REF!</definedName>
    <definedName name="_TAB12" localSheetId="57">#REF!</definedName>
    <definedName name="_TAB12" localSheetId="59">#REF!</definedName>
    <definedName name="_TAB12" localSheetId="61">#REF!</definedName>
    <definedName name="_TAB12" localSheetId="60">#REF!</definedName>
    <definedName name="_TAB12" localSheetId="16">#REF!</definedName>
    <definedName name="_TAB12">#REF!</definedName>
    <definedName name="_Tab19" localSheetId="63">#REF!</definedName>
    <definedName name="_Tab19" localSheetId="1">#REF!</definedName>
    <definedName name="_Tab19" localSheetId="51">#REF!</definedName>
    <definedName name="_Tab19" localSheetId="57">#REF!</definedName>
    <definedName name="_Tab19" localSheetId="59">#REF!</definedName>
    <definedName name="_Tab19" localSheetId="61">#REF!</definedName>
    <definedName name="_Tab19" localSheetId="60">#REF!</definedName>
    <definedName name="_Tab19" localSheetId="16">#REF!</definedName>
    <definedName name="_Tab19">#REF!</definedName>
    <definedName name="_TAB2" localSheetId="63">#REF!</definedName>
    <definedName name="_TAB2" localSheetId="1">#REF!</definedName>
    <definedName name="_TAB2" localSheetId="51">#REF!</definedName>
    <definedName name="_TAB2" localSheetId="57">#REF!</definedName>
    <definedName name="_TAB2" localSheetId="59">#REF!</definedName>
    <definedName name="_TAB2" localSheetId="61">#REF!</definedName>
    <definedName name="_TAB2" localSheetId="60">#REF!</definedName>
    <definedName name="_TAB2" localSheetId="16">#REF!</definedName>
    <definedName name="_TAB2">#REF!</definedName>
    <definedName name="_Tab20" localSheetId="63">#REF!</definedName>
    <definedName name="_Tab20" localSheetId="1">#REF!</definedName>
    <definedName name="_Tab20" localSheetId="51">#REF!</definedName>
    <definedName name="_Tab20" localSheetId="57">#REF!</definedName>
    <definedName name="_Tab20" localSheetId="59">#REF!</definedName>
    <definedName name="_Tab20" localSheetId="61">#REF!</definedName>
    <definedName name="_Tab20" localSheetId="60">#REF!</definedName>
    <definedName name="_Tab20" localSheetId="16">#REF!</definedName>
    <definedName name="_Tab20">#REF!</definedName>
    <definedName name="_Tab21" localSheetId="63">#REF!</definedName>
    <definedName name="_Tab21" localSheetId="1">#REF!</definedName>
    <definedName name="_Tab21" localSheetId="51">#REF!</definedName>
    <definedName name="_Tab21" localSheetId="57">#REF!</definedName>
    <definedName name="_Tab21" localSheetId="59">#REF!</definedName>
    <definedName name="_Tab21" localSheetId="61">#REF!</definedName>
    <definedName name="_Tab21" localSheetId="60">#REF!</definedName>
    <definedName name="_Tab21" localSheetId="16">#REF!</definedName>
    <definedName name="_Tab21">#REF!</definedName>
    <definedName name="_Tab22" localSheetId="63">#REF!</definedName>
    <definedName name="_Tab22" localSheetId="1">#REF!</definedName>
    <definedName name="_Tab22" localSheetId="51">#REF!</definedName>
    <definedName name="_Tab22" localSheetId="57">#REF!</definedName>
    <definedName name="_Tab22" localSheetId="59">#REF!</definedName>
    <definedName name="_Tab22" localSheetId="61">#REF!</definedName>
    <definedName name="_Tab22" localSheetId="60">#REF!</definedName>
    <definedName name="_Tab22" localSheetId="16">#REF!</definedName>
    <definedName name="_Tab22">#REF!</definedName>
    <definedName name="_Tab23" localSheetId="63">#REF!</definedName>
    <definedName name="_Tab23" localSheetId="1">#REF!</definedName>
    <definedName name="_Tab23" localSheetId="51">#REF!</definedName>
    <definedName name="_Tab23" localSheetId="57">#REF!</definedName>
    <definedName name="_Tab23" localSheetId="59">#REF!</definedName>
    <definedName name="_Tab23" localSheetId="61">#REF!</definedName>
    <definedName name="_Tab23" localSheetId="60">#REF!</definedName>
    <definedName name="_Tab23" localSheetId="16">#REF!</definedName>
    <definedName name="_Tab23">#REF!</definedName>
    <definedName name="_Tab24" localSheetId="63">#REF!</definedName>
    <definedName name="_Tab24" localSheetId="1">#REF!</definedName>
    <definedName name="_Tab24" localSheetId="51">#REF!</definedName>
    <definedName name="_Tab24" localSheetId="57">#REF!</definedName>
    <definedName name="_Tab24" localSheetId="59">#REF!</definedName>
    <definedName name="_Tab24" localSheetId="61">#REF!</definedName>
    <definedName name="_Tab24" localSheetId="60">#REF!</definedName>
    <definedName name="_Tab24" localSheetId="16">#REF!</definedName>
    <definedName name="_Tab24">#REF!</definedName>
    <definedName name="_Tab26" localSheetId="63">#REF!</definedName>
    <definedName name="_Tab26" localSheetId="1">#REF!</definedName>
    <definedName name="_Tab26" localSheetId="51">#REF!</definedName>
    <definedName name="_Tab26" localSheetId="57">#REF!</definedName>
    <definedName name="_Tab26" localSheetId="59">#REF!</definedName>
    <definedName name="_Tab26" localSheetId="61">#REF!</definedName>
    <definedName name="_Tab26" localSheetId="60">#REF!</definedName>
    <definedName name="_Tab26" localSheetId="16">#REF!</definedName>
    <definedName name="_Tab26">#REF!</definedName>
    <definedName name="_Tab27" localSheetId="63">#REF!</definedName>
    <definedName name="_Tab27" localSheetId="1">#REF!</definedName>
    <definedName name="_Tab27" localSheetId="51">#REF!</definedName>
    <definedName name="_Tab27" localSheetId="57">#REF!</definedName>
    <definedName name="_Tab27" localSheetId="59">#REF!</definedName>
    <definedName name="_Tab27" localSheetId="61">#REF!</definedName>
    <definedName name="_Tab27" localSheetId="60">#REF!</definedName>
    <definedName name="_Tab27" localSheetId="16">#REF!</definedName>
    <definedName name="_Tab27">#REF!</definedName>
    <definedName name="_Tab28" localSheetId="63">#REF!</definedName>
    <definedName name="_Tab28" localSheetId="1">#REF!</definedName>
    <definedName name="_Tab28" localSheetId="51">#REF!</definedName>
    <definedName name="_Tab28" localSheetId="57">#REF!</definedName>
    <definedName name="_Tab28" localSheetId="59">#REF!</definedName>
    <definedName name="_Tab28" localSheetId="61">#REF!</definedName>
    <definedName name="_Tab28" localSheetId="60">#REF!</definedName>
    <definedName name="_Tab28" localSheetId="16">#REF!</definedName>
    <definedName name="_Tab28">#REF!</definedName>
    <definedName name="_Tab29" localSheetId="63">#REF!</definedName>
    <definedName name="_Tab29" localSheetId="1">#REF!</definedName>
    <definedName name="_Tab29" localSheetId="51">#REF!</definedName>
    <definedName name="_Tab29" localSheetId="57">#REF!</definedName>
    <definedName name="_Tab29" localSheetId="59">#REF!</definedName>
    <definedName name="_Tab29" localSheetId="61">#REF!</definedName>
    <definedName name="_Tab29" localSheetId="60">#REF!</definedName>
    <definedName name="_Tab29" localSheetId="16">#REF!</definedName>
    <definedName name="_Tab29">#REF!</definedName>
    <definedName name="_TAB3" localSheetId="63">#REF!</definedName>
    <definedName name="_TAB3" localSheetId="1">#REF!</definedName>
    <definedName name="_TAB3" localSheetId="51">#REF!</definedName>
    <definedName name="_TAB3" localSheetId="57">#REF!</definedName>
    <definedName name="_TAB3" localSheetId="59">#REF!</definedName>
    <definedName name="_TAB3" localSheetId="61">#REF!</definedName>
    <definedName name="_TAB3" localSheetId="60">#REF!</definedName>
    <definedName name="_TAB3" localSheetId="16">#REF!</definedName>
    <definedName name="_TAB3">#REF!</definedName>
    <definedName name="_Tab30" localSheetId="63">#REF!</definedName>
    <definedName name="_Tab30" localSheetId="1">#REF!</definedName>
    <definedName name="_Tab30" localSheetId="51">#REF!</definedName>
    <definedName name="_Tab30" localSheetId="57">#REF!</definedName>
    <definedName name="_Tab30" localSheetId="59">#REF!</definedName>
    <definedName name="_Tab30" localSheetId="61">#REF!</definedName>
    <definedName name="_Tab30" localSheetId="60">#REF!</definedName>
    <definedName name="_Tab30" localSheetId="16">#REF!</definedName>
    <definedName name="_Tab30">#REF!</definedName>
    <definedName name="_Tab31" localSheetId="63">#REF!</definedName>
    <definedName name="_Tab31" localSheetId="1">#REF!</definedName>
    <definedName name="_Tab31" localSheetId="51">#REF!</definedName>
    <definedName name="_Tab31" localSheetId="57">#REF!</definedName>
    <definedName name="_Tab31" localSheetId="59">#REF!</definedName>
    <definedName name="_Tab31" localSheetId="61">#REF!</definedName>
    <definedName name="_Tab31" localSheetId="60">#REF!</definedName>
    <definedName name="_Tab31" localSheetId="16">#REF!</definedName>
    <definedName name="_Tab31">#REF!</definedName>
    <definedName name="_Tab32" localSheetId="63">#REF!</definedName>
    <definedName name="_Tab32" localSheetId="1">#REF!</definedName>
    <definedName name="_Tab32" localSheetId="51">#REF!</definedName>
    <definedName name="_Tab32" localSheetId="57">#REF!</definedName>
    <definedName name="_Tab32" localSheetId="59">#REF!</definedName>
    <definedName name="_Tab32" localSheetId="61">#REF!</definedName>
    <definedName name="_Tab32" localSheetId="60">#REF!</definedName>
    <definedName name="_Tab32" localSheetId="16">#REF!</definedName>
    <definedName name="_Tab32">#REF!</definedName>
    <definedName name="_Tab33" localSheetId="63">#REF!</definedName>
    <definedName name="_Tab33" localSheetId="1">#REF!</definedName>
    <definedName name="_Tab33" localSheetId="51">#REF!</definedName>
    <definedName name="_Tab33" localSheetId="57">#REF!</definedName>
    <definedName name="_Tab33" localSheetId="59">#REF!</definedName>
    <definedName name="_Tab33" localSheetId="61">#REF!</definedName>
    <definedName name="_Tab33" localSheetId="60">#REF!</definedName>
    <definedName name="_Tab33" localSheetId="16">#REF!</definedName>
    <definedName name="_Tab33">#REF!</definedName>
    <definedName name="_Tab34" localSheetId="63">#REF!</definedName>
    <definedName name="_Tab34" localSheetId="1">#REF!</definedName>
    <definedName name="_Tab34" localSheetId="51">#REF!</definedName>
    <definedName name="_Tab34" localSheetId="57">#REF!</definedName>
    <definedName name="_Tab34" localSheetId="59">#REF!</definedName>
    <definedName name="_Tab34" localSheetId="61">#REF!</definedName>
    <definedName name="_Tab34" localSheetId="60">#REF!</definedName>
    <definedName name="_Tab34" localSheetId="16">#REF!</definedName>
    <definedName name="_Tab34">#REF!</definedName>
    <definedName name="_Tab35" localSheetId="63">#REF!</definedName>
    <definedName name="_Tab35" localSheetId="1">#REF!</definedName>
    <definedName name="_Tab35" localSheetId="51">#REF!</definedName>
    <definedName name="_Tab35" localSheetId="57">#REF!</definedName>
    <definedName name="_Tab35" localSheetId="59">#REF!</definedName>
    <definedName name="_Tab35" localSheetId="61">#REF!</definedName>
    <definedName name="_Tab35" localSheetId="60">#REF!</definedName>
    <definedName name="_Tab35" localSheetId="16">#REF!</definedName>
    <definedName name="_Tab35">#REF!</definedName>
    <definedName name="_TAB4" localSheetId="63">#REF!</definedName>
    <definedName name="_TAB4" localSheetId="1">#REF!</definedName>
    <definedName name="_TAB4" localSheetId="51">#REF!</definedName>
    <definedName name="_TAB4" localSheetId="57">#REF!</definedName>
    <definedName name="_TAB4" localSheetId="59">#REF!</definedName>
    <definedName name="_TAB4" localSheetId="61">#REF!</definedName>
    <definedName name="_TAB4" localSheetId="60">#REF!</definedName>
    <definedName name="_TAB4" localSheetId="16">#REF!</definedName>
    <definedName name="_TAB4">#REF!</definedName>
    <definedName name="_TAB5" localSheetId="63">#REF!</definedName>
    <definedName name="_TAB5" localSheetId="1">#REF!</definedName>
    <definedName name="_TAB5" localSheetId="51">#REF!</definedName>
    <definedName name="_TAB5" localSheetId="57">#REF!</definedName>
    <definedName name="_TAB5" localSheetId="59">#REF!</definedName>
    <definedName name="_TAB5" localSheetId="61">#REF!</definedName>
    <definedName name="_TAB5" localSheetId="60">#REF!</definedName>
    <definedName name="_TAB5" localSheetId="16">#REF!</definedName>
    <definedName name="_TAB5">#REF!</definedName>
    <definedName name="_tab6" localSheetId="63">#REF!</definedName>
    <definedName name="_tab6" localSheetId="1">#REF!</definedName>
    <definedName name="_tab6" localSheetId="51">#REF!</definedName>
    <definedName name="_tab6" localSheetId="57">#REF!</definedName>
    <definedName name="_tab6" localSheetId="59">#REF!</definedName>
    <definedName name="_tab6" localSheetId="61">#REF!</definedName>
    <definedName name="_tab6" localSheetId="60">#REF!</definedName>
    <definedName name="_tab6" localSheetId="16">#REF!</definedName>
    <definedName name="_tab6">#REF!</definedName>
    <definedName name="_TAB7" localSheetId="63">#REF!</definedName>
    <definedName name="_TAB7" localSheetId="1">#REF!</definedName>
    <definedName name="_TAB7" localSheetId="51">#REF!</definedName>
    <definedName name="_TAB7" localSheetId="57">#REF!</definedName>
    <definedName name="_TAB7" localSheetId="59">#REF!</definedName>
    <definedName name="_TAB7" localSheetId="61">#REF!</definedName>
    <definedName name="_TAB7" localSheetId="60">#REF!</definedName>
    <definedName name="_TAB7" localSheetId="16">#REF!</definedName>
    <definedName name="_TAB7">#REF!</definedName>
    <definedName name="_TAB8" localSheetId="63">#REF!</definedName>
    <definedName name="_TAB8" localSheetId="1">#REF!</definedName>
    <definedName name="_TAB8" localSheetId="51">#REF!</definedName>
    <definedName name="_TAB8" localSheetId="57">#REF!</definedName>
    <definedName name="_TAB8" localSheetId="59">#REF!</definedName>
    <definedName name="_TAB8" localSheetId="61">#REF!</definedName>
    <definedName name="_TAB8" localSheetId="60">#REF!</definedName>
    <definedName name="_TAB8" localSheetId="16">#REF!</definedName>
    <definedName name="_TAB8">#REF!</definedName>
    <definedName name="_tab9" localSheetId="63">#REF!</definedName>
    <definedName name="_tab9" localSheetId="1">#REF!</definedName>
    <definedName name="_tab9" localSheetId="51">#REF!</definedName>
    <definedName name="_tab9" localSheetId="57">#REF!</definedName>
    <definedName name="_tab9" localSheetId="59">#REF!</definedName>
    <definedName name="_tab9" localSheetId="61">#REF!</definedName>
    <definedName name="_tab9" localSheetId="60">#REF!</definedName>
    <definedName name="_tab9" localSheetId="16">#REF!</definedName>
    <definedName name="_tab9">#REF!</definedName>
    <definedName name="_TB41" localSheetId="63">#REF!</definedName>
    <definedName name="_TB41" localSheetId="1">#REF!</definedName>
    <definedName name="_TB41" localSheetId="51">#REF!</definedName>
    <definedName name="_TB41" localSheetId="57">#REF!</definedName>
    <definedName name="_TB41" localSheetId="59">#REF!</definedName>
    <definedName name="_TB41" localSheetId="61">#REF!</definedName>
    <definedName name="_TB41" localSheetId="60">#REF!</definedName>
    <definedName name="_TB41" localSheetId="16">#REF!</definedName>
    <definedName name="_TB41">#REF!</definedName>
    <definedName name="_Toc416885924" localSheetId="42">'Tab 21 '!#REF!</definedName>
    <definedName name="_Toc416885925" localSheetId="42">'Tab 21 '!#REF!</definedName>
    <definedName name="_Toc416885926" localSheetId="43">'Tab 22 '!#REF!</definedName>
    <definedName name="_Toc416885927" localSheetId="44">'Tab 23 '!#REF!</definedName>
    <definedName name="_Toc416885929" localSheetId="45">'Tab 24 '!#REF!</definedName>
    <definedName name="_Toc416944006" localSheetId="5">'Grafy 7+8'!$E$3</definedName>
    <definedName name="_Toc416944014" localSheetId="10">'Graf 15+16 '!$B$4</definedName>
    <definedName name="_Toc416944015" localSheetId="10">'Graf 15+16 '!$E$4</definedName>
    <definedName name="_Toc416944019" localSheetId="15">'Graf 19  + Tab 7 '!$B$4</definedName>
    <definedName name="_Toc416944024" localSheetId="15">'Graf 19  + Tab 7 '!$B$4</definedName>
    <definedName name="_Toc416944025" localSheetId="15">'Graf 19  + Tab 7 '!$D$4</definedName>
    <definedName name="_Toc416944027" localSheetId="16">'Tab 8'!#REF!</definedName>
    <definedName name="_Toc416944027" localSheetId="17">'Tab 9'!#REF!</definedName>
    <definedName name="_Toc416944033" localSheetId="20">'Graf 22'!$B$2</definedName>
    <definedName name="_Toc416944045" localSheetId="33">'Graf 30+31 '!$A$4</definedName>
    <definedName name="_Toc416944046" localSheetId="33">'Graf 30+31 '!$C$4</definedName>
    <definedName name="_Toc417907480" localSheetId="40">'Graf 36 '!$A$3</definedName>
    <definedName name="_Toc432509118" localSheetId="56">'Graf 54'!#REF!</definedName>
    <definedName name="_Toc432509118" localSheetId="55">'Tab 26'!$B$1</definedName>
    <definedName name="_Toc449429151" localSheetId="25">'Graf 26+27; Tab 12'!#REF!</definedName>
    <definedName name="_Toc449430145" localSheetId="23">'Tab 10'!$A$4</definedName>
    <definedName name="_Toc449430150" localSheetId="29">'Tab 15 '!$A$4</definedName>
    <definedName name="_Toc449430152" localSheetId="31">'Tab 17 '!$A$3</definedName>
    <definedName name="_Toc463861269" localSheetId="50">'Graf 45+46'!$O$2</definedName>
    <definedName name="_Toc463861271" localSheetId="52">'Graf 48+49'!$B$20</definedName>
    <definedName name="_Toc463861280" localSheetId="57">'Graf 55'!#REF!</definedName>
    <definedName name="_Toc463861280" localSheetId="58">'Graf 56+57'!#REF!</definedName>
    <definedName name="_Toc463861281" localSheetId="57">'Graf 55'!#REF!</definedName>
    <definedName name="_Toc463861281" localSheetId="58">'Graf 56+57'!#REF!</definedName>
    <definedName name="_Toc477358256" localSheetId="62">'Graf 60+61+62'!$A$3</definedName>
    <definedName name="_Toc480457470" localSheetId="35">'Graf  33 '!$O$7</definedName>
    <definedName name="_Toc480457491" localSheetId="56">'Graf 54'!#REF!</definedName>
    <definedName name="_Toc480533165" localSheetId="25">'Graf 26+27; Tab 12'!$P$3</definedName>
    <definedName name="_Toc480533168" localSheetId="37">'Tab 19'!$B$2</definedName>
    <definedName name="_Toc480577913" localSheetId="21">'Graf 23+24'!$B$2</definedName>
    <definedName name="_Toc480577914" localSheetId="21">'Graf 23+24'!$B$27</definedName>
    <definedName name="_Toc480577940" localSheetId="53">'Graf 50+51'!$B$17</definedName>
    <definedName name="_Toc480577940" localSheetId="59">'Graf 58'!#REF!</definedName>
    <definedName name="_Toc480577940" localSheetId="61">'Graf 59'!#REF!</definedName>
    <definedName name="_Toc480577940" localSheetId="60">'Tab 27'!#REF!</definedName>
    <definedName name="_Toc480577941" localSheetId="53">'Graf 50+51'!$Q$17</definedName>
    <definedName name="_Toc480577941" localSheetId="59">'Graf 58'!#REF!</definedName>
    <definedName name="_Toc480577941" localSheetId="61">'Graf 59'!#REF!</definedName>
    <definedName name="_Toc480577941" localSheetId="60">'Tab 27'!#REF!</definedName>
    <definedName name="_Toc480905490" localSheetId="62">'Graf 60+61+62'!$A$28</definedName>
    <definedName name="_Toc495395953" localSheetId="16">'Tab 8'!$A$4</definedName>
    <definedName name="_Toc495395967" localSheetId="49">'Tab 25'!$A$2</definedName>
    <definedName name="_Toc512001581" localSheetId="25">'Graf 26+27; Tab 12'!$A$19</definedName>
    <definedName name="_Toc512001582" localSheetId="25">'Graf 26+27; Tab 12'!$I$19</definedName>
    <definedName name="_Toc512001594" localSheetId="46">'Graf 39+40'!$B$14</definedName>
    <definedName name="_Toc512001595" localSheetId="46">'Graf 39+40'!$B$37</definedName>
    <definedName name="_Toc512001596" localSheetId="47">'Graf 41+42'!$A$1</definedName>
    <definedName name="_Toc512001597" localSheetId="47">'Graf 41+42'!$C$1</definedName>
    <definedName name="_Toc512332041" localSheetId="31">'Tab 17 '!#REF!</definedName>
    <definedName name="_WEO1" localSheetId="63">#REF!</definedName>
    <definedName name="_WEO1" localSheetId="1">#REF!</definedName>
    <definedName name="_WEO1" localSheetId="51">#REF!</definedName>
    <definedName name="_WEO1" localSheetId="57">#REF!</definedName>
    <definedName name="_WEO1" localSheetId="59">#REF!</definedName>
    <definedName name="_WEO1" localSheetId="61">#REF!</definedName>
    <definedName name="_WEO1" localSheetId="60">#REF!</definedName>
    <definedName name="_WEO1" localSheetId="16">#REF!</definedName>
    <definedName name="_WEO1">#REF!</definedName>
    <definedName name="_WEO2" localSheetId="63">#REF!</definedName>
    <definedName name="_WEO2" localSheetId="1">#REF!</definedName>
    <definedName name="_WEO2" localSheetId="51">#REF!</definedName>
    <definedName name="_WEO2" localSheetId="57">#REF!</definedName>
    <definedName name="_WEO2" localSheetId="59">#REF!</definedName>
    <definedName name="_WEO2" localSheetId="61">#REF!</definedName>
    <definedName name="_WEO2" localSheetId="60">#REF!</definedName>
    <definedName name="_WEO2" localSheetId="16">#REF!</definedName>
    <definedName name="_WEO2">#REF!</definedName>
    <definedName name="a" localSheetId="63">#REF!</definedName>
    <definedName name="a" hidden="1">[24]REER!$AZ$144:$AZ$210</definedName>
    <definedName name="aaa" localSheetId="1" hidden="1">'[10]i2-KA'!#REF!</definedName>
    <definedName name="aaa" localSheetId="57" hidden="1">'[10]i2-KA'!#REF!</definedName>
    <definedName name="aaa" localSheetId="59" hidden="1">'[10]i2-KA'!#REF!</definedName>
    <definedName name="aaa" localSheetId="61" hidden="1">'[10]i2-KA'!#REF!</definedName>
    <definedName name="aaa" localSheetId="60" hidden="1">'[10]i2-KA'!#REF!</definedName>
    <definedName name="aaa" localSheetId="16" hidden="1">'[10]i2-KA'!#REF!</definedName>
    <definedName name="aaa" hidden="1">'[10]i2-KA'!#REF!</definedName>
    <definedName name="aaaaaaaaaaaaaa" localSheetId="63">#N/A</definedName>
    <definedName name="aaaaaaaaaaaaaa" localSheetId="51">'Graf 47'!aaaaaaaaaaaaaa</definedName>
    <definedName name="aaaaaaaaaaaaaa">[25]!aaaaaaaaaaaaaa</definedName>
    <definedName name="aas" localSheetId="63">[26]Contents!$A$1:$C$25</definedName>
    <definedName name="aas" localSheetId="51">[27]Contents!$A$1:$C$25</definedName>
    <definedName name="aas">[28]Contents!$A$1:$C$25</definedName>
    <definedName name="aloha" localSheetId="63" hidden="1">'[29]i2-KA'!#REF!</definedName>
    <definedName name="aloha" localSheetId="1" hidden="1">'[29]i2-KA'!#REF!</definedName>
    <definedName name="aloha" localSheetId="50" hidden="1">'[29]i2-KA'!#REF!</definedName>
    <definedName name="aloha" localSheetId="51" hidden="1">'[29]i2-KA'!#REF!</definedName>
    <definedName name="aloha" localSheetId="57" hidden="1">'[29]i2-KA'!#REF!</definedName>
    <definedName name="aloha" localSheetId="59" hidden="1">'[29]i2-KA'!#REF!</definedName>
    <definedName name="aloha" localSheetId="61" hidden="1">'[29]i2-KA'!#REF!</definedName>
    <definedName name="aloha" localSheetId="60" hidden="1">'[29]i2-KA'!#REF!</definedName>
    <definedName name="aloha" localSheetId="16" hidden="1">'[29]i2-KA'!#REF!</definedName>
    <definedName name="aloha" hidden="1">'[29]i2-KA'!#REF!</definedName>
    <definedName name="ANNUALNOM" localSheetId="63">#REF!</definedName>
    <definedName name="ANNUALNOM" localSheetId="1">#REF!</definedName>
    <definedName name="ANNUALNOM" localSheetId="57">#REF!</definedName>
    <definedName name="ANNUALNOM" localSheetId="59">#REF!</definedName>
    <definedName name="ANNUALNOM" localSheetId="61">#REF!</definedName>
    <definedName name="ANNUALNOM" localSheetId="60">#REF!</definedName>
    <definedName name="ANNUALNOM" localSheetId="16">#REF!</definedName>
    <definedName name="ANNUALNOM">#REF!</definedName>
    <definedName name="as" localSheetId="63">'[26]i-REER'!$A$2:$F$104</definedName>
    <definedName name="as" localSheetId="51">'[27]i-REER'!$A$2:$F$104</definedName>
    <definedName name="as">'[28]i-REER'!$A$2:$F$104</definedName>
    <definedName name="ASSUM" localSheetId="63">#REF!</definedName>
    <definedName name="ASSUM" localSheetId="1">#REF!</definedName>
    <definedName name="ASSUM" localSheetId="57">#REF!</definedName>
    <definedName name="ASSUM" localSheetId="59">#REF!</definedName>
    <definedName name="ASSUM" localSheetId="61">#REF!</definedName>
    <definedName name="ASSUM" localSheetId="60">#REF!</definedName>
    <definedName name="ASSUM" localSheetId="16">#REF!</definedName>
    <definedName name="ASSUM">#REF!</definedName>
    <definedName name="ASSUMB" localSheetId="63">#REF!</definedName>
    <definedName name="ASSUMB" localSheetId="1">#REF!</definedName>
    <definedName name="ASSUMB" localSheetId="57">#REF!</definedName>
    <definedName name="ASSUMB" localSheetId="59">#REF!</definedName>
    <definedName name="ASSUMB" localSheetId="61">#REF!</definedName>
    <definedName name="ASSUMB" localSheetId="60">#REF!</definedName>
    <definedName name="ASSUMB" localSheetId="16">#REF!</definedName>
    <definedName name="ASSUMB">#REF!</definedName>
    <definedName name="atrade" localSheetId="63">[20]!atrade</definedName>
    <definedName name="atrade" localSheetId="1">[20]!atrade</definedName>
    <definedName name="atrade" localSheetId="51">[20]!atrade</definedName>
    <definedName name="atrade" localSheetId="57">[20]!atrade</definedName>
    <definedName name="atrade" localSheetId="59">[20]!atrade</definedName>
    <definedName name="atrade" localSheetId="61">[20]!atrade</definedName>
    <definedName name="atrade" localSheetId="60">[20]!atrade</definedName>
    <definedName name="atrade" localSheetId="16">[20]!atrade</definedName>
    <definedName name="atrade">[20]!atrade</definedName>
    <definedName name="b" localSheetId="63">#REF!</definedName>
    <definedName name="b" localSheetId="1">#REF!</definedName>
    <definedName name="b" localSheetId="57">#REF!</definedName>
    <definedName name="b" localSheetId="59">#REF!</definedName>
    <definedName name="b" localSheetId="61">#REF!</definedName>
    <definedName name="b" localSheetId="60">#REF!</definedName>
    <definedName name="b" localSheetId="16">#REF!</definedName>
    <definedName name="b">#REF!</definedName>
    <definedName name="BAKLANBOPB" localSheetId="63">#REF!</definedName>
    <definedName name="BAKLANBOPB" localSheetId="1">#REF!</definedName>
    <definedName name="BAKLANBOPB" localSheetId="57">#REF!</definedName>
    <definedName name="BAKLANBOPB" localSheetId="59">#REF!</definedName>
    <definedName name="BAKLANBOPB" localSheetId="61">#REF!</definedName>
    <definedName name="BAKLANBOPB" localSheetId="60">#REF!</definedName>
    <definedName name="BAKLANBOPB" localSheetId="16">#REF!</definedName>
    <definedName name="BAKLANBOPB">#REF!</definedName>
    <definedName name="BAKLANDEBT2B" localSheetId="63">#REF!</definedName>
    <definedName name="BAKLANDEBT2B" localSheetId="1">#REF!</definedName>
    <definedName name="BAKLANDEBT2B" localSheetId="57">#REF!</definedName>
    <definedName name="BAKLANDEBT2B" localSheetId="59">#REF!</definedName>
    <definedName name="BAKLANDEBT2B" localSheetId="61">#REF!</definedName>
    <definedName name="BAKLANDEBT2B" localSheetId="60">#REF!</definedName>
    <definedName name="BAKLANDEBT2B" localSheetId="16">#REF!</definedName>
    <definedName name="BAKLANDEBT2B">#REF!</definedName>
    <definedName name="BAKLDEBT1B" localSheetId="63">#REF!</definedName>
    <definedName name="BAKLDEBT1B" localSheetId="1">#REF!</definedName>
    <definedName name="BAKLDEBT1B" localSheetId="57">#REF!</definedName>
    <definedName name="BAKLDEBT1B" localSheetId="59">#REF!</definedName>
    <definedName name="BAKLDEBT1B" localSheetId="61">#REF!</definedName>
    <definedName name="BAKLDEBT1B" localSheetId="60">#REF!</definedName>
    <definedName name="BAKLDEBT1B" localSheetId="16">#REF!</definedName>
    <definedName name="BAKLDEBT1B">#REF!</definedName>
    <definedName name="BASDAT" localSheetId="63">'[3]Annual Tables'!#REF!</definedName>
    <definedName name="BASDAT" localSheetId="1">'[3]Annual Tables'!#REF!</definedName>
    <definedName name="BASDAT" localSheetId="51">'[3]Annual Tables'!#REF!</definedName>
    <definedName name="BASDAT" localSheetId="57">'[3]Annual Tables'!#REF!</definedName>
    <definedName name="BASDAT" localSheetId="59">'[3]Annual Tables'!#REF!</definedName>
    <definedName name="BASDAT" localSheetId="61">'[3]Annual Tables'!#REF!</definedName>
    <definedName name="BASDAT" localSheetId="60">'[3]Annual Tables'!#REF!</definedName>
    <definedName name="BASDAT" localSheetId="16">'[3]Annual Tables'!#REF!</definedName>
    <definedName name="BASDAT">'[3]Annual Tables'!#REF!</definedName>
    <definedName name="bb" localSheetId="63" hidden="1">{"Riqfin97",#N/A,FALSE,"Tran";"Riqfinpro",#N/A,FALSE,"Tran"}</definedName>
    <definedName name="bb" localSheetId="41" hidden="1">{"Riqfin97",#N/A,FALSE,"Tran";"Riqfinpro",#N/A,FALSE,"Tran"}</definedName>
    <definedName name="bb" localSheetId="50" hidden="1">{"Riqfin97",#N/A,FALSE,"Tran";"Riqfinpro",#N/A,FALSE,"Tran"}</definedName>
    <definedName name="bb" localSheetId="51" hidden="1">{"Riqfin97",#N/A,FALSE,"Tran";"Riqfinpro",#N/A,FALSE,"Tran"}</definedName>
    <definedName name="bb" hidden="1">{"Riqfin97",#N/A,FALSE,"Tran";"Riqfinpro",#N/A,FALSE,"Tran"}</definedName>
    <definedName name="bbb" localSheetId="63" hidden="1">{"Riqfin97",#N/A,FALSE,"Tran";"Riqfinpro",#N/A,FALSE,"Tran"}</definedName>
    <definedName name="bbb" localSheetId="41" hidden="1">{"Riqfin97",#N/A,FALSE,"Tran";"Riqfinpro",#N/A,FALSE,"Tran"}</definedName>
    <definedName name="bbb" localSheetId="50" hidden="1">{"Riqfin97",#N/A,FALSE,"Tran";"Riqfinpro",#N/A,FALSE,"Tran"}</definedName>
    <definedName name="bbb" localSheetId="51" hidden="1">{"Riqfin97",#N/A,FALSE,"Tran";"Riqfinpro",#N/A,FALSE,"Tran"}</definedName>
    <definedName name="bbb" hidden="1">{"Riqfin97",#N/A,FALSE,"Tran";"Riqfinpro",#N/A,FALSE,"Tran"}</definedName>
    <definedName name="bbbbbbbbbbbbbb" localSheetId="63">#N/A</definedName>
    <definedName name="bbbbbbbbbbbbbb" localSheetId="51">'Graf 47'!bbbbbbbbbbbbbb</definedName>
    <definedName name="bbbbbbbbbbbbbb">[25]!bbbbbbbbbbbbbb</definedName>
    <definedName name="BCA">#N/A</definedName>
    <definedName name="BCA_GDP">#N/A</definedName>
    <definedName name="BE">#N/A</definedName>
    <definedName name="BEA" localSheetId="63">'[30]WEO-BOP'!#REF!</definedName>
    <definedName name="BEA" localSheetId="1">'[30]WEO-BOP'!#REF!</definedName>
    <definedName name="BEA" localSheetId="51">'[30]WEO-BOP'!#REF!</definedName>
    <definedName name="BEA" localSheetId="57">'[30]WEO-BOP'!#REF!</definedName>
    <definedName name="BEA" localSheetId="59">'[30]WEO-BOP'!#REF!</definedName>
    <definedName name="BEA" localSheetId="61">'[30]WEO-BOP'!#REF!</definedName>
    <definedName name="BEA" localSheetId="60">'[30]WEO-BOP'!#REF!</definedName>
    <definedName name="BEA" localSheetId="16">'[30]WEO-BOP'!#REF!</definedName>
    <definedName name="BEA">'[30]WEO-BOP'!#REF!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E" localSheetId="63">#REF!</definedName>
    <definedName name="BEDE" localSheetId="1">#REF!</definedName>
    <definedName name="BEDE" localSheetId="57">#REF!</definedName>
    <definedName name="BEDE" localSheetId="59">#REF!</definedName>
    <definedName name="BEDE" localSheetId="61">#REF!</definedName>
    <definedName name="BEDE" localSheetId="60">#REF!</definedName>
    <definedName name="BEDE" localSheetId="16">#REF!</definedName>
    <definedName name="BEDE">#REF!</definedName>
    <definedName name="BER" localSheetId="63">'[30]WEO-BOP'!#REF!</definedName>
    <definedName name="BER" localSheetId="1">'[30]WEO-BOP'!#REF!</definedName>
    <definedName name="BER" localSheetId="51">'[30]WEO-BOP'!#REF!</definedName>
    <definedName name="BER" localSheetId="57">'[30]WEO-BOP'!#REF!</definedName>
    <definedName name="BER" localSheetId="59">'[30]WEO-BOP'!#REF!</definedName>
    <definedName name="BER" localSheetId="61">'[30]WEO-BOP'!#REF!</definedName>
    <definedName name="BER" localSheetId="60">'[30]WEO-BOP'!#REF!</definedName>
    <definedName name="BER" localSheetId="16">'[30]WEO-BOP'!#REF!</definedName>
    <definedName name="BER">'[30]WEO-BOP'!#REF!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63">'[30]WEO-BOP'!#REF!</definedName>
    <definedName name="BFD" localSheetId="1">'[30]WEO-BOP'!#REF!</definedName>
    <definedName name="BFD" localSheetId="51">'[30]WEO-BOP'!#REF!</definedName>
    <definedName name="BFD" localSheetId="57">'[30]WEO-BOP'!#REF!</definedName>
    <definedName name="BFD" localSheetId="59">'[30]WEO-BOP'!#REF!</definedName>
    <definedName name="BFD" localSheetId="61">'[30]WEO-BOP'!#REF!</definedName>
    <definedName name="BFD" localSheetId="60">'[30]WEO-BOP'!#REF!</definedName>
    <definedName name="BFD" localSheetId="16">'[30]WEO-BOP'!#REF!</definedName>
    <definedName name="BFD">'[30]WEO-BOP'!#REF!</definedName>
    <definedName name="BFDI" localSheetId="63">'[30]WEO-BOP'!#REF!</definedName>
    <definedName name="BFDI" localSheetId="1">'[30]WEO-BOP'!#REF!</definedName>
    <definedName name="BFDI" localSheetId="51">'[30]WEO-BOP'!#REF!</definedName>
    <definedName name="BFDI" localSheetId="57">'[30]WEO-BOP'!#REF!</definedName>
    <definedName name="BFDI" localSheetId="59">'[30]WEO-BOP'!#REF!</definedName>
    <definedName name="BFDI" localSheetId="61">'[30]WEO-BOP'!#REF!</definedName>
    <definedName name="BFDI" localSheetId="60">'[30]WEO-BOP'!#REF!</definedName>
    <definedName name="BFDI" localSheetId="16">'[30]WEO-BOP'!#REF!</definedName>
    <definedName name="BFDI">'[30]WEO-BOP'!#REF!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63">#N/A</definedName>
    <definedName name="BFLD_DF" localSheetId="51">'Graf 47'!BFLD_DF</definedName>
    <definedName name="BFLD_DF">[25]!BFLD_DF</definedName>
    <definedName name="BFLG">#N/A</definedName>
    <definedName name="BFLG_D">#N/A</definedName>
    <definedName name="BFLG_DF">#N/A</definedName>
    <definedName name="BFO" localSheetId="63">'[30]WEO-BOP'!#REF!</definedName>
    <definedName name="BFO" localSheetId="1">'[30]WEO-BOP'!#REF!</definedName>
    <definedName name="BFO" localSheetId="51">'[30]WEO-BOP'!#REF!</definedName>
    <definedName name="BFO" localSheetId="57">'[30]WEO-BOP'!#REF!</definedName>
    <definedName name="BFO" localSheetId="59">'[30]WEO-BOP'!#REF!</definedName>
    <definedName name="BFO" localSheetId="61">'[30]WEO-BOP'!#REF!</definedName>
    <definedName name="BFO" localSheetId="60">'[30]WEO-BOP'!#REF!</definedName>
    <definedName name="BFO" localSheetId="16">'[30]WEO-BOP'!#REF!</definedName>
    <definedName name="BFO">'[30]WEO-BOP'!#REF!</definedName>
    <definedName name="BFOA" localSheetId="63">'[30]WEO-BOP'!#REF!</definedName>
    <definedName name="BFOA" localSheetId="1">'[30]WEO-BOP'!#REF!</definedName>
    <definedName name="BFOA" localSheetId="51">'[30]WEO-BOP'!#REF!</definedName>
    <definedName name="BFOA" localSheetId="57">'[30]WEO-BOP'!#REF!</definedName>
    <definedName name="BFOA" localSheetId="59">'[30]WEO-BOP'!#REF!</definedName>
    <definedName name="BFOA" localSheetId="61">'[30]WEO-BOP'!#REF!</definedName>
    <definedName name="BFOA" localSheetId="60">'[30]WEO-BOP'!#REF!</definedName>
    <definedName name="BFOA" localSheetId="16">'[30]WEO-BOP'!#REF!</definedName>
    <definedName name="BFOA">'[30]WEO-BOP'!#REF!</definedName>
    <definedName name="BFOAG" localSheetId="63">'[30]WEO-BOP'!#REF!</definedName>
    <definedName name="BFOAG" localSheetId="1">'[30]WEO-BOP'!#REF!</definedName>
    <definedName name="BFOAG" localSheetId="51">'[30]WEO-BOP'!#REF!</definedName>
    <definedName name="BFOAG" localSheetId="57">'[30]WEO-BOP'!#REF!</definedName>
    <definedName name="BFOAG" localSheetId="59">'[30]WEO-BOP'!#REF!</definedName>
    <definedName name="BFOAG" localSheetId="61">'[30]WEO-BOP'!#REF!</definedName>
    <definedName name="BFOAG" localSheetId="60">'[30]WEO-BOP'!#REF!</definedName>
    <definedName name="BFOAG" localSheetId="16">'[30]WEO-BOP'!#REF!</definedName>
    <definedName name="BFOAG">'[30]WEO-BOP'!#REF!</definedName>
    <definedName name="BFOG" localSheetId="63">'[30]WEO-BOP'!#REF!</definedName>
    <definedName name="BFOG" localSheetId="1">'[30]WEO-BOP'!#REF!</definedName>
    <definedName name="BFOG" localSheetId="51">'[30]WEO-BOP'!#REF!</definedName>
    <definedName name="BFOG" localSheetId="57">'[30]WEO-BOP'!#REF!</definedName>
    <definedName name="BFOG" localSheetId="59">'[30]WEO-BOP'!#REF!</definedName>
    <definedName name="BFOG" localSheetId="61">'[30]WEO-BOP'!#REF!</definedName>
    <definedName name="BFOG" localSheetId="60">'[30]WEO-BOP'!#REF!</definedName>
    <definedName name="BFOG" localSheetId="16">'[30]WEO-BOP'!#REF!</definedName>
    <definedName name="BFOG">'[30]WEO-BOP'!#REF!</definedName>
    <definedName name="BFOL" localSheetId="63">'[30]WEO-BOP'!#REF!</definedName>
    <definedName name="BFOL" localSheetId="1">'[30]WEO-BOP'!#REF!</definedName>
    <definedName name="BFOL" localSheetId="51">'[30]WEO-BOP'!#REF!</definedName>
    <definedName name="BFOL" localSheetId="57">'[30]WEO-BOP'!#REF!</definedName>
    <definedName name="BFOL" localSheetId="59">'[30]WEO-BOP'!#REF!</definedName>
    <definedName name="BFOL" localSheetId="61">'[30]WEO-BOP'!#REF!</definedName>
    <definedName name="BFOL" localSheetId="60">'[30]WEO-BOP'!#REF!</definedName>
    <definedName name="BFOL" localSheetId="16">'[30]WEO-BOP'!#REF!</definedName>
    <definedName name="BFOL">'[30]WEO-BOP'!#REF!</definedName>
    <definedName name="BFOL_B" localSheetId="63">'[30]WEO-BOP'!#REF!</definedName>
    <definedName name="BFOL_B" localSheetId="1">'[30]WEO-BOP'!#REF!</definedName>
    <definedName name="BFOL_B" localSheetId="51">'[30]WEO-BOP'!#REF!</definedName>
    <definedName name="BFOL_B" localSheetId="57">'[30]WEO-BOP'!#REF!</definedName>
    <definedName name="BFOL_B" localSheetId="59">'[30]WEO-BOP'!#REF!</definedName>
    <definedName name="BFOL_B" localSheetId="61">'[30]WEO-BOP'!#REF!</definedName>
    <definedName name="BFOL_B" localSheetId="60">'[30]WEO-BOP'!#REF!</definedName>
    <definedName name="BFOL_B" localSheetId="16">'[30]WEO-BOP'!#REF!</definedName>
    <definedName name="BFOL_B">'[30]WEO-BOP'!#REF!</definedName>
    <definedName name="BFOL_G" localSheetId="63">'[30]WEO-BOP'!#REF!</definedName>
    <definedName name="BFOL_G" localSheetId="1">'[30]WEO-BOP'!#REF!</definedName>
    <definedName name="BFOL_G" localSheetId="51">'[30]WEO-BOP'!#REF!</definedName>
    <definedName name="BFOL_G" localSheetId="57">'[30]WEO-BOP'!#REF!</definedName>
    <definedName name="BFOL_G" localSheetId="59">'[30]WEO-BOP'!#REF!</definedName>
    <definedName name="BFOL_G" localSheetId="61">'[30]WEO-BOP'!#REF!</definedName>
    <definedName name="BFOL_G" localSheetId="60">'[30]WEO-BOP'!#REF!</definedName>
    <definedName name="BFOL_G" localSheetId="16">'[30]WEO-BOP'!#REF!</definedName>
    <definedName name="BFOL_G">'[30]WEO-BOP'!#REF!</definedName>
    <definedName name="BFOLG" localSheetId="63">'[30]WEO-BOP'!#REF!</definedName>
    <definedName name="BFOLG" localSheetId="1">'[30]WEO-BOP'!#REF!</definedName>
    <definedName name="BFOLG" localSheetId="51">'[30]WEO-BOP'!#REF!</definedName>
    <definedName name="BFOLG" localSheetId="57">'[30]WEO-BOP'!#REF!</definedName>
    <definedName name="BFOLG" localSheetId="59">'[30]WEO-BOP'!#REF!</definedName>
    <definedName name="BFOLG" localSheetId="61">'[30]WEO-BOP'!#REF!</definedName>
    <definedName name="BFOLG" localSheetId="60">'[30]WEO-BOP'!#REF!</definedName>
    <definedName name="BFOLG" localSheetId="16">'[30]WEO-BOP'!#REF!</definedName>
    <definedName name="BFOLG">'[30]WEO-BOP'!#REF!</definedName>
    <definedName name="BFP" localSheetId="63">'[30]WEO-BOP'!#REF!</definedName>
    <definedName name="BFP" localSheetId="1">'[30]WEO-BOP'!#REF!</definedName>
    <definedName name="BFP" localSheetId="51">'[30]WEO-BOP'!#REF!</definedName>
    <definedName name="BFP" localSheetId="57">'[30]WEO-BOP'!#REF!</definedName>
    <definedName name="BFP" localSheetId="59">'[30]WEO-BOP'!#REF!</definedName>
    <definedName name="BFP" localSheetId="61">'[30]WEO-BOP'!#REF!</definedName>
    <definedName name="BFP" localSheetId="60">'[30]WEO-BOP'!#REF!</definedName>
    <definedName name="BFP" localSheetId="16">'[30]WEO-BOP'!#REF!</definedName>
    <definedName name="BFP">'[30]WEO-BOP'!#REF!</definedName>
    <definedName name="BFPA" localSheetId="63">'[30]WEO-BOP'!#REF!</definedName>
    <definedName name="BFPA" localSheetId="1">'[30]WEO-BOP'!#REF!</definedName>
    <definedName name="BFPA" localSheetId="51">'[30]WEO-BOP'!#REF!</definedName>
    <definedName name="BFPA" localSheetId="57">'[30]WEO-BOP'!#REF!</definedName>
    <definedName name="BFPA" localSheetId="59">'[30]WEO-BOP'!#REF!</definedName>
    <definedName name="BFPA" localSheetId="61">'[30]WEO-BOP'!#REF!</definedName>
    <definedName name="BFPA" localSheetId="60">'[30]WEO-BOP'!#REF!</definedName>
    <definedName name="BFPA" localSheetId="16">'[30]WEO-BOP'!#REF!</definedName>
    <definedName name="BFPA">'[30]WEO-BOP'!#REF!</definedName>
    <definedName name="BFPAG" localSheetId="63">'[30]WEO-BOP'!#REF!</definedName>
    <definedName name="BFPAG" localSheetId="1">'[30]WEO-BOP'!#REF!</definedName>
    <definedName name="BFPAG" localSheetId="51">'[30]WEO-BOP'!#REF!</definedName>
    <definedName name="BFPAG" localSheetId="57">'[30]WEO-BOP'!#REF!</definedName>
    <definedName name="BFPAG" localSheetId="59">'[30]WEO-BOP'!#REF!</definedName>
    <definedName name="BFPAG" localSheetId="61">'[30]WEO-BOP'!#REF!</definedName>
    <definedName name="BFPAG" localSheetId="60">'[30]WEO-BOP'!#REF!</definedName>
    <definedName name="BFPAG" localSheetId="16">'[30]WEO-BOP'!#REF!</definedName>
    <definedName name="BFPAG">'[30]WEO-BOP'!#REF!</definedName>
    <definedName name="BFPG" localSheetId="63">'[30]WEO-BOP'!#REF!</definedName>
    <definedName name="BFPG" localSheetId="1">'[30]WEO-BOP'!#REF!</definedName>
    <definedName name="BFPG" localSheetId="51">'[30]WEO-BOP'!#REF!</definedName>
    <definedName name="BFPG" localSheetId="57">'[30]WEO-BOP'!#REF!</definedName>
    <definedName name="BFPG" localSheetId="59">'[30]WEO-BOP'!#REF!</definedName>
    <definedName name="BFPG" localSheetId="61">'[30]WEO-BOP'!#REF!</definedName>
    <definedName name="BFPG" localSheetId="60">'[30]WEO-BOP'!#REF!</definedName>
    <definedName name="BFPG" localSheetId="16">'[30]WEO-BOP'!#REF!</definedName>
    <definedName name="BFPG">'[30]WEO-BOP'!#REF!</definedName>
    <definedName name="BFPL" localSheetId="63">'[30]WEO-BOP'!#REF!</definedName>
    <definedName name="BFPL" localSheetId="1">'[30]WEO-BOP'!#REF!</definedName>
    <definedName name="BFPL" localSheetId="51">'[30]WEO-BOP'!#REF!</definedName>
    <definedName name="BFPL" localSheetId="57">'[30]WEO-BOP'!#REF!</definedName>
    <definedName name="BFPL" localSheetId="59">'[30]WEO-BOP'!#REF!</definedName>
    <definedName name="BFPL" localSheetId="61">'[30]WEO-BOP'!#REF!</definedName>
    <definedName name="BFPL" localSheetId="60">'[30]WEO-BOP'!#REF!</definedName>
    <definedName name="BFPL" localSheetId="16">'[30]WEO-BOP'!#REF!</definedName>
    <definedName name="BFPL">'[30]WEO-BOP'!#REF!</definedName>
    <definedName name="BFPLD" localSheetId="63">'[30]WEO-BOP'!#REF!</definedName>
    <definedName name="BFPLD" localSheetId="1">'[30]WEO-BOP'!#REF!</definedName>
    <definedName name="BFPLD" localSheetId="51">'[30]WEO-BOP'!#REF!</definedName>
    <definedName name="BFPLD" localSheetId="57">'[30]WEO-BOP'!#REF!</definedName>
    <definedName name="BFPLD" localSheetId="59">'[30]WEO-BOP'!#REF!</definedName>
    <definedName name="BFPLD" localSheetId="61">'[30]WEO-BOP'!#REF!</definedName>
    <definedName name="BFPLD" localSheetId="60">'[30]WEO-BOP'!#REF!</definedName>
    <definedName name="BFPLD" localSheetId="16">'[30]WEO-BOP'!#REF!</definedName>
    <definedName name="BFPLD">'[30]WEO-BOP'!#REF!</definedName>
    <definedName name="BFPLDG" localSheetId="63">'[30]WEO-BOP'!#REF!</definedName>
    <definedName name="BFPLDG" localSheetId="1">'[30]WEO-BOP'!#REF!</definedName>
    <definedName name="BFPLDG" localSheetId="51">'[30]WEO-BOP'!#REF!</definedName>
    <definedName name="BFPLDG" localSheetId="57">'[30]WEO-BOP'!#REF!</definedName>
    <definedName name="BFPLDG" localSheetId="59">'[30]WEO-BOP'!#REF!</definedName>
    <definedName name="BFPLDG" localSheetId="61">'[30]WEO-BOP'!#REF!</definedName>
    <definedName name="BFPLDG" localSheetId="60">'[30]WEO-BOP'!#REF!</definedName>
    <definedName name="BFPLDG" localSheetId="16">'[30]WEO-BOP'!#REF!</definedName>
    <definedName name="BFPLDG">'[30]WEO-BOP'!#REF!</definedName>
    <definedName name="BFPLE" localSheetId="63">'[30]WEO-BOP'!#REF!</definedName>
    <definedName name="BFPLE" localSheetId="1">'[30]WEO-BOP'!#REF!</definedName>
    <definedName name="BFPLE" localSheetId="51">'[30]WEO-BOP'!#REF!</definedName>
    <definedName name="BFPLE" localSheetId="57">'[30]WEO-BOP'!#REF!</definedName>
    <definedName name="BFPLE" localSheetId="59">'[30]WEO-BOP'!#REF!</definedName>
    <definedName name="BFPLE" localSheetId="61">'[30]WEO-BOP'!#REF!</definedName>
    <definedName name="BFPLE" localSheetId="60">'[30]WEO-BOP'!#REF!</definedName>
    <definedName name="BFPLE" localSheetId="16">'[30]WEO-BOP'!#REF!</definedName>
    <definedName name="BFPLE">'[30]WEO-BOP'!#REF!</definedName>
    <definedName name="BFRA">#N/A</definedName>
    <definedName name="BGS" localSheetId="63">'[30]WEO-BOP'!#REF!</definedName>
    <definedName name="BGS" localSheetId="1">'[30]WEO-BOP'!#REF!</definedName>
    <definedName name="BGS" localSheetId="51">'[30]WEO-BOP'!#REF!</definedName>
    <definedName name="BGS" localSheetId="57">'[30]WEO-BOP'!#REF!</definedName>
    <definedName name="BGS" localSheetId="59">'[30]WEO-BOP'!#REF!</definedName>
    <definedName name="BGS" localSheetId="61">'[30]WEO-BOP'!#REF!</definedName>
    <definedName name="BGS" localSheetId="60">'[30]WEO-BOP'!#REF!</definedName>
    <definedName name="BGS" localSheetId="16">'[30]WEO-BOP'!#REF!</definedName>
    <definedName name="BGS">'[30]WEO-BOP'!#REF!</definedName>
    <definedName name="BI">#N/A</definedName>
    <definedName name="BID" localSheetId="63">'[30]WEO-BOP'!#REF!</definedName>
    <definedName name="BID" localSheetId="1">'[30]WEO-BOP'!#REF!</definedName>
    <definedName name="BID" localSheetId="51">'[30]WEO-BOP'!#REF!</definedName>
    <definedName name="BID" localSheetId="57">'[30]WEO-BOP'!#REF!</definedName>
    <definedName name="BID" localSheetId="59">'[30]WEO-BOP'!#REF!</definedName>
    <definedName name="BID" localSheetId="61">'[30]WEO-BOP'!#REF!</definedName>
    <definedName name="BID" localSheetId="60">'[30]WEO-BOP'!#REF!</definedName>
    <definedName name="BID" localSheetId="16">'[30]WEO-BOP'!#REF!</definedName>
    <definedName name="BID">'[30]WEO-BOP'!#REF!</definedName>
    <definedName name="BK">#N/A</definedName>
    <definedName name="BKF">#N/A</definedName>
    <definedName name="BMG">[31]Q6!$E$28:$AH$28</definedName>
    <definedName name="BMII">#N/A</definedName>
    <definedName name="BMIIB">#N/A</definedName>
    <definedName name="BMIIG">#N/A</definedName>
    <definedName name="BMS" localSheetId="63">'[30]WEO-BOP'!#REF!</definedName>
    <definedName name="BMS" localSheetId="1">'[30]WEO-BOP'!#REF!</definedName>
    <definedName name="BMS" localSheetId="51">'[30]WEO-BOP'!#REF!</definedName>
    <definedName name="BMS" localSheetId="57">'[30]WEO-BOP'!#REF!</definedName>
    <definedName name="BMS" localSheetId="59">'[30]WEO-BOP'!#REF!</definedName>
    <definedName name="BMS" localSheetId="61">'[30]WEO-BOP'!#REF!</definedName>
    <definedName name="BMS" localSheetId="60">'[30]WEO-BOP'!#REF!</definedName>
    <definedName name="BMS" localSheetId="16">'[30]WEO-BOP'!#REF!</definedName>
    <definedName name="BMS">'[30]WEO-BOP'!#REF!</definedName>
    <definedName name="Bolivia" localSheetId="63">#REF!</definedName>
    <definedName name="Bolivia" localSheetId="1">#REF!</definedName>
    <definedName name="Bolivia" localSheetId="57">#REF!</definedName>
    <definedName name="Bolivia" localSheetId="59">#REF!</definedName>
    <definedName name="Bolivia" localSheetId="61">#REF!</definedName>
    <definedName name="Bolivia" localSheetId="60">#REF!</definedName>
    <definedName name="Bolivia" localSheetId="16">#REF!</definedName>
    <definedName name="Bolivia">#REF!</definedName>
    <definedName name="BOP">#N/A</definedName>
    <definedName name="BOPB" localSheetId="63">#REF!</definedName>
    <definedName name="BOPB" localSheetId="1">#REF!</definedName>
    <definedName name="BOPB" localSheetId="57">#REF!</definedName>
    <definedName name="BOPB" localSheetId="59">#REF!</definedName>
    <definedName name="BOPB" localSheetId="61">#REF!</definedName>
    <definedName name="BOPB" localSheetId="60">#REF!</definedName>
    <definedName name="BOPB" localSheetId="16">#REF!</definedName>
    <definedName name="BOPB">#REF!</definedName>
    <definedName name="BOPMEMOB" localSheetId="63">#REF!</definedName>
    <definedName name="BOPMEMOB" localSheetId="1">#REF!</definedName>
    <definedName name="BOPMEMOB" localSheetId="57">#REF!</definedName>
    <definedName name="BOPMEMOB" localSheetId="59">#REF!</definedName>
    <definedName name="BOPMEMOB" localSheetId="61">#REF!</definedName>
    <definedName name="BOPMEMOB" localSheetId="60">#REF!</definedName>
    <definedName name="BOPMEMOB" localSheetId="16">#REF!</definedName>
    <definedName name="BOPMEMOB">#REF!</definedName>
    <definedName name="bracket_2" localSheetId="63">[32]Graf14_Graf15!#REF!</definedName>
    <definedName name="bracket_2" localSheetId="57">[32]Graf14_Graf15!#REF!</definedName>
    <definedName name="bracket_2" localSheetId="59">[32]Graf14_Graf15!#REF!</definedName>
    <definedName name="bracket_2" localSheetId="61">[32]Graf14_Graf15!#REF!</definedName>
    <definedName name="bracket_2" localSheetId="60">[32]Graf14_Graf15!#REF!</definedName>
    <definedName name="bracket_2" localSheetId="16">[32]Graf14_Graf15!#REF!</definedName>
    <definedName name="bracket_2">[32]Graf14_Graf15!#REF!</definedName>
    <definedName name="BRASS" localSheetId="63">'[30]WEO-BOP'!#REF!</definedName>
    <definedName name="BRASS" localSheetId="1">'[30]WEO-BOP'!#REF!</definedName>
    <definedName name="BRASS" localSheetId="51">'[30]WEO-BOP'!#REF!</definedName>
    <definedName name="BRASS" localSheetId="57">'[30]WEO-BOP'!#REF!</definedName>
    <definedName name="BRASS" localSheetId="59">'[30]WEO-BOP'!#REF!</definedName>
    <definedName name="BRASS" localSheetId="61">'[30]WEO-BOP'!#REF!</definedName>
    <definedName name="BRASS" localSheetId="60">'[30]WEO-BOP'!#REF!</definedName>
    <definedName name="BRASS" localSheetId="16">'[30]WEO-BOP'!#REF!</definedName>
    <definedName name="BRASS">'[30]WEO-BOP'!#REF!</definedName>
    <definedName name="Brazil" localSheetId="63">#REF!</definedName>
    <definedName name="Brazil" localSheetId="1">#REF!</definedName>
    <definedName name="Brazil" localSheetId="57">#REF!</definedName>
    <definedName name="Brazil" localSheetId="59">#REF!</definedName>
    <definedName name="Brazil" localSheetId="61">#REF!</definedName>
    <definedName name="Brazil" localSheetId="60">#REF!</definedName>
    <definedName name="Brazil" localSheetId="16">#REF!</definedName>
    <definedName name="Brazil">#REF!</definedName>
    <definedName name="BTR" localSheetId="63">'[30]WEO-BOP'!#REF!</definedName>
    <definedName name="BTR" localSheetId="1">'[30]WEO-BOP'!#REF!</definedName>
    <definedName name="BTR" localSheetId="51">'[30]WEO-BOP'!#REF!</definedName>
    <definedName name="BTR" localSheetId="57">'[30]WEO-BOP'!#REF!</definedName>
    <definedName name="BTR" localSheetId="59">'[30]WEO-BOP'!#REF!</definedName>
    <definedName name="BTR" localSheetId="61">'[30]WEO-BOP'!#REF!</definedName>
    <definedName name="BTR" localSheetId="60">'[30]WEO-BOP'!#REF!</definedName>
    <definedName name="BTR" localSheetId="16">'[30]WEO-BOP'!#REF!</definedName>
    <definedName name="BTR">'[30]WEO-BOP'!#REF!</definedName>
    <definedName name="BTRG" localSheetId="63">'[30]WEO-BOP'!#REF!</definedName>
    <definedName name="BTRG" localSheetId="1">'[30]WEO-BOP'!#REF!</definedName>
    <definedName name="BTRG" localSheetId="51">'[30]WEO-BOP'!#REF!</definedName>
    <definedName name="BTRG" localSheetId="57">'[30]WEO-BOP'!#REF!</definedName>
    <definedName name="BTRG" localSheetId="59">'[30]WEO-BOP'!#REF!</definedName>
    <definedName name="BTRG" localSheetId="61">'[30]WEO-BOP'!#REF!</definedName>
    <definedName name="BTRG" localSheetId="60">'[30]WEO-BOP'!#REF!</definedName>
    <definedName name="BTRG" localSheetId="16">'[30]WEO-BOP'!#REF!</definedName>
    <definedName name="BTRG">'[30]WEO-BOP'!#REF!</definedName>
    <definedName name="BUDGET" localSheetId="63">#REF!</definedName>
    <definedName name="BUDGET" localSheetId="1">#REF!</definedName>
    <definedName name="BUDGET" localSheetId="57">#REF!</definedName>
    <definedName name="BUDGET" localSheetId="59">#REF!</definedName>
    <definedName name="BUDGET" localSheetId="61">#REF!</definedName>
    <definedName name="BUDGET" localSheetId="60">#REF!</definedName>
    <definedName name="BUDGET" localSheetId="16">#REF!</definedName>
    <definedName name="BUDGET">#REF!</definedName>
    <definedName name="Budget_expenditure" localSheetId="63">#REF!</definedName>
    <definedName name="Budget_expenditure" localSheetId="1">#REF!</definedName>
    <definedName name="Budget_expenditure" localSheetId="57">#REF!</definedName>
    <definedName name="Budget_expenditure" localSheetId="59">#REF!</definedName>
    <definedName name="Budget_expenditure" localSheetId="61">#REF!</definedName>
    <definedName name="Budget_expenditure" localSheetId="60">#REF!</definedName>
    <definedName name="Budget_expenditure" localSheetId="16">#REF!</definedName>
    <definedName name="Budget_expenditure">#REF!</definedName>
    <definedName name="Budget_revenue" localSheetId="63">#REF!</definedName>
    <definedName name="Budget_revenue" localSheetId="1">#REF!</definedName>
    <definedName name="Budget_revenue" localSheetId="57">#REF!</definedName>
    <definedName name="Budget_revenue" localSheetId="59">#REF!</definedName>
    <definedName name="Budget_revenue" localSheetId="61">#REF!</definedName>
    <definedName name="Budget_revenue" localSheetId="60">#REF!</definedName>
    <definedName name="Budget_revenue" localSheetId="16">#REF!</definedName>
    <definedName name="Budget_revenue">#REF!</definedName>
    <definedName name="BXG">[31]Q6!$E$26:$AH$26</definedName>
    <definedName name="BXS" localSheetId="63">'[30]WEO-BOP'!#REF!</definedName>
    <definedName name="BXS" localSheetId="1">'[30]WEO-BOP'!#REF!</definedName>
    <definedName name="BXS" localSheetId="51">'[30]WEO-BOP'!#REF!</definedName>
    <definedName name="BXS" localSheetId="57">'[30]WEO-BOP'!#REF!</definedName>
    <definedName name="BXS" localSheetId="59">'[30]WEO-BOP'!#REF!</definedName>
    <definedName name="BXS" localSheetId="61">'[30]WEO-BOP'!#REF!</definedName>
    <definedName name="BXS" localSheetId="60">'[30]WEO-BOP'!#REF!</definedName>
    <definedName name="BXS" localSheetId="16">'[30]WEO-BOP'!#REF!</definedName>
    <definedName name="BXS">'[30]WEO-BOP'!#REF!</definedName>
    <definedName name="BXTSAq" localSheetId="63">#REF!</definedName>
    <definedName name="BXTSAq" localSheetId="1">#REF!</definedName>
    <definedName name="BXTSAq" localSheetId="51">#REF!</definedName>
    <definedName name="BXTSAq" localSheetId="57">#REF!</definedName>
    <definedName name="BXTSAq" localSheetId="59">#REF!</definedName>
    <definedName name="BXTSAq" localSheetId="61">#REF!</definedName>
    <definedName name="BXTSAq" localSheetId="60">#REF!</definedName>
    <definedName name="BXTSAq" localSheetId="16">#REF!</definedName>
    <definedName name="BXTSAq">#REF!</definedName>
    <definedName name="CalcMCV_4" localSheetId="63">#REF!</definedName>
    <definedName name="CalcMCV_4" localSheetId="1">#REF!</definedName>
    <definedName name="CalcMCV_4" localSheetId="51">#REF!</definedName>
    <definedName name="CalcMCV_4" localSheetId="57">#REF!</definedName>
    <definedName name="CalcMCV_4" localSheetId="59">#REF!</definedName>
    <definedName name="CalcMCV_4" localSheetId="61">#REF!</definedName>
    <definedName name="CalcMCV_4" localSheetId="60">#REF!</definedName>
    <definedName name="CalcMCV_4" localSheetId="16">#REF!</definedName>
    <definedName name="CalcMCV_4">#REF!</definedName>
    <definedName name="calcNGS_NGDP">#N/A</definedName>
    <definedName name="CAPACCB" localSheetId="63">#REF!</definedName>
    <definedName name="CAPACCB" localSheetId="1">#REF!</definedName>
    <definedName name="CAPACCB" localSheetId="57">#REF!</definedName>
    <definedName name="CAPACCB" localSheetId="59">#REF!</definedName>
    <definedName name="CAPACCB" localSheetId="61">#REF!</definedName>
    <definedName name="CAPACCB" localSheetId="60">#REF!</definedName>
    <definedName name="CAPACCB" localSheetId="16">#REF!</definedName>
    <definedName name="CAPACCB">#REF!</definedName>
    <definedName name="cc" localSheetId="63" hidden="1">{"Riqfin97",#N/A,FALSE,"Tran";"Riqfinpro",#N/A,FALSE,"Tran"}</definedName>
    <definedName name="cc" localSheetId="41" hidden="1">{"Riqfin97",#N/A,FALSE,"Tran";"Riqfinpro",#N/A,FALSE,"Tran"}</definedName>
    <definedName name="cc" localSheetId="50" hidden="1">{"Riqfin97",#N/A,FALSE,"Tran";"Riqfinpro",#N/A,FALSE,"Tran"}</definedName>
    <definedName name="cc" localSheetId="51" hidden="1">{"Riqfin97",#N/A,FALSE,"Tran";"Riqfinpro",#N/A,FALSE,"Tran"}</definedName>
    <definedName name="cc" hidden="1">{"Riqfin97",#N/A,FALSE,"Tran";"Riqfinpro",#N/A,FALSE,"Tran"}</definedName>
    <definedName name="ccc" localSheetId="63" hidden="1">{"Riqfin97",#N/A,FALSE,"Tran";"Riqfinpro",#N/A,FALSE,"Tran"}</definedName>
    <definedName name="ccc" localSheetId="41" hidden="1">{"Riqfin97",#N/A,FALSE,"Tran";"Riqfinpro",#N/A,FALSE,"Tran"}</definedName>
    <definedName name="ccc" localSheetId="50" hidden="1">{"Riqfin97",#N/A,FALSE,"Tran";"Riqfinpro",#N/A,FALSE,"Tran"}</definedName>
    <definedName name="ccc" localSheetId="51" hidden="1">{"Riqfin97",#N/A,FALSE,"Tran";"Riqfinpro",#N/A,FALSE,"Tran"}</definedName>
    <definedName name="ccc" hidden="1">{"Riqfin97",#N/A,FALSE,"Tran";"Riqfinpro",#N/A,FALSE,"Tran"}</definedName>
    <definedName name="CCODE" localSheetId="63">#REF!</definedName>
    <definedName name="CCODE" localSheetId="1">#REF!</definedName>
    <definedName name="CCODE" localSheetId="57">#REF!</definedName>
    <definedName name="CCODE" localSheetId="59">#REF!</definedName>
    <definedName name="CCODE" localSheetId="61">#REF!</definedName>
    <definedName name="CCODE" localSheetId="60">#REF!</definedName>
    <definedName name="CCODE" localSheetId="16">#REF!</definedName>
    <definedName name="CCODE">#REF!</definedName>
    <definedName name="cgb" localSheetId="63">#REF!</definedName>
    <definedName name="cgb" localSheetId="1">#REF!</definedName>
    <definedName name="cgb" localSheetId="51">#REF!</definedName>
    <definedName name="cgb" localSheetId="57">#REF!</definedName>
    <definedName name="cgb" localSheetId="59">#REF!</definedName>
    <definedName name="cgb" localSheetId="61">#REF!</definedName>
    <definedName name="cgb" localSheetId="60">#REF!</definedName>
    <definedName name="cgb" localSheetId="16">#REF!</definedName>
    <definedName name="cgb">#REF!</definedName>
    <definedName name="cge" localSheetId="63">#REF!</definedName>
    <definedName name="cge" localSheetId="1">#REF!</definedName>
    <definedName name="cge" localSheetId="51">#REF!</definedName>
    <definedName name="cge" localSheetId="57">#REF!</definedName>
    <definedName name="cge" localSheetId="59">#REF!</definedName>
    <definedName name="cge" localSheetId="61">#REF!</definedName>
    <definedName name="cge" localSheetId="60">#REF!</definedName>
    <definedName name="cge" localSheetId="16">#REF!</definedName>
    <definedName name="cge">#REF!</definedName>
    <definedName name="cgr" localSheetId="63">#REF!</definedName>
    <definedName name="cgr" localSheetId="1">#REF!</definedName>
    <definedName name="cgr" localSheetId="51">#REF!</definedName>
    <definedName name="cgr" localSheetId="57">#REF!</definedName>
    <definedName name="cgr" localSheetId="59">#REF!</definedName>
    <definedName name="cgr" localSheetId="61">#REF!</definedName>
    <definedName name="cgr" localSheetId="60">#REF!</definedName>
    <definedName name="cgr" localSheetId="16">#REF!</definedName>
    <definedName name="cgr">#REF!</definedName>
    <definedName name="CONCK" localSheetId="63">#REF!</definedName>
    <definedName name="CONCK" localSheetId="1">#REF!</definedName>
    <definedName name="CONCK" localSheetId="57">#REF!</definedName>
    <definedName name="CONCK" localSheetId="59">#REF!</definedName>
    <definedName name="CONCK" localSheetId="61">#REF!</definedName>
    <definedName name="CONCK" localSheetId="60">#REF!</definedName>
    <definedName name="CONCK" localSheetId="16">#REF!</definedName>
    <definedName name="CONCK">#REF!</definedName>
    <definedName name="Cons" localSheetId="63">#REF!</definedName>
    <definedName name="Cons" localSheetId="1">#REF!</definedName>
    <definedName name="Cons" localSheetId="57">#REF!</definedName>
    <definedName name="Cons" localSheetId="59">#REF!</definedName>
    <definedName name="Cons" localSheetId="61">#REF!</definedName>
    <definedName name="Cons" localSheetId="60">#REF!</definedName>
    <definedName name="Cons" localSheetId="16">#REF!</definedName>
    <definedName name="Cons">#REF!</definedName>
    <definedName name="CORULCSA" localSheetId="63">[33]E!$V$15:$V$98</definedName>
    <definedName name="CORULCSA" localSheetId="51">[34]E!$V$15:$V$98</definedName>
    <definedName name="CORULCSA">[35]E!$V$15:$V$98</definedName>
    <definedName name="CountryCode">[36]readme!$B$2</definedName>
    <definedName name="CurrVintage">[37]Current!$D$66</definedName>
    <definedName name="d" localSheetId="63">"Graf 5"</definedName>
    <definedName name="d" localSheetId="41" hidden="1">{"Riqfin97",#N/A,FALSE,"Tran";"Riqfinpro",#N/A,FALSE,"Tran"}</definedName>
    <definedName name="d" localSheetId="51">"Graf 5"</definedName>
    <definedName name="d" hidden="1">{"Riqfin97",#N/A,FALSE,"Tran";"Riqfinpro",#N/A,FALSE,"Tran"}</definedName>
    <definedName name="DABproj">#N/A</definedName>
    <definedName name="DAGproj">#N/A</definedName>
    <definedName name="daily_interest_rates" localSheetId="63">'[38]daily calculations'!#REF!</definedName>
    <definedName name="daily_interest_rates" localSheetId="1">'[39]daily calculations'!#REF!</definedName>
    <definedName name="daily_interest_rates" localSheetId="51">'[40]daily calculations'!#REF!</definedName>
    <definedName name="daily_interest_rates" localSheetId="57">'[39]daily calculations'!#REF!</definedName>
    <definedName name="daily_interest_rates" localSheetId="59">'[39]daily calculations'!#REF!</definedName>
    <definedName name="daily_interest_rates" localSheetId="61">'[39]daily calculations'!#REF!</definedName>
    <definedName name="daily_interest_rates" localSheetId="60">'[39]daily calculations'!#REF!</definedName>
    <definedName name="daily_interest_rates" localSheetId="16">'[39]daily calculations'!#REF!</definedName>
    <definedName name="daily_interest_rates">'[39]daily calculations'!#REF!</definedName>
    <definedName name="DAproj">#N/A</definedName>
    <definedName name="das" localSheetId="1" hidden="1">[8]G!#REF!</definedName>
    <definedName name="das" localSheetId="50" hidden="1">[8]G!#REF!</definedName>
    <definedName name="das" localSheetId="51" hidden="1">[8]G!#REF!</definedName>
    <definedName name="das" localSheetId="57" hidden="1">[8]G!#REF!</definedName>
    <definedName name="das" localSheetId="59" hidden="1">[8]G!#REF!</definedName>
    <definedName name="das" localSheetId="61" hidden="1">[8]G!#REF!</definedName>
    <definedName name="das" localSheetId="60" hidden="1">[8]G!#REF!</definedName>
    <definedName name="das" localSheetId="16" hidden="1">[8]G!#REF!</definedName>
    <definedName name="das" hidden="1">[8]G!#REF!</definedName>
    <definedName name="DASD">#N/A</definedName>
    <definedName name="DASDB">#N/A</definedName>
    <definedName name="DASDG">#N/A</definedName>
    <definedName name="data_area" localSheetId="63">#REF!</definedName>
    <definedName name="data_area" localSheetId="1">#REF!</definedName>
    <definedName name="data_area" localSheetId="51">#REF!</definedName>
    <definedName name="data_area" localSheetId="57">#REF!</definedName>
    <definedName name="data_area" localSheetId="59">#REF!</definedName>
    <definedName name="data_area" localSheetId="61">#REF!</definedName>
    <definedName name="data_area" localSheetId="60">#REF!</definedName>
    <definedName name="data_area" localSheetId="16">#REF!</definedName>
    <definedName name="data_area">#REF!</definedName>
    <definedName name="_xlnm.Database" localSheetId="63">#REF!</definedName>
    <definedName name="_xlnm.Database" localSheetId="1">#REF!</definedName>
    <definedName name="_xlnm.Database" localSheetId="57">#REF!</definedName>
    <definedName name="_xlnm.Database" localSheetId="59">#REF!</definedName>
    <definedName name="_xlnm.Database" localSheetId="61">#REF!</definedName>
    <definedName name="_xlnm.Database" localSheetId="60">#REF!</definedName>
    <definedName name="_xlnm.Database" localSheetId="16">#REF!</definedName>
    <definedName name="_xlnm.Database">#REF!</definedName>
    <definedName name="DATB" localSheetId="63">[5]REER!$B$144:$B$240</definedName>
    <definedName name="DATB" localSheetId="51">[6]REER!$B$144:$B$240</definedName>
    <definedName name="DATB">[24]REER!$B$144:$B$240</definedName>
    <definedName name="datcr" localSheetId="63">'[2]Tab ann curr'!#REF!</definedName>
    <definedName name="datcr" localSheetId="1">'[2]Tab ann curr'!#REF!</definedName>
    <definedName name="datcr" localSheetId="51">'[2]Tab ann curr'!#REF!</definedName>
    <definedName name="datcr" localSheetId="57">'[2]Tab ann curr'!#REF!</definedName>
    <definedName name="datcr" localSheetId="59">'[2]Tab ann curr'!#REF!</definedName>
    <definedName name="datcr" localSheetId="61">'[2]Tab ann curr'!#REF!</definedName>
    <definedName name="datcr" localSheetId="60">'[2]Tab ann curr'!#REF!</definedName>
    <definedName name="datcr" localSheetId="16">'[2]Tab ann curr'!#REF!</definedName>
    <definedName name="datcr">'[2]Tab ann curr'!#REF!</definedName>
    <definedName name="date" localSheetId="63">#REF!</definedName>
    <definedName name="date" localSheetId="1">#REF!</definedName>
    <definedName name="date" localSheetId="57">#REF!</definedName>
    <definedName name="date" localSheetId="59">#REF!</definedName>
    <definedName name="date" localSheetId="61">#REF!</definedName>
    <definedName name="date" localSheetId="60">#REF!</definedName>
    <definedName name="date" localSheetId="16">#REF!</definedName>
    <definedName name="date">#REF!</definedName>
    <definedName name="date_EXP">[41]Sheet1!$B$1:$G$1</definedName>
    <definedName name="date_FISC" localSheetId="63">#REF!</definedName>
    <definedName name="date_FISC" localSheetId="1">#REF!</definedName>
    <definedName name="date_FISC" localSheetId="57">#REF!</definedName>
    <definedName name="date_FISC" localSheetId="59">#REF!</definedName>
    <definedName name="date_FISC" localSheetId="61">#REF!</definedName>
    <definedName name="date_FISC" localSheetId="60">#REF!</definedName>
    <definedName name="date_FISC" localSheetId="16">#REF!</definedName>
    <definedName name="date_FISC">#REF!</definedName>
    <definedName name="dateIntLiq" localSheetId="63">#REF!</definedName>
    <definedName name="dateIntLiq" localSheetId="1">#REF!</definedName>
    <definedName name="dateIntLiq" localSheetId="51">#REF!</definedName>
    <definedName name="dateIntLiq" localSheetId="57">#REF!</definedName>
    <definedName name="dateIntLiq" localSheetId="59">#REF!</definedName>
    <definedName name="dateIntLiq" localSheetId="61">#REF!</definedName>
    <definedName name="dateIntLiq" localSheetId="60">#REF!</definedName>
    <definedName name="dateIntLiq" localSheetId="16">#REF!</definedName>
    <definedName name="dateIntLiq">#REF!</definedName>
    <definedName name="dateMoney" localSheetId="63">#REF!</definedName>
    <definedName name="dateMoney" localSheetId="1">#REF!</definedName>
    <definedName name="dateMoney" localSheetId="57">#REF!</definedName>
    <definedName name="dateMoney" localSheetId="59">#REF!</definedName>
    <definedName name="dateMoney" localSheetId="61">#REF!</definedName>
    <definedName name="dateMoney" localSheetId="60">#REF!</definedName>
    <definedName name="dateMoney" localSheetId="16">#REF!</definedName>
    <definedName name="dateMoney">#REF!</definedName>
    <definedName name="dateprofit" localSheetId="63">[5]C!$A$9:$A$125</definedName>
    <definedName name="dateprofit" localSheetId="51">[6]C!$A$9:$A$125</definedName>
    <definedName name="dateprofit">[24]C!$A$9:$A$125</definedName>
    <definedName name="dateRates" localSheetId="63">#REF!</definedName>
    <definedName name="dateRates" localSheetId="1">#REF!</definedName>
    <definedName name="dateRates" localSheetId="57">#REF!</definedName>
    <definedName name="dateRates" localSheetId="59">#REF!</definedName>
    <definedName name="dateRates" localSheetId="61">#REF!</definedName>
    <definedName name="dateRates" localSheetId="60">#REF!</definedName>
    <definedName name="dateRates" localSheetId="16">#REF!</definedName>
    <definedName name="dateRates">#REF!</definedName>
    <definedName name="dateRawQ" localSheetId="63">'[42]Raw Data'!#REF!</definedName>
    <definedName name="dateRawQ" localSheetId="1">'[42]Raw Data'!#REF!</definedName>
    <definedName name="dateRawQ" localSheetId="51">'[42]Raw Data'!#REF!</definedName>
    <definedName name="dateRawQ" localSheetId="57">'[42]Raw Data'!#REF!</definedName>
    <definedName name="dateRawQ" localSheetId="59">'[42]Raw Data'!#REF!</definedName>
    <definedName name="dateRawQ" localSheetId="61">'[42]Raw Data'!#REF!</definedName>
    <definedName name="dateRawQ" localSheetId="60">'[42]Raw Data'!#REF!</definedName>
    <definedName name="dateRawQ" localSheetId="16">'[42]Raw Data'!#REF!</definedName>
    <definedName name="dateRawQ">'[42]Raw Data'!#REF!</definedName>
    <definedName name="dateReal" localSheetId="63">#REF!</definedName>
    <definedName name="dateReal" localSheetId="1">#REF!</definedName>
    <definedName name="dateReal" localSheetId="57">#REF!</definedName>
    <definedName name="dateReal" localSheetId="59">#REF!</definedName>
    <definedName name="dateReal" localSheetId="61">#REF!</definedName>
    <definedName name="dateReal" localSheetId="60">#REF!</definedName>
    <definedName name="dateReal" localSheetId="16">#REF!</definedName>
    <definedName name="dateReal">#REF!</definedName>
    <definedName name="dates" localSheetId="63">#REF!</definedName>
    <definedName name="dates" localSheetId="1">#REF!</definedName>
    <definedName name="dates" localSheetId="57">#REF!</definedName>
    <definedName name="dates" localSheetId="59">#REF!</definedName>
    <definedName name="dates" localSheetId="61">#REF!</definedName>
    <definedName name="dates" localSheetId="60">#REF!</definedName>
    <definedName name="dates" localSheetId="16">#REF!</definedName>
    <definedName name="dates">#REF!</definedName>
    <definedName name="dates_w" localSheetId="63">#REF!</definedName>
    <definedName name="dates_w" localSheetId="1">#REF!</definedName>
    <definedName name="dates_w" localSheetId="57">#REF!</definedName>
    <definedName name="dates_w" localSheetId="59">#REF!</definedName>
    <definedName name="dates_w" localSheetId="61">#REF!</definedName>
    <definedName name="dates_w" localSheetId="60">#REF!</definedName>
    <definedName name="dates_w" localSheetId="16">#REF!</definedName>
    <definedName name="dates_w">#REF!</definedName>
    <definedName name="dates1" localSheetId="63">#REF!</definedName>
    <definedName name="dates1" localSheetId="1">#REF!</definedName>
    <definedName name="dates1" localSheetId="57">#REF!</definedName>
    <definedName name="dates1" localSheetId="59">#REF!</definedName>
    <definedName name="dates1" localSheetId="61">#REF!</definedName>
    <definedName name="dates1" localSheetId="60">#REF!</definedName>
    <definedName name="dates1" localSheetId="16">#REF!</definedName>
    <definedName name="dates1">#REF!</definedName>
    <definedName name="dates2" localSheetId="63">#REF!</definedName>
    <definedName name="dates2" localSheetId="1">#REF!</definedName>
    <definedName name="dates2" localSheetId="57">#REF!</definedName>
    <definedName name="dates2" localSheetId="59">#REF!</definedName>
    <definedName name="dates2" localSheetId="61">#REF!</definedName>
    <definedName name="dates2" localSheetId="60">#REF!</definedName>
    <definedName name="dates2" localSheetId="16">#REF!</definedName>
    <definedName name="dates2">#REF!</definedName>
    <definedName name="datesb" localSheetId="63">[33]B!$B$20:$B$134</definedName>
    <definedName name="datesb" localSheetId="51">[34]B!$B$20:$B$134</definedName>
    <definedName name="datesb">[35]B!$B$20:$B$134</definedName>
    <definedName name="datesc" localSheetId="63">#REF!</definedName>
    <definedName name="datesc" localSheetId="1">#REF!</definedName>
    <definedName name="datesc" localSheetId="57">#REF!</definedName>
    <definedName name="datesc" localSheetId="59">#REF!</definedName>
    <definedName name="datesc" localSheetId="61">#REF!</definedName>
    <definedName name="datesc" localSheetId="60">#REF!</definedName>
    <definedName name="datesc" localSheetId="16">#REF!</definedName>
    <definedName name="datesc">#REF!</definedName>
    <definedName name="datesd" localSheetId="63">#REF!</definedName>
    <definedName name="datesd" localSheetId="1">#REF!</definedName>
    <definedName name="datesd" localSheetId="57">#REF!</definedName>
    <definedName name="datesd" localSheetId="59">#REF!</definedName>
    <definedName name="datesd" localSheetId="61">#REF!</definedName>
    <definedName name="datesd" localSheetId="60">#REF!</definedName>
    <definedName name="datesd" localSheetId="16">#REF!</definedName>
    <definedName name="datesd">#REF!</definedName>
    <definedName name="DATESG" localSheetId="63">#REF!</definedName>
    <definedName name="DATESG" localSheetId="1">#REF!</definedName>
    <definedName name="DATESG" localSheetId="51">#REF!</definedName>
    <definedName name="DATESG" localSheetId="57">#REF!</definedName>
    <definedName name="DATESG" localSheetId="59">#REF!</definedName>
    <definedName name="DATESG" localSheetId="61">#REF!</definedName>
    <definedName name="DATESG" localSheetId="60">#REF!</definedName>
    <definedName name="DATESG" localSheetId="16">#REF!</definedName>
    <definedName name="DATESG">#REF!</definedName>
    <definedName name="datesm" localSheetId="63">#REF!</definedName>
    <definedName name="datesm" localSheetId="1">#REF!</definedName>
    <definedName name="datesm" localSheetId="57">#REF!</definedName>
    <definedName name="datesm" localSheetId="59">#REF!</definedName>
    <definedName name="datesm" localSheetId="61">#REF!</definedName>
    <definedName name="datesm" localSheetId="60">#REF!</definedName>
    <definedName name="datesm" localSheetId="16">#REF!</definedName>
    <definedName name="datesm">#REF!</definedName>
    <definedName name="datesq" localSheetId="63">#REF!</definedName>
    <definedName name="datesq" localSheetId="1">#REF!</definedName>
    <definedName name="datesq" localSheetId="51">#REF!</definedName>
    <definedName name="datesq" localSheetId="57">#REF!</definedName>
    <definedName name="datesq" localSheetId="59">#REF!</definedName>
    <definedName name="datesq" localSheetId="61">#REF!</definedName>
    <definedName name="datesq" localSheetId="60">#REF!</definedName>
    <definedName name="datesq" localSheetId="16">#REF!</definedName>
    <definedName name="datesq">#REF!</definedName>
    <definedName name="datesr" localSheetId="63">#REF!</definedName>
    <definedName name="datesr" localSheetId="1">#REF!</definedName>
    <definedName name="datesr" localSheetId="57">#REF!</definedName>
    <definedName name="datesr" localSheetId="59">#REF!</definedName>
    <definedName name="datesr" localSheetId="61">#REF!</definedName>
    <definedName name="datesr" localSheetId="60">#REF!</definedName>
    <definedName name="datesr" localSheetId="16">#REF!</definedName>
    <definedName name="datesr">#REF!</definedName>
    <definedName name="datestran" localSheetId="63">[33]transfer!$A$9:$A$116</definedName>
    <definedName name="datestran" localSheetId="51">[34]transfer!$A$9:$A$116</definedName>
    <definedName name="datestran">[35]transfer!$A$9:$A$116</definedName>
    <definedName name="datgdp" localSheetId="63">#REF!</definedName>
    <definedName name="datgdp" localSheetId="1">#REF!</definedName>
    <definedName name="datgdp" localSheetId="57">#REF!</definedName>
    <definedName name="datgdp" localSheetId="59">#REF!</definedName>
    <definedName name="datgdp" localSheetId="61">#REF!</definedName>
    <definedName name="datgdp" localSheetId="60">#REF!</definedName>
    <definedName name="datgdp" localSheetId="16">#REF!</definedName>
    <definedName name="datgdp">#REF!</definedName>
    <definedName name="datin1" localSheetId="63">[5]REER!$B$9:$B$119</definedName>
    <definedName name="datin1" localSheetId="51">[6]REER!$B$9:$B$119</definedName>
    <definedName name="datin1">[24]REER!$B$9:$B$119</definedName>
    <definedName name="datin2" localSheetId="63">[5]REER!$B$144:$B$253</definedName>
    <definedName name="datin2" localSheetId="51">[6]REER!$B$144:$B$253</definedName>
    <definedName name="datin2">[24]REER!$B$144:$B$253</definedName>
    <definedName name="datq" localSheetId="63">#REF!</definedName>
    <definedName name="datq" localSheetId="1">#REF!</definedName>
    <definedName name="datq" localSheetId="57">#REF!</definedName>
    <definedName name="datq" localSheetId="59">#REF!</definedName>
    <definedName name="datq" localSheetId="61">#REF!</definedName>
    <definedName name="datq" localSheetId="60">#REF!</definedName>
    <definedName name="datq" localSheetId="16">#REF!</definedName>
    <definedName name="datq">#REF!</definedName>
    <definedName name="datq1" localSheetId="63">#REF!</definedName>
    <definedName name="datq1" localSheetId="1">#REF!</definedName>
    <definedName name="datq1" localSheetId="57">#REF!</definedName>
    <definedName name="datq1" localSheetId="59">#REF!</definedName>
    <definedName name="datq1" localSheetId="61">#REF!</definedName>
    <definedName name="datq1" localSheetId="60">#REF!</definedName>
    <definedName name="datq1" localSheetId="16">#REF!</definedName>
    <definedName name="datq1">#REF!</definedName>
    <definedName name="datq2" localSheetId="63">#REF!</definedName>
    <definedName name="datq2" localSheetId="1">#REF!</definedName>
    <definedName name="datq2" localSheetId="57">#REF!</definedName>
    <definedName name="datq2" localSheetId="59">#REF!</definedName>
    <definedName name="datq2" localSheetId="61">#REF!</definedName>
    <definedName name="datq2" localSheetId="60">#REF!</definedName>
    <definedName name="datq2" localSheetId="16">#REF!</definedName>
    <definedName name="datq2">#REF!</definedName>
    <definedName name="datreer" localSheetId="63">[5]REER!$B$144:$B$258</definedName>
    <definedName name="datreer" localSheetId="51">[6]REER!$B$144:$B$258</definedName>
    <definedName name="datreer">[24]REER!$B$144:$B$258</definedName>
    <definedName name="datt" localSheetId="63">#REF!</definedName>
    <definedName name="datt" localSheetId="1">#REF!</definedName>
    <definedName name="datt" localSheetId="57">#REF!</definedName>
    <definedName name="datt" localSheetId="59">#REF!</definedName>
    <definedName name="datt" localSheetId="61">#REF!</definedName>
    <definedName name="datt" localSheetId="60">#REF!</definedName>
    <definedName name="datt" localSheetId="16">#REF!</definedName>
    <definedName name="datt">#REF!</definedName>
    <definedName name="DBproj">#N/A</definedName>
    <definedName name="dd" localSheetId="63" hidden="1">{"Riqfin97",#N/A,FALSE,"Tran";"Riqfinpro",#N/A,FALSE,"Tran"}</definedName>
    <definedName name="dd" localSheetId="41" hidden="1">{"Riqfin97",#N/A,FALSE,"Tran";"Riqfinpro",#N/A,FALSE,"Tran"}</definedName>
    <definedName name="dd" localSheetId="50" hidden="1">{"Riqfin97",#N/A,FALSE,"Tran";"Riqfinpro",#N/A,FALSE,"Tran"}</definedName>
    <definedName name="dd" localSheetId="51" hidden="1">{"Riqfin97",#N/A,FALSE,"Tran";"Riqfinpro",#N/A,FALSE,"Tran"}</definedName>
    <definedName name="dd" hidden="1">{"Riqfin97",#N/A,FALSE,"Tran";"Riqfinpro",#N/A,FALSE,"Tran"}</definedName>
    <definedName name="dd_balance" localSheetId="41">[43]!dd_balance1[saldo]</definedName>
    <definedName name="dd_balance">[44]!dd_balance1[saldo]</definedName>
    <definedName name="dd_cyklus" localSheetId="41">[45]!dd_cyclus[cyklus]</definedName>
    <definedName name="dd_cyklus">[46]!dd_cyclus[cyklus]</definedName>
    <definedName name="dd_oneoff" localSheetId="41">[45]hidden!$B$2:$B$3</definedName>
    <definedName name="dd_oneoff">[46]hidden!$B$2:$B$3</definedName>
    <definedName name="ddd" localSheetId="63" hidden="1">{"Riqfin97",#N/A,FALSE,"Tran";"Riqfinpro",#N/A,FALSE,"Tran"}</definedName>
    <definedName name="ddd" localSheetId="41" hidden="1">{"Riqfin97",#N/A,FALSE,"Tran";"Riqfinpro",#N/A,FALSE,"Tran"}</definedName>
    <definedName name="ddd" localSheetId="50" hidden="1">{"Riqfin97",#N/A,FALSE,"Tran";"Riqfinpro",#N/A,FALSE,"Tran"}</definedName>
    <definedName name="ddd" localSheetId="51" hidden="1">{"Riqfin97",#N/A,FALSE,"Tran";"Riqfinpro",#N/A,FALSE,"Tran"}</definedName>
    <definedName name="ddd" hidden="1">{"Riqfin97",#N/A,FALSE,"Tran";"Riqfinpro",#N/A,FALSE,"Tran"}</definedName>
    <definedName name="debt" localSheetId="63">#REF!</definedName>
    <definedName name="debt" localSheetId="1">#REF!</definedName>
    <definedName name="debt" localSheetId="57">#REF!</definedName>
    <definedName name="debt" localSheetId="59">#REF!</definedName>
    <definedName name="debt" localSheetId="61">#REF!</definedName>
    <definedName name="debt" localSheetId="60">#REF!</definedName>
    <definedName name="debt" localSheetId="16">#REF!</definedName>
    <definedName name="debt">#REF!</definedName>
    <definedName name="DEBT1" localSheetId="63">#REF!</definedName>
    <definedName name="DEBT1" localSheetId="1">#REF!</definedName>
    <definedName name="DEBT1" localSheetId="57">#REF!</definedName>
    <definedName name="DEBT1" localSheetId="59">#REF!</definedName>
    <definedName name="DEBT1" localSheetId="61">#REF!</definedName>
    <definedName name="DEBT1" localSheetId="60">#REF!</definedName>
    <definedName name="DEBT1" localSheetId="16">#REF!</definedName>
    <definedName name="DEBT1">#REF!</definedName>
    <definedName name="DEBT10" localSheetId="63">#REF!</definedName>
    <definedName name="DEBT10" localSheetId="1">#REF!</definedName>
    <definedName name="DEBT10" localSheetId="57">#REF!</definedName>
    <definedName name="DEBT10" localSheetId="59">#REF!</definedName>
    <definedName name="DEBT10" localSheetId="61">#REF!</definedName>
    <definedName name="DEBT10" localSheetId="60">#REF!</definedName>
    <definedName name="DEBT10" localSheetId="16">#REF!</definedName>
    <definedName name="DEBT10">#REF!</definedName>
    <definedName name="DEBT11" localSheetId="63">#REF!</definedName>
    <definedName name="DEBT11" localSheetId="1">#REF!</definedName>
    <definedName name="DEBT11" localSheetId="57">#REF!</definedName>
    <definedName name="DEBT11" localSheetId="59">#REF!</definedName>
    <definedName name="DEBT11" localSheetId="61">#REF!</definedName>
    <definedName name="DEBT11" localSheetId="60">#REF!</definedName>
    <definedName name="DEBT11" localSheetId="16">#REF!</definedName>
    <definedName name="DEBT11">#REF!</definedName>
    <definedName name="DEBT12" localSheetId="63">#REF!</definedName>
    <definedName name="DEBT12" localSheetId="1">#REF!</definedName>
    <definedName name="DEBT12" localSheetId="57">#REF!</definedName>
    <definedName name="DEBT12" localSheetId="59">#REF!</definedName>
    <definedName name="DEBT12" localSheetId="61">#REF!</definedName>
    <definedName name="DEBT12" localSheetId="60">#REF!</definedName>
    <definedName name="DEBT12" localSheetId="16">#REF!</definedName>
    <definedName name="DEBT12">#REF!</definedName>
    <definedName name="DEBT13" localSheetId="63">#REF!</definedName>
    <definedName name="DEBT13" localSheetId="1">#REF!</definedName>
    <definedName name="DEBT13" localSheetId="57">#REF!</definedName>
    <definedName name="DEBT13" localSheetId="59">#REF!</definedName>
    <definedName name="DEBT13" localSheetId="61">#REF!</definedName>
    <definedName name="DEBT13" localSheetId="60">#REF!</definedName>
    <definedName name="DEBT13" localSheetId="16">#REF!</definedName>
    <definedName name="DEBT13">#REF!</definedName>
    <definedName name="DEBT14" localSheetId="63">#REF!</definedName>
    <definedName name="DEBT14" localSheetId="1">#REF!</definedName>
    <definedName name="DEBT14" localSheetId="57">#REF!</definedName>
    <definedName name="DEBT14" localSheetId="59">#REF!</definedName>
    <definedName name="DEBT14" localSheetId="61">#REF!</definedName>
    <definedName name="DEBT14" localSheetId="60">#REF!</definedName>
    <definedName name="DEBT14" localSheetId="16">#REF!</definedName>
    <definedName name="DEBT14">#REF!</definedName>
    <definedName name="DEBT15" localSheetId="63">#REF!</definedName>
    <definedName name="DEBT15" localSheetId="1">#REF!</definedName>
    <definedName name="DEBT15" localSheetId="57">#REF!</definedName>
    <definedName name="DEBT15" localSheetId="59">#REF!</definedName>
    <definedName name="DEBT15" localSheetId="61">#REF!</definedName>
    <definedName name="DEBT15" localSheetId="60">#REF!</definedName>
    <definedName name="DEBT15" localSheetId="16">#REF!</definedName>
    <definedName name="DEBT15">#REF!</definedName>
    <definedName name="DEBT16" localSheetId="63">#REF!</definedName>
    <definedName name="DEBT16" localSheetId="1">#REF!</definedName>
    <definedName name="DEBT16" localSheetId="57">#REF!</definedName>
    <definedName name="DEBT16" localSheetId="59">#REF!</definedName>
    <definedName name="DEBT16" localSheetId="61">#REF!</definedName>
    <definedName name="DEBT16" localSheetId="60">#REF!</definedName>
    <definedName name="DEBT16" localSheetId="16">#REF!</definedName>
    <definedName name="DEBT16">#REF!</definedName>
    <definedName name="DEBT1B" localSheetId="63">#REF!</definedName>
    <definedName name="DEBT1B" localSheetId="1">#REF!</definedName>
    <definedName name="DEBT1B" localSheetId="57">#REF!</definedName>
    <definedName name="DEBT1B" localSheetId="59">#REF!</definedName>
    <definedName name="DEBT1B" localSheetId="61">#REF!</definedName>
    <definedName name="DEBT1B" localSheetId="60">#REF!</definedName>
    <definedName name="DEBT1B" localSheetId="16">#REF!</definedName>
    <definedName name="DEBT1B">#REF!</definedName>
    <definedName name="DEBT2" localSheetId="63">#REF!</definedName>
    <definedName name="DEBT2" localSheetId="1">#REF!</definedName>
    <definedName name="DEBT2" localSheetId="57">#REF!</definedName>
    <definedName name="DEBT2" localSheetId="59">#REF!</definedName>
    <definedName name="DEBT2" localSheetId="61">#REF!</definedName>
    <definedName name="DEBT2" localSheetId="60">#REF!</definedName>
    <definedName name="DEBT2" localSheetId="16">#REF!</definedName>
    <definedName name="DEBT2">#REF!</definedName>
    <definedName name="DEBT2B" localSheetId="63">#REF!</definedName>
    <definedName name="DEBT2B" localSheetId="1">#REF!</definedName>
    <definedName name="DEBT2B" localSheetId="57">#REF!</definedName>
    <definedName name="DEBT2B" localSheetId="59">#REF!</definedName>
    <definedName name="DEBT2B" localSheetId="61">#REF!</definedName>
    <definedName name="DEBT2B" localSheetId="60">#REF!</definedName>
    <definedName name="DEBT2B" localSheetId="16">#REF!</definedName>
    <definedName name="DEBT2B">#REF!</definedName>
    <definedName name="DEBT3" localSheetId="63">#REF!</definedName>
    <definedName name="DEBT3" localSheetId="1">#REF!</definedName>
    <definedName name="DEBT3" localSheetId="57">#REF!</definedName>
    <definedName name="DEBT3" localSheetId="59">#REF!</definedName>
    <definedName name="DEBT3" localSheetId="61">#REF!</definedName>
    <definedName name="DEBT3" localSheetId="60">#REF!</definedName>
    <definedName name="DEBT3" localSheetId="16">#REF!</definedName>
    <definedName name="DEBT3">#REF!</definedName>
    <definedName name="DEBT4" localSheetId="63">#REF!</definedName>
    <definedName name="DEBT4" localSheetId="1">#REF!</definedName>
    <definedName name="DEBT4" localSheetId="57">#REF!</definedName>
    <definedName name="DEBT4" localSheetId="59">#REF!</definedName>
    <definedName name="DEBT4" localSheetId="61">#REF!</definedName>
    <definedName name="DEBT4" localSheetId="60">#REF!</definedName>
    <definedName name="DEBT4" localSheetId="16">#REF!</definedName>
    <definedName name="DEBT4">#REF!</definedName>
    <definedName name="DEBT5" localSheetId="63">#REF!</definedName>
    <definedName name="DEBT5" localSheetId="1">#REF!</definedName>
    <definedName name="DEBT5" localSheetId="57">#REF!</definedName>
    <definedName name="DEBT5" localSheetId="59">#REF!</definedName>
    <definedName name="DEBT5" localSheetId="61">#REF!</definedName>
    <definedName name="DEBT5" localSheetId="60">#REF!</definedName>
    <definedName name="DEBT5" localSheetId="16">#REF!</definedName>
    <definedName name="DEBT5">#REF!</definedName>
    <definedName name="DEBT6" localSheetId="63">#REF!</definedName>
    <definedName name="DEBT6" localSheetId="1">#REF!</definedName>
    <definedName name="DEBT6" localSheetId="57">#REF!</definedName>
    <definedName name="DEBT6" localSheetId="59">#REF!</definedName>
    <definedName name="DEBT6" localSheetId="61">#REF!</definedName>
    <definedName name="DEBT6" localSheetId="60">#REF!</definedName>
    <definedName name="DEBT6" localSheetId="16">#REF!</definedName>
    <definedName name="DEBT6">#REF!</definedName>
    <definedName name="DEBT7" localSheetId="63">#REF!</definedName>
    <definedName name="DEBT7" localSheetId="1">#REF!</definedName>
    <definedName name="DEBT7" localSheetId="57">#REF!</definedName>
    <definedName name="DEBT7" localSheetId="59">#REF!</definedName>
    <definedName name="DEBT7" localSheetId="61">#REF!</definedName>
    <definedName name="DEBT7" localSheetId="60">#REF!</definedName>
    <definedName name="DEBT7" localSheetId="16">#REF!</definedName>
    <definedName name="DEBT7">#REF!</definedName>
    <definedName name="DEBT8" localSheetId="63">#REF!</definedName>
    <definedName name="DEBT8" localSheetId="1">#REF!</definedName>
    <definedName name="DEBT8" localSheetId="57">#REF!</definedName>
    <definedName name="DEBT8" localSheetId="59">#REF!</definedName>
    <definedName name="DEBT8" localSheetId="61">#REF!</definedName>
    <definedName name="DEBT8" localSheetId="60">#REF!</definedName>
    <definedName name="DEBT8" localSheetId="16">#REF!</definedName>
    <definedName name="DEBT8">#REF!</definedName>
    <definedName name="DEBT9" localSheetId="63">#REF!</definedName>
    <definedName name="DEBT9" localSheetId="1">#REF!</definedName>
    <definedName name="DEBT9" localSheetId="57">#REF!</definedName>
    <definedName name="DEBT9" localSheetId="59">#REF!</definedName>
    <definedName name="DEBT9" localSheetId="61">#REF!</definedName>
    <definedName name="DEBT9" localSheetId="60">#REF!</definedName>
    <definedName name="DEBT9" localSheetId="16">#REF!</definedName>
    <definedName name="DEBT9">#REF!</definedName>
    <definedName name="debtproj" localSheetId="63">#REF!</definedName>
    <definedName name="debtproj" localSheetId="1">#REF!</definedName>
    <definedName name="debtproj" localSheetId="57">#REF!</definedName>
    <definedName name="debtproj" localSheetId="59">#REF!</definedName>
    <definedName name="debtproj" localSheetId="61">#REF!</definedName>
    <definedName name="debtproj" localSheetId="60">#REF!</definedName>
    <definedName name="debtproj" localSheetId="16">#REF!</definedName>
    <definedName name="debtproj">#REF!</definedName>
    <definedName name="DEFLATORS" localSheetId="63">#REF!</definedName>
    <definedName name="DEFLATORS" localSheetId="1">#REF!</definedName>
    <definedName name="DEFLATORS" localSheetId="57">#REF!</definedName>
    <definedName name="DEFLATORS" localSheetId="59">#REF!</definedName>
    <definedName name="DEFLATORS" localSheetId="61">#REF!</definedName>
    <definedName name="DEFLATORS" localSheetId="60">#REF!</definedName>
    <definedName name="DEFLATORS" localSheetId="16">#REF!</definedName>
    <definedName name="DEFLATORS">#REF!</definedName>
    <definedName name="degresivita" localSheetId="63">[32]Graf14_Graf15!#REF!</definedName>
    <definedName name="degresivita" localSheetId="57">[32]Graf14_Graf15!#REF!</definedName>
    <definedName name="degresivita" localSheetId="59">[32]Graf14_Graf15!#REF!</definedName>
    <definedName name="degresivita" localSheetId="61">[32]Graf14_Graf15!#REF!</definedName>
    <definedName name="degresivita" localSheetId="60">[32]Graf14_Graf15!#REF!</definedName>
    <definedName name="degresivita" localSheetId="16">[32]Graf14_Graf15!#REF!</definedName>
    <definedName name="degresivita">[32]Graf14_Graf15!#REF!</definedName>
    <definedName name="degresivita_2" localSheetId="63">[32]Graf14_Graf15!#REF!</definedName>
    <definedName name="degresivita_2" localSheetId="57">[32]Graf14_Graf15!#REF!</definedName>
    <definedName name="degresivita_2" localSheetId="59">[32]Graf14_Graf15!#REF!</definedName>
    <definedName name="degresivita_2" localSheetId="61">[32]Graf14_Graf15!#REF!</definedName>
    <definedName name="degresivita_2" localSheetId="60">[32]Graf14_Graf15!#REF!</definedName>
    <definedName name="degresivita_2" localSheetId="16">[32]Graf14_Graf15!#REF!</definedName>
    <definedName name="degresivita_2">[32]Graf14_Graf15!#REF!</definedName>
    <definedName name="deleteme1" localSheetId="63" hidden="1">#REF!</definedName>
    <definedName name="deleteme1" localSheetId="57" hidden="1">#REF!</definedName>
    <definedName name="deleteme1" localSheetId="59" hidden="1">#REF!</definedName>
    <definedName name="deleteme1" localSheetId="61" hidden="1">#REF!</definedName>
    <definedName name="deleteme1" localSheetId="60" hidden="1">#REF!</definedName>
    <definedName name="deleteme1" localSheetId="16" hidden="1">#REF!</definedName>
    <definedName name="deleteme1" hidden="1">#REF!</definedName>
    <definedName name="deleteme3" localSheetId="63" hidden="1">#REF!</definedName>
    <definedName name="deleteme3" localSheetId="57" hidden="1">#REF!</definedName>
    <definedName name="deleteme3" localSheetId="59" hidden="1">#REF!</definedName>
    <definedName name="deleteme3" localSheetId="61" hidden="1">#REF!</definedName>
    <definedName name="deleteme3" localSheetId="60" hidden="1">#REF!</definedName>
    <definedName name="deleteme3" localSheetId="16" hidden="1">#REF!</definedName>
    <definedName name="deleteme3" hidden="1">#REF!</definedName>
    <definedName name="Department" localSheetId="63">[47]REER!#REF!</definedName>
    <definedName name="Department" localSheetId="1">[48]REER!#REF!</definedName>
    <definedName name="Department" localSheetId="51">[49]REER!#REF!</definedName>
    <definedName name="Department" localSheetId="57">[48]REER!#REF!</definedName>
    <definedName name="Department" localSheetId="59">[48]REER!#REF!</definedName>
    <definedName name="Department" localSheetId="61">[48]REER!#REF!</definedName>
    <definedName name="Department" localSheetId="60">[48]REER!#REF!</definedName>
    <definedName name="Department" localSheetId="16">[48]REER!#REF!</definedName>
    <definedName name="Department">[48]REER!#REF!</definedName>
    <definedName name="DGproj">#N/A</definedName>
    <definedName name="DLX1.USE" localSheetId="63">[50]Haver!$A$2:$N$8</definedName>
    <definedName name="DLX1.USE" localSheetId="51">[51]Haver!$A$2:$N$8</definedName>
    <definedName name="DLX1.USE">[52]Haver!$A$2:$N$8</definedName>
    <definedName name="DOC" localSheetId="63">#REF!</definedName>
    <definedName name="DOC" localSheetId="1">#REF!</definedName>
    <definedName name="DOC" localSheetId="57">#REF!</definedName>
    <definedName name="DOC" localSheetId="59">#REF!</definedName>
    <definedName name="DOC" localSheetId="61">#REF!</definedName>
    <definedName name="DOC" localSheetId="60">#REF!</definedName>
    <definedName name="DOC" localSheetId="16">#REF!</definedName>
    <definedName name="DOC">#REF!</definedName>
    <definedName name="dp" localSheetId="63">[53]DP!$A:$E</definedName>
    <definedName name="dp">[53]DP!$A$1:$E$65536</definedName>
    <definedName name="Dproj">#N/A</definedName>
    <definedName name="dre" localSheetId="1" hidden="1">[54]M!#REF!</definedName>
    <definedName name="dre" localSheetId="50" hidden="1">[54]M!#REF!</definedName>
    <definedName name="dre" localSheetId="51" hidden="1">[54]M!#REF!</definedName>
    <definedName name="dre" localSheetId="57" hidden="1">[54]M!#REF!</definedName>
    <definedName name="dre" localSheetId="59" hidden="1">[54]M!#REF!</definedName>
    <definedName name="dre" localSheetId="61" hidden="1">[54]M!#REF!</definedName>
    <definedName name="dre" localSheetId="60" hidden="1">[54]M!#REF!</definedName>
    <definedName name="dre" localSheetId="16" hidden="1">[54]M!#REF!</definedName>
    <definedName name="dre" hidden="1">[54]M!#REF!</definedName>
    <definedName name="DSD">#N/A</definedName>
    <definedName name="DSD_S">#N/A</definedName>
    <definedName name="DSDB">#N/A</definedName>
    <definedName name="DSDG">#N/A</definedName>
    <definedName name="dsfsdds" localSheetId="41" hidden="1">{"Riqfin97",#N/A,FALSE,"Tran";"Riqfinpro",#N/A,FALSE,"Tran"}</definedName>
    <definedName name="dsfsdds" hidden="1">{"Riqfin97",#N/A,FALSE,"Tran";"Riqfinpro",#N/A,FALSE,"Tran"}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12db" localSheetId="63">#REF!</definedName>
    <definedName name="e12db" localSheetId="1">#REF!</definedName>
    <definedName name="e12db" localSheetId="57">#REF!</definedName>
    <definedName name="e12db" localSheetId="59">#REF!</definedName>
    <definedName name="e12db" localSheetId="61">#REF!</definedName>
    <definedName name="e12db" localSheetId="60">#REF!</definedName>
    <definedName name="e12db" localSheetId="16">#REF!</definedName>
    <definedName name="e12db">#REF!</definedName>
    <definedName name="e9db">[55]e9!$A$1:$V$49</definedName>
    <definedName name="EDNA">#N/A</definedName>
    <definedName name="EDSSDESCRIPTOR" localSheetId="63">#REF!</definedName>
    <definedName name="EDSSDESCRIPTOR" localSheetId="1">#REF!</definedName>
    <definedName name="EDSSDESCRIPTOR" localSheetId="57">#REF!</definedName>
    <definedName name="EDSSDESCRIPTOR" localSheetId="59">#REF!</definedName>
    <definedName name="EDSSDESCRIPTOR" localSheetId="61">#REF!</definedName>
    <definedName name="EDSSDESCRIPTOR" localSheetId="60">#REF!</definedName>
    <definedName name="EDSSDESCRIPTOR" localSheetId="16">#REF!</definedName>
    <definedName name="EDSSDESCRIPTOR">#REF!</definedName>
    <definedName name="EDSSFILE" localSheetId="63">#REF!</definedName>
    <definedName name="EDSSFILE" localSheetId="1">#REF!</definedName>
    <definedName name="EDSSFILE" localSheetId="57">#REF!</definedName>
    <definedName name="EDSSFILE" localSheetId="59">#REF!</definedName>
    <definedName name="EDSSFILE" localSheetId="61">#REF!</definedName>
    <definedName name="EDSSFILE" localSheetId="60">#REF!</definedName>
    <definedName name="EDSSFILE" localSheetId="16">#REF!</definedName>
    <definedName name="EDSSFILE">#REF!</definedName>
    <definedName name="EDSSNAME" localSheetId="63">#REF!</definedName>
    <definedName name="EDSSNAME" localSheetId="1">#REF!</definedName>
    <definedName name="EDSSNAME" localSheetId="57">#REF!</definedName>
    <definedName name="EDSSNAME" localSheetId="59">#REF!</definedName>
    <definedName name="EDSSNAME" localSheetId="61">#REF!</definedName>
    <definedName name="EDSSNAME" localSheetId="60">#REF!</definedName>
    <definedName name="EDSSNAME" localSheetId="16">#REF!</definedName>
    <definedName name="EDSSNAME">#REF!</definedName>
    <definedName name="EDSSTIME" localSheetId="63">#REF!</definedName>
    <definedName name="EDSSTIME" localSheetId="1">#REF!</definedName>
    <definedName name="EDSSTIME" localSheetId="57">#REF!</definedName>
    <definedName name="EDSSTIME" localSheetId="59">#REF!</definedName>
    <definedName name="EDSSTIME" localSheetId="61">#REF!</definedName>
    <definedName name="EDSSTIME" localSheetId="60">#REF!</definedName>
    <definedName name="EDSSTIME" localSheetId="16">#REF!</definedName>
    <definedName name="EDSSTIME">#REF!</definedName>
    <definedName name="ee" localSheetId="63" hidden="1">{"Tab1",#N/A,FALSE,"P";"Tab2",#N/A,FALSE,"P"}</definedName>
    <definedName name="ee" localSheetId="41" hidden="1">{"Tab1",#N/A,FALSE,"P";"Tab2",#N/A,FALSE,"P"}</definedName>
    <definedName name="ee" localSheetId="50" hidden="1">{"Tab1",#N/A,FALSE,"P";"Tab2",#N/A,FALSE,"P"}</definedName>
    <definedName name="ee" localSheetId="51" hidden="1">{"Tab1",#N/A,FALSE,"P";"Tab2",#N/A,FALSE,"P"}</definedName>
    <definedName name="ee" hidden="1">{"Tab1",#N/A,FALSE,"P";"Tab2",#N/A,FALSE,"P"}</definedName>
    <definedName name="EECB" localSheetId="63">#REF!</definedName>
    <definedName name="EECB" localSheetId="1">#REF!</definedName>
    <definedName name="EECB" localSheetId="57">#REF!</definedName>
    <definedName name="EECB" localSheetId="59">#REF!</definedName>
    <definedName name="EECB" localSheetId="61">#REF!</definedName>
    <definedName name="EECB" localSheetId="60">#REF!</definedName>
    <definedName name="EECB" localSheetId="16">#REF!</definedName>
    <definedName name="EECB">#REF!</definedName>
    <definedName name="eedx" localSheetId="41" hidden="1">{"Tab1",#N/A,FALSE,"P";"Tab2",#N/A,FALSE,"P"}</definedName>
    <definedName name="eedx" hidden="1">{"Tab1",#N/A,FALSE,"P";"Tab2",#N/A,FALSE,"P"}</definedName>
    <definedName name="eee" localSheetId="63" hidden="1">{"Tab1",#N/A,FALSE,"P";"Tab2",#N/A,FALSE,"P"}</definedName>
    <definedName name="eee" localSheetId="41" hidden="1">{"Tab1",#N/A,FALSE,"P";"Tab2",#N/A,FALSE,"P"}</definedName>
    <definedName name="eee" localSheetId="50" hidden="1">{"Tab1",#N/A,FALSE,"P";"Tab2",#N/A,FALSE,"P"}</definedName>
    <definedName name="eee" localSheetId="51" hidden="1">{"Tab1",#N/A,FALSE,"P";"Tab2",#N/A,FALSE,"P"}</definedName>
    <definedName name="eee" hidden="1">{"Tab1",#N/A,FALSE,"P";"Tab2",#N/A,FALSE,"P"}</definedName>
    <definedName name="EISCODE" localSheetId="63">#REF!</definedName>
    <definedName name="EISCODE" localSheetId="1">#REF!</definedName>
    <definedName name="EISCODE" localSheetId="57">#REF!</definedName>
    <definedName name="EISCODE" localSheetId="59">#REF!</definedName>
    <definedName name="EISCODE" localSheetId="61">#REF!</definedName>
    <definedName name="EISCODE" localSheetId="60">#REF!</definedName>
    <definedName name="EISCODE" localSheetId="16">#REF!</definedName>
    <definedName name="EISCODE">#REF!</definedName>
    <definedName name="elect" localSheetId="63">#REF!</definedName>
    <definedName name="elect" localSheetId="1">#REF!</definedName>
    <definedName name="elect" localSheetId="57">#REF!</definedName>
    <definedName name="elect" localSheetId="59">#REF!</definedName>
    <definedName name="elect" localSheetId="61">#REF!</definedName>
    <definedName name="elect" localSheetId="60">#REF!</definedName>
    <definedName name="elect" localSheetId="16">#REF!</definedName>
    <definedName name="elect">#REF!</definedName>
    <definedName name="Emerging_HTML_AREA" localSheetId="63">#REF!</definedName>
    <definedName name="Emerging_HTML_AREA" localSheetId="1">#REF!</definedName>
    <definedName name="Emerging_HTML_AREA" localSheetId="57">#REF!</definedName>
    <definedName name="Emerging_HTML_AREA" localSheetId="59">#REF!</definedName>
    <definedName name="Emerging_HTML_AREA" localSheetId="61">#REF!</definedName>
    <definedName name="Emerging_HTML_AREA" localSheetId="60">#REF!</definedName>
    <definedName name="Emerging_HTML_AREA" localSheetId="16">#REF!</definedName>
    <definedName name="Emerging_HTML_AREA">#REF!</definedName>
    <definedName name="EMETEL" localSheetId="63">#REF!</definedName>
    <definedName name="EMETEL" localSheetId="1">#REF!</definedName>
    <definedName name="EMETEL" localSheetId="57">#REF!</definedName>
    <definedName name="EMETEL" localSheetId="59">#REF!</definedName>
    <definedName name="EMETEL" localSheetId="61">#REF!</definedName>
    <definedName name="EMETEL" localSheetId="60">#REF!</definedName>
    <definedName name="EMETEL" localSheetId="16">#REF!</definedName>
    <definedName name="EMETEL">#REF!</definedName>
    <definedName name="ENDA">#N/A</definedName>
    <definedName name="equal_TLC" localSheetId="63">[32]Graf14_Graf15!#REF!</definedName>
    <definedName name="equal_TLC" localSheetId="57">[32]Graf14_Graf15!#REF!</definedName>
    <definedName name="equal_TLC" localSheetId="59">[32]Graf14_Graf15!#REF!</definedName>
    <definedName name="equal_TLC" localSheetId="61">[32]Graf14_Graf15!#REF!</definedName>
    <definedName name="equal_TLC" localSheetId="60">[32]Graf14_Graf15!#REF!</definedName>
    <definedName name="equal_TLC" localSheetId="16">[32]Graf14_Graf15!#REF!</definedName>
    <definedName name="equal_TLC">[32]Graf14_Graf15!#REF!</definedName>
    <definedName name="ExitWRS">[56]Main!$AB$25</definedName>
    <definedName name="fdfs" localSheetId="41" hidden="1">{"Riqfin97",#N/A,FALSE,"Tran";"Riqfinpro",#N/A,FALSE,"Tran"}</definedName>
    <definedName name="fdfs" localSheetId="50" hidden="1">{"Riqfin97",#N/A,FALSE,"Tran";"Riqfinpro",#N/A,FALSE,"Tran"}</definedName>
    <definedName name="fdfs" localSheetId="51" hidden="1">{"Riqfin97",#N/A,FALSE,"Tran";"Riqfinpro",#N/A,FALSE,"Tran"}</definedName>
    <definedName name="fdfs" hidden="1">{"Riqfin97",#N/A,FALSE,"Tran";"Riqfinpro",#N/A,FALSE,"Tran"}</definedName>
    <definedName name="ff" localSheetId="63" hidden="1">{"Tab1",#N/A,FALSE,"P";"Tab2",#N/A,FALSE,"P"}</definedName>
    <definedName name="ff" localSheetId="41" hidden="1">{"Tab1",#N/A,FALSE,"P";"Tab2",#N/A,FALSE,"P"}</definedName>
    <definedName name="ff" localSheetId="50" hidden="1">{"Tab1",#N/A,FALSE,"P";"Tab2",#N/A,FALSE,"P"}</definedName>
    <definedName name="ff" localSheetId="51" hidden="1">{"Tab1",#N/A,FALSE,"P";"Tab2",#N/A,FALSE,"P"}</definedName>
    <definedName name="ff" hidden="1">{"Tab1",#N/A,FALSE,"P";"Tab2",#N/A,FALSE,"P"}</definedName>
    <definedName name="fff" localSheetId="63" hidden="1">{"Tab1",#N/A,FALSE,"P";"Tab2",#N/A,FALSE,"P"}</definedName>
    <definedName name="fff" localSheetId="41" hidden="1">{"Tab1",#N/A,FALSE,"P";"Tab2",#N/A,FALSE,"P"}</definedName>
    <definedName name="fff" localSheetId="50" hidden="1">{"Tab1",#N/A,FALSE,"P";"Tab2",#N/A,FALSE,"P"}</definedName>
    <definedName name="fff" localSheetId="51" hidden="1">{"Tab1",#N/A,FALSE,"P";"Tab2",#N/A,FALSE,"P"}</definedName>
    <definedName name="fff" hidden="1">{"Tab1",#N/A,FALSE,"P";"Tab2",#N/A,FALSE,"P"}</definedName>
    <definedName name="Fig8.2a" localSheetId="63">#REF!</definedName>
    <definedName name="Fig8.2a" localSheetId="1">#REF!</definedName>
    <definedName name="Fig8.2a" localSheetId="51">#REF!</definedName>
    <definedName name="Fig8.2a" localSheetId="57">#REF!</definedName>
    <definedName name="Fig8.2a" localSheetId="59">#REF!</definedName>
    <definedName name="Fig8.2a" localSheetId="61">#REF!</definedName>
    <definedName name="Fig8.2a" localSheetId="60">#REF!</definedName>
    <definedName name="Fig8.2a" localSheetId="16">#REF!</definedName>
    <definedName name="Fig8.2a">#REF!</definedName>
    <definedName name="fill" hidden="1">'[57]Macroframework-Ver.1'!$A$1:$A$267</definedName>
    <definedName name="finan" localSheetId="63">#REF!</definedName>
    <definedName name="finan" localSheetId="1">#REF!</definedName>
    <definedName name="finan" localSheetId="57">#REF!</definedName>
    <definedName name="finan" localSheetId="59">#REF!</definedName>
    <definedName name="finan" localSheetId="61">#REF!</definedName>
    <definedName name="finan" localSheetId="60">#REF!</definedName>
    <definedName name="finan" localSheetId="16">#REF!</definedName>
    <definedName name="finan">#REF!</definedName>
    <definedName name="finan1" localSheetId="63">#REF!</definedName>
    <definedName name="finan1" localSheetId="1">#REF!</definedName>
    <definedName name="finan1" localSheetId="57">#REF!</definedName>
    <definedName name="finan1" localSheetId="59">#REF!</definedName>
    <definedName name="finan1" localSheetId="61">#REF!</definedName>
    <definedName name="finan1" localSheetId="60">#REF!</definedName>
    <definedName name="finan1" localSheetId="16">#REF!</definedName>
    <definedName name="finan1">#REF!</definedName>
    <definedName name="Financing" localSheetId="63" hidden="1">{"Tab1",#N/A,FALSE,"P";"Tab2",#N/A,FALSE,"P"}</definedName>
    <definedName name="Financing" localSheetId="41" hidden="1">{"Tab1",#N/A,FALSE,"P";"Tab2",#N/A,FALSE,"P"}</definedName>
    <definedName name="Financing" localSheetId="50" hidden="1">{"Tab1",#N/A,FALSE,"P";"Tab2",#N/A,FALSE,"P"}</definedName>
    <definedName name="Financing" localSheetId="51" hidden="1">{"Tab1",#N/A,FALSE,"P";"Tab2",#N/A,FALSE,"P"}</definedName>
    <definedName name="Financing" hidden="1">{"Tab1",#N/A,FALSE,"P";"Tab2",#N/A,FALSE,"P"}</definedName>
    <definedName name="FISUM" localSheetId="63">#REF!</definedName>
    <definedName name="FISUM" localSheetId="1">#REF!</definedName>
    <definedName name="FISUM" localSheetId="51">#REF!</definedName>
    <definedName name="FISUM" localSheetId="57">#REF!</definedName>
    <definedName name="FISUM" localSheetId="59">#REF!</definedName>
    <definedName name="FISUM" localSheetId="61">#REF!</definedName>
    <definedName name="FISUM" localSheetId="60">#REF!</definedName>
    <definedName name="FISUM" localSheetId="16">#REF!</definedName>
    <definedName name="FISUM">#REF!</definedName>
    <definedName name="FLOPEC" localSheetId="63">#REF!</definedName>
    <definedName name="FLOPEC" localSheetId="1">#REF!</definedName>
    <definedName name="FLOPEC" localSheetId="57">#REF!</definedName>
    <definedName name="FLOPEC" localSheetId="59">#REF!</definedName>
    <definedName name="FLOPEC" localSheetId="61">#REF!</definedName>
    <definedName name="FLOPEC" localSheetId="60">#REF!</definedName>
    <definedName name="FLOPEC" localSheetId="16">#REF!</definedName>
    <definedName name="FLOPEC">#REF!</definedName>
    <definedName name="FMB" localSheetId="63">#REF!</definedName>
    <definedName name="FMB" localSheetId="1">#REF!</definedName>
    <definedName name="FMB" localSheetId="51">#REF!</definedName>
    <definedName name="FMB" localSheetId="57">#REF!</definedName>
    <definedName name="FMB" localSheetId="59">#REF!</definedName>
    <definedName name="FMB" localSheetId="61">#REF!</definedName>
    <definedName name="FMB" localSheetId="60">#REF!</definedName>
    <definedName name="FMB" localSheetId="16">#REF!</definedName>
    <definedName name="FMB">#REF!</definedName>
    <definedName name="FODESEC" localSheetId="63">#REF!</definedName>
    <definedName name="FODESEC" localSheetId="1">#REF!</definedName>
    <definedName name="FODESEC" localSheetId="57">#REF!</definedName>
    <definedName name="FODESEC" localSheetId="59">#REF!</definedName>
    <definedName name="FODESEC" localSheetId="61">#REF!</definedName>
    <definedName name="FODESEC" localSheetId="60">#REF!</definedName>
    <definedName name="FODESEC" localSheetId="16">#REF!</definedName>
    <definedName name="FODESEC">#REF!</definedName>
    <definedName name="FOREXPORT" localSheetId="63">[5]H!$A$2:$F$86</definedName>
    <definedName name="FOREXPORT" localSheetId="51">[6]H!$A$2:$F$86</definedName>
    <definedName name="FOREXPORT">[24]H!$A$2:$F$86</definedName>
    <definedName name="fsd" localSheetId="1" hidden="1">#REF!</definedName>
    <definedName name="fsd" localSheetId="50" hidden="1">#REF!</definedName>
    <definedName name="fsd" localSheetId="51" hidden="1">#REF!</definedName>
    <definedName name="fsd" localSheetId="57" hidden="1">#REF!</definedName>
    <definedName name="fsd" localSheetId="59" hidden="1">#REF!</definedName>
    <definedName name="fsd" localSheetId="61" hidden="1">#REF!</definedName>
    <definedName name="fsd" localSheetId="60" hidden="1">#REF!</definedName>
    <definedName name="fsd" localSheetId="16" hidden="1">#REF!</definedName>
    <definedName name="fsd" hidden="1">#REF!</definedName>
    <definedName name="fsdfsdfasdfasdfasd" localSheetId="1" hidden="1">#REF!</definedName>
    <definedName name="fsdfsdfasdfasdfasd" localSheetId="50" hidden="1">#REF!</definedName>
    <definedName name="fsdfsdfasdfasdfasd" localSheetId="51" hidden="1">#REF!</definedName>
    <definedName name="fsdfsdfasdfasdfasd" localSheetId="57" hidden="1">#REF!</definedName>
    <definedName name="fsdfsdfasdfasdfasd" localSheetId="59" hidden="1">#REF!</definedName>
    <definedName name="fsdfsdfasdfasdfasd" localSheetId="61" hidden="1">#REF!</definedName>
    <definedName name="fsdfsdfasdfasdfasd" localSheetId="60" hidden="1">#REF!</definedName>
    <definedName name="fsdfsdfasdfasdfasd" localSheetId="16" hidden="1">#REF!</definedName>
    <definedName name="fsdfsdfasdfasdfasd" hidden="1">#REF!</definedName>
    <definedName name="FUNDOBL" localSheetId="63">#REF!</definedName>
    <definedName name="FUNDOBL" localSheetId="1">#REF!</definedName>
    <definedName name="FUNDOBL" localSheetId="51">#REF!</definedName>
    <definedName name="FUNDOBL" localSheetId="57">#REF!</definedName>
    <definedName name="FUNDOBL" localSheetId="59">#REF!</definedName>
    <definedName name="FUNDOBL" localSheetId="61">#REF!</definedName>
    <definedName name="FUNDOBL" localSheetId="60">#REF!</definedName>
    <definedName name="FUNDOBL" localSheetId="16">#REF!</definedName>
    <definedName name="FUNDOBL">#REF!</definedName>
    <definedName name="FUNDOBLB" localSheetId="63">#REF!</definedName>
    <definedName name="FUNDOBLB" localSheetId="1">#REF!</definedName>
    <definedName name="FUNDOBLB" localSheetId="57">#REF!</definedName>
    <definedName name="FUNDOBLB" localSheetId="59">#REF!</definedName>
    <definedName name="FUNDOBLB" localSheetId="61">#REF!</definedName>
    <definedName name="FUNDOBLB" localSheetId="60">#REF!</definedName>
    <definedName name="FUNDOBLB" localSheetId="16">#REF!</definedName>
    <definedName name="FUNDOBLB">#REF!</definedName>
    <definedName name="g" localSheetId="63">#REF!</definedName>
    <definedName name="g" localSheetId="1">#REF!</definedName>
    <definedName name="g" localSheetId="57">#REF!</definedName>
    <definedName name="g" localSheetId="59">#REF!</definedName>
    <definedName name="g" localSheetId="61">#REF!</definedName>
    <definedName name="g" localSheetId="60">#REF!</definedName>
    <definedName name="g" localSheetId="16">#REF!</definedName>
    <definedName name="g">#REF!</definedName>
    <definedName name="GCB" localSheetId="63">#REF!</definedName>
    <definedName name="GCB" localSheetId="1">#REF!</definedName>
    <definedName name="GCB" localSheetId="51">#REF!</definedName>
    <definedName name="GCB" localSheetId="57">#REF!</definedName>
    <definedName name="GCB" localSheetId="59">#REF!</definedName>
    <definedName name="GCB" localSheetId="61">#REF!</definedName>
    <definedName name="GCB" localSheetId="60">#REF!</definedName>
    <definedName name="GCB" localSheetId="16">#REF!</definedName>
    <definedName name="GCB">#REF!</definedName>
    <definedName name="GCB_NGDP">#N/A</definedName>
    <definedName name="GCEI" localSheetId="63">#REF!</definedName>
    <definedName name="GCEI" localSheetId="1">#REF!</definedName>
    <definedName name="GCEI" localSheetId="51">#REF!</definedName>
    <definedName name="GCEI" localSheetId="57">#REF!</definedName>
    <definedName name="GCEI" localSheetId="59">#REF!</definedName>
    <definedName name="GCEI" localSheetId="61">#REF!</definedName>
    <definedName name="GCEI" localSheetId="60">#REF!</definedName>
    <definedName name="GCEI" localSheetId="16">#REF!</definedName>
    <definedName name="GCEI">#REF!</definedName>
    <definedName name="GCENL" localSheetId="63">#REF!</definedName>
    <definedName name="GCENL" localSheetId="1">#REF!</definedName>
    <definedName name="GCENL" localSheetId="51">#REF!</definedName>
    <definedName name="GCENL" localSheetId="57">#REF!</definedName>
    <definedName name="GCENL" localSheetId="59">#REF!</definedName>
    <definedName name="GCENL" localSheetId="61">#REF!</definedName>
    <definedName name="GCENL" localSheetId="60">#REF!</definedName>
    <definedName name="GCENL" localSheetId="16">#REF!</definedName>
    <definedName name="GCENL">#REF!</definedName>
    <definedName name="GCND" localSheetId="63">#REF!</definedName>
    <definedName name="GCND" localSheetId="1">#REF!</definedName>
    <definedName name="GCND" localSheetId="51">#REF!</definedName>
    <definedName name="GCND" localSheetId="57">#REF!</definedName>
    <definedName name="GCND" localSheetId="59">#REF!</definedName>
    <definedName name="GCND" localSheetId="61">#REF!</definedName>
    <definedName name="GCND" localSheetId="60">#REF!</definedName>
    <definedName name="GCND" localSheetId="16">#REF!</definedName>
    <definedName name="GCND">#REF!</definedName>
    <definedName name="GCND_NGDP" localSheetId="63">#REF!</definedName>
    <definedName name="GCND_NGDP" localSheetId="1">#REF!</definedName>
    <definedName name="GCND_NGDP" localSheetId="51">#REF!</definedName>
    <definedName name="GCND_NGDP" localSheetId="57">#REF!</definedName>
    <definedName name="GCND_NGDP" localSheetId="59">#REF!</definedName>
    <definedName name="GCND_NGDP" localSheetId="61">#REF!</definedName>
    <definedName name="GCND_NGDP" localSheetId="60">#REF!</definedName>
    <definedName name="GCND_NGDP" localSheetId="16">#REF!</definedName>
    <definedName name="GCND_NGDP">#REF!</definedName>
    <definedName name="GCRG" localSheetId="63">#REF!</definedName>
    <definedName name="GCRG" localSheetId="1">#REF!</definedName>
    <definedName name="GCRG" localSheetId="51">#REF!</definedName>
    <definedName name="GCRG" localSheetId="57">#REF!</definedName>
    <definedName name="GCRG" localSheetId="59">#REF!</definedName>
    <definedName name="GCRG" localSheetId="61">#REF!</definedName>
    <definedName name="GCRG" localSheetId="60">#REF!</definedName>
    <definedName name="GCRG" localSheetId="16">#REF!</definedName>
    <definedName name="GCRG">#REF!</definedName>
    <definedName name="ggb" localSheetId="63">'[58]budget-G'!$A$1:$W$109</definedName>
    <definedName name="ggb" localSheetId="51">'[59]budget-G'!$A$1:$W$109</definedName>
    <definedName name="ggb">'[60]budget-G'!$A$1:$W$109</definedName>
    <definedName name="GGB_NGDP">#N/A</definedName>
    <definedName name="ggbeu" localSheetId="63">#REF!</definedName>
    <definedName name="ggbeu" localSheetId="1">#REF!</definedName>
    <definedName name="ggbeu" localSheetId="51">#REF!</definedName>
    <definedName name="ggbeu" localSheetId="57">#REF!</definedName>
    <definedName name="ggbeu" localSheetId="59">#REF!</definedName>
    <definedName name="ggbeu" localSheetId="61">#REF!</definedName>
    <definedName name="ggbeu" localSheetId="60">#REF!</definedName>
    <definedName name="ggbeu" localSheetId="16">#REF!</definedName>
    <definedName name="ggbeu">#REF!</definedName>
    <definedName name="ggblg" localSheetId="63">#REF!</definedName>
    <definedName name="ggblg" localSheetId="1">#REF!</definedName>
    <definedName name="ggblg" localSheetId="51">#REF!</definedName>
    <definedName name="ggblg" localSheetId="57">#REF!</definedName>
    <definedName name="ggblg" localSheetId="59">#REF!</definedName>
    <definedName name="ggblg" localSheetId="61">#REF!</definedName>
    <definedName name="ggblg" localSheetId="60">#REF!</definedName>
    <definedName name="ggblg" localSheetId="16">#REF!</definedName>
    <definedName name="ggblg">#REF!</definedName>
    <definedName name="ggbls" localSheetId="63">#REF!</definedName>
    <definedName name="ggbls" localSheetId="1">#REF!</definedName>
    <definedName name="ggbls" localSheetId="51">#REF!</definedName>
    <definedName name="ggbls" localSheetId="57">#REF!</definedName>
    <definedName name="ggbls" localSheetId="59">#REF!</definedName>
    <definedName name="ggbls" localSheetId="61">#REF!</definedName>
    <definedName name="ggbls" localSheetId="60">#REF!</definedName>
    <definedName name="ggbls" localSheetId="16">#REF!</definedName>
    <definedName name="ggbls">#REF!</definedName>
    <definedName name="ggbss" localSheetId="63">#REF!</definedName>
    <definedName name="ggbss" localSheetId="1">#REF!</definedName>
    <definedName name="ggbss" localSheetId="51">#REF!</definedName>
    <definedName name="ggbss" localSheetId="57">#REF!</definedName>
    <definedName name="ggbss" localSheetId="59">#REF!</definedName>
    <definedName name="ggbss" localSheetId="61">#REF!</definedName>
    <definedName name="ggbss" localSheetId="60">#REF!</definedName>
    <definedName name="ggbss" localSheetId="16">#REF!</definedName>
    <definedName name="ggbss">#REF!</definedName>
    <definedName name="gge" localSheetId="63">[58]Expenditures!$A$1:$AC$62</definedName>
    <definedName name="gge" localSheetId="51">[59]Expenditures!$A$1:$AC$62</definedName>
    <definedName name="gge">[60]Expenditures!$A$1:$AC$62</definedName>
    <definedName name="GGED" localSheetId="63">#REF!</definedName>
    <definedName name="GGED" localSheetId="1">#REF!</definedName>
    <definedName name="GGED" localSheetId="51">#REF!</definedName>
    <definedName name="GGED" localSheetId="57">#REF!</definedName>
    <definedName name="GGED" localSheetId="59">#REF!</definedName>
    <definedName name="GGED" localSheetId="61">#REF!</definedName>
    <definedName name="GGED" localSheetId="60">#REF!</definedName>
    <definedName name="GGED" localSheetId="16">#REF!</definedName>
    <definedName name="GGED">#REF!</definedName>
    <definedName name="GGEI" localSheetId="63">#REF!</definedName>
    <definedName name="GGEI" localSheetId="1">#REF!</definedName>
    <definedName name="GGEI" localSheetId="51">#REF!</definedName>
    <definedName name="GGEI" localSheetId="57">#REF!</definedName>
    <definedName name="GGEI" localSheetId="59">#REF!</definedName>
    <definedName name="GGEI" localSheetId="61">#REF!</definedName>
    <definedName name="GGEI" localSheetId="60">#REF!</definedName>
    <definedName name="GGEI" localSheetId="16">#REF!</definedName>
    <definedName name="GGEI">#REF!</definedName>
    <definedName name="GGENL" localSheetId="63">#REF!</definedName>
    <definedName name="GGENL" localSheetId="1">#REF!</definedName>
    <definedName name="GGENL" localSheetId="51">#REF!</definedName>
    <definedName name="GGENL" localSheetId="57">#REF!</definedName>
    <definedName name="GGENL" localSheetId="59">#REF!</definedName>
    <definedName name="GGENL" localSheetId="61">#REF!</definedName>
    <definedName name="GGENL" localSheetId="60">#REF!</definedName>
    <definedName name="GGENL" localSheetId="16">#REF!</definedName>
    <definedName name="GGENL">#REF!</definedName>
    <definedName name="ggg" localSheetId="63" hidden="1">{"Riqfin97",#N/A,FALSE,"Tran";"Riqfinpro",#N/A,FALSE,"Tran"}</definedName>
    <definedName name="ggg" localSheetId="41" hidden="1">{"Riqfin97",#N/A,FALSE,"Tran";"Riqfinpro",#N/A,FALSE,"Tran"}</definedName>
    <definedName name="ggg" localSheetId="50" hidden="1">{"Riqfin97",#N/A,FALSE,"Tran";"Riqfinpro",#N/A,FALSE,"Tran"}</definedName>
    <definedName name="ggg" localSheetId="51" hidden="1">{"Riqfin97",#N/A,FALSE,"Tran";"Riqfinpro",#N/A,FALSE,"Tran"}</definedName>
    <definedName name="ggg" hidden="1">{"Riqfin97",#N/A,FALSE,"Tran";"Riqfinpro",#N/A,FALSE,"Tran"}</definedName>
    <definedName name="ggggg" localSheetId="63" hidden="1">'[61]J(Priv.Cap)'!#REF!</definedName>
    <definedName name="ggggg" localSheetId="1" hidden="1">'[61]J(Priv.Cap)'!#REF!</definedName>
    <definedName name="ggggg" localSheetId="50" hidden="1">'[61]J(Priv.Cap)'!#REF!</definedName>
    <definedName name="ggggg" localSheetId="51" hidden="1">'[61]J(Priv.Cap)'!#REF!</definedName>
    <definedName name="ggggg" localSheetId="57" hidden="1">'[61]J(Priv.Cap)'!#REF!</definedName>
    <definedName name="ggggg" localSheetId="59" hidden="1">'[61]J(Priv.Cap)'!#REF!</definedName>
    <definedName name="ggggg" localSheetId="61" hidden="1">'[61]J(Priv.Cap)'!#REF!</definedName>
    <definedName name="ggggg" localSheetId="60" hidden="1">'[61]J(Priv.Cap)'!#REF!</definedName>
    <definedName name="ggggg" localSheetId="16" hidden="1">'[61]J(Priv.Cap)'!#REF!</definedName>
    <definedName name="ggggg" hidden="1">'[61]J(Priv.Cap)'!#REF!</definedName>
    <definedName name="ggggggg" localSheetId="63">#N/A</definedName>
    <definedName name="ggggggg" localSheetId="51">'Graf 47'!ggggggg</definedName>
    <definedName name="ggggggg">[25]!ggggggg</definedName>
    <definedName name="GGND" localSheetId="63">#REF!</definedName>
    <definedName name="GGND" localSheetId="1">#REF!</definedName>
    <definedName name="GGND" localSheetId="51">#REF!</definedName>
    <definedName name="GGND" localSheetId="57">#REF!</definedName>
    <definedName name="GGND" localSheetId="59">#REF!</definedName>
    <definedName name="GGND" localSheetId="61">#REF!</definedName>
    <definedName name="GGND" localSheetId="60">#REF!</definedName>
    <definedName name="GGND" localSheetId="16">#REF!</definedName>
    <definedName name="GGND">#REF!</definedName>
    <definedName name="ggr" localSheetId="63">[58]Revenues!$A$1:$AD$58</definedName>
    <definedName name="ggr" localSheetId="51">[59]Revenues!$A$1:$AD$58</definedName>
    <definedName name="ggr">[60]Revenues!$A$1:$AD$58</definedName>
    <definedName name="GGRG" localSheetId="63">#REF!</definedName>
    <definedName name="GGRG" localSheetId="1">#REF!</definedName>
    <definedName name="GGRG" localSheetId="51">#REF!</definedName>
    <definedName name="GGRG" localSheetId="57">#REF!</definedName>
    <definedName name="GGRG" localSheetId="59">#REF!</definedName>
    <definedName name="GGRG" localSheetId="61">#REF!</definedName>
    <definedName name="GGRG" localSheetId="60">#REF!</definedName>
    <definedName name="GGRG" localSheetId="16">#REF!</definedName>
    <definedName name="GGRG">#REF!</definedName>
    <definedName name="GPee_2" localSheetId="63">[32]Graf14_Graf15!#REF!</definedName>
    <definedName name="GPee_2" localSheetId="57">[32]Graf14_Graf15!#REF!</definedName>
    <definedName name="GPee_2" localSheetId="59">[32]Graf14_Graf15!#REF!</definedName>
    <definedName name="GPee_2" localSheetId="61">[32]Graf14_Graf15!#REF!</definedName>
    <definedName name="GPee_2" localSheetId="60">[32]Graf14_Graf15!#REF!</definedName>
    <definedName name="GPee_2" localSheetId="16">[32]Graf14_Graf15!#REF!</definedName>
    <definedName name="GPee_2">[32]Graf14_Graf15!#REF!</definedName>
    <definedName name="GPer_2" localSheetId="63">[32]Graf14_Graf15!#REF!</definedName>
    <definedName name="GPer_2" localSheetId="57">[32]Graf14_Graf15!#REF!</definedName>
    <definedName name="GPer_2" localSheetId="59">[32]Graf14_Graf15!#REF!</definedName>
    <definedName name="GPer_2" localSheetId="61">[32]Graf14_Graf15!#REF!</definedName>
    <definedName name="GPer_2" localSheetId="60">[32]Graf14_Graf15!#REF!</definedName>
    <definedName name="GPer_2" localSheetId="16">[32]Graf14_Graf15!#REF!</definedName>
    <definedName name="GPer_2">[32]Graf14_Graf15!#REF!</definedName>
    <definedName name="hgfd" localSheetId="41" hidden="1">{#N/A,#N/A,FALSE,"I";#N/A,#N/A,FALSE,"J";#N/A,#N/A,FALSE,"K";#N/A,#N/A,FALSE,"L";#N/A,#N/A,FALSE,"M";#N/A,#N/A,FALSE,"N";#N/A,#N/A,FALSE,"O"}</definedName>
    <definedName name="hgfd" hidden="1">{#N/A,#N/A,FALSE,"I";#N/A,#N/A,FALSE,"J";#N/A,#N/A,FALSE,"K";#N/A,#N/A,FALSE,"L";#N/A,#N/A,FALSE,"M";#N/A,#N/A,FALSE,"N";#N/A,#N/A,FALSE,"O"}</definedName>
    <definedName name="hhh" localSheetId="63" hidden="1">'[62]J(Priv.Cap)'!#REF!</definedName>
    <definedName name="hhh" localSheetId="1" hidden="1">'[62]J(Priv.Cap)'!#REF!</definedName>
    <definedName name="hhh" localSheetId="50" hidden="1">'[62]J(Priv.Cap)'!#REF!</definedName>
    <definedName name="hhh" localSheetId="51" hidden="1">'[62]J(Priv.Cap)'!#REF!</definedName>
    <definedName name="hhh" localSheetId="57" hidden="1">'[62]J(Priv.Cap)'!#REF!</definedName>
    <definedName name="hhh" localSheetId="59" hidden="1">'[62]J(Priv.Cap)'!#REF!</definedName>
    <definedName name="hhh" localSheetId="61" hidden="1">'[62]J(Priv.Cap)'!#REF!</definedName>
    <definedName name="hhh" localSheetId="60" hidden="1">'[62]J(Priv.Cap)'!#REF!</definedName>
    <definedName name="hhh" localSheetId="16" hidden="1">'[62]J(Priv.Cap)'!#REF!</definedName>
    <definedName name="hhh" hidden="1">'[62]J(Priv.Cap)'!#REF!</definedName>
    <definedName name="hhhhhhh" localSheetId="63">#N/A</definedName>
    <definedName name="hhhhhhh" localSheetId="51">'Graf 47'!hhhhhhh</definedName>
    <definedName name="hhhhhhh">[25]!hhhhhhh</definedName>
    <definedName name="HTML_CodePage" hidden="1">1252</definedName>
    <definedName name="HTML_Control" localSheetId="41" hidden="1">{"'Resources'!$A$1:$W$34","'Balance Sheet'!$A$1:$W$58","'SFD'!$A$1:$J$52"}</definedName>
    <definedName name="HTML_Control" hidden="1">{"'Resources'!$A$1:$W$34","'Balance Sheet'!$A$1:$W$58","'SFD'!$A$1:$J$52"}</definedName>
    <definedName name="HTML_Description" hidden="1">""</definedName>
    <definedName name="HTML_Email" hidden="1">""</definedName>
    <definedName name="HTML_Header" hidden="1">"Balance Sheet"</definedName>
    <definedName name="HTML_LastUpdate" hidden="1">"11/14/97"</definedName>
    <definedName name="HTML_LineAfter" hidden="1">FALSE</definedName>
    <definedName name="HTML_LineBefore" hidden="1">FALSE</definedName>
    <definedName name="HTML_Name" hidden="1">"Frank M. Meek"</definedName>
    <definedName name="HTML_OBDlg2" hidden="1">TRUE</definedName>
    <definedName name="HTML_OBDlg4" hidden="1">TRUE</definedName>
    <definedName name="HTML_OS" hidden="1">0</definedName>
    <definedName name="HTML_PathFile" hidden="1">"Q:\DATA\AR\98FYFS\SEPT97\ESAF\esafadmfsHL.htm"</definedName>
    <definedName name="HTML_Title" hidden="1">"ADMFS97HTMLlinks"</definedName>
    <definedName name="CHART" localSheetId="63">#REF!</definedName>
    <definedName name="CHART" localSheetId="1">#REF!</definedName>
    <definedName name="CHART" localSheetId="57">#REF!</definedName>
    <definedName name="CHART" localSheetId="59">#REF!</definedName>
    <definedName name="CHART" localSheetId="61">#REF!</definedName>
    <definedName name="CHART" localSheetId="60">#REF!</definedName>
    <definedName name="CHART" localSheetId="16">#REF!</definedName>
    <definedName name="CHART">#REF!</definedName>
    <definedName name="chart4" localSheetId="41" hidden="1">{#N/A,#N/A,FALSE,"CB";#N/A,#N/A,FALSE,"CMB";#N/A,#N/A,FALSE,"NBFI"}</definedName>
    <definedName name="chart4" hidden="1">{#N/A,#N/A,FALSE,"CB";#N/A,#N/A,FALSE,"CMB";#N/A,#N/A,FALSE,"NBFI"}</definedName>
    <definedName name="CHILE" localSheetId="63">#REF!</definedName>
    <definedName name="CHILE" localSheetId="1">#REF!</definedName>
    <definedName name="CHILE" localSheetId="57">#REF!</definedName>
    <definedName name="CHILE" localSheetId="59">#REF!</definedName>
    <definedName name="CHILE" localSheetId="61">#REF!</definedName>
    <definedName name="CHILE" localSheetId="60">#REF!</definedName>
    <definedName name="CHILE" localSheetId="16">#REF!</definedName>
    <definedName name="CHILE">#REF!</definedName>
    <definedName name="CHK" localSheetId="63">#REF!</definedName>
    <definedName name="CHK" localSheetId="1">#REF!</definedName>
    <definedName name="CHK" localSheetId="51">#REF!</definedName>
    <definedName name="CHK" localSheetId="57">#REF!</definedName>
    <definedName name="CHK" localSheetId="59">#REF!</definedName>
    <definedName name="CHK" localSheetId="61">#REF!</definedName>
    <definedName name="CHK" localSheetId="60">#REF!</definedName>
    <definedName name="CHK" localSheetId="16">#REF!</definedName>
    <definedName name="CHK">#REF!</definedName>
    <definedName name="i" localSheetId="63">#REF!</definedName>
    <definedName name="i" localSheetId="1">#REF!</definedName>
    <definedName name="i" localSheetId="57">#REF!</definedName>
    <definedName name="i" localSheetId="59">#REF!</definedName>
    <definedName name="i" localSheetId="61">#REF!</definedName>
    <definedName name="i" localSheetId="60">#REF!</definedName>
    <definedName name="i" localSheetId="16">#REF!</definedName>
    <definedName name="i">#REF!</definedName>
    <definedName name="IESS" localSheetId="63">#REF!</definedName>
    <definedName name="IESS" localSheetId="1">#REF!</definedName>
    <definedName name="IESS" localSheetId="57">#REF!</definedName>
    <definedName name="IESS" localSheetId="59">#REF!</definedName>
    <definedName name="IESS" localSheetId="61">#REF!</definedName>
    <definedName name="IESS" localSheetId="60">#REF!</definedName>
    <definedName name="IESS" localSheetId="16">#REF!</definedName>
    <definedName name="IESS">#REF!</definedName>
    <definedName name="ii" localSheetId="63" hidden="1">{"Tab1",#N/A,FALSE,"P";"Tab2",#N/A,FALSE,"P"}</definedName>
    <definedName name="ii" localSheetId="41" hidden="1">{"Tab1",#N/A,FALSE,"P";"Tab2",#N/A,FALSE,"P"}</definedName>
    <definedName name="ii" localSheetId="50" hidden="1">{"Tab1",#N/A,FALSE,"P";"Tab2",#N/A,FALSE,"P"}</definedName>
    <definedName name="ii" localSheetId="51" hidden="1">{"Tab1",#N/A,FALSE,"P";"Tab2",#N/A,FALSE,"P"}</definedName>
    <definedName name="ii" hidden="1">{"Tab1",#N/A,FALSE,"P";"Tab2",#N/A,FALSE,"P"}</definedName>
    <definedName name="II_pilier_2" localSheetId="63">[32]Graf14_Graf15!#REF!</definedName>
    <definedName name="II_pilier_2" localSheetId="57">[32]Graf14_Graf15!#REF!</definedName>
    <definedName name="II_pilier_2" localSheetId="59">[32]Graf14_Graf15!#REF!</definedName>
    <definedName name="II_pilier_2" localSheetId="61">[32]Graf14_Graf15!#REF!</definedName>
    <definedName name="II_pilier_2" localSheetId="60">[32]Graf14_Graf15!#REF!</definedName>
    <definedName name="II_pilier_2" localSheetId="16">[32]Graf14_Graf15!#REF!</definedName>
    <definedName name="II_pilier_2">[32]Graf14_Graf15!#REF!</definedName>
    <definedName name="II_pillar_figure" localSheetId="63">[32]Graf14_Graf15!#REF!</definedName>
    <definedName name="II_pillar_figure" localSheetId="57">[32]Graf14_Graf15!#REF!</definedName>
    <definedName name="II_pillar_figure" localSheetId="59">[32]Graf14_Graf15!#REF!</definedName>
    <definedName name="II_pillar_figure" localSheetId="61">[32]Graf14_Graf15!#REF!</definedName>
    <definedName name="II_pillar_figure" localSheetId="60">[32]Graf14_Graf15!#REF!</definedName>
    <definedName name="II_pillar_figure" localSheetId="16">[32]Graf14_Graf15!#REF!</definedName>
    <definedName name="II_pillar_figure">[32]Graf14_Graf15!#REF!</definedName>
    <definedName name="ima" localSheetId="63">#REF!</definedName>
    <definedName name="ima" localSheetId="1">#REF!</definedName>
    <definedName name="ima" localSheetId="57">#REF!</definedName>
    <definedName name="ima" localSheetId="59">#REF!</definedName>
    <definedName name="ima" localSheetId="61">#REF!</definedName>
    <definedName name="ima" localSheetId="60">#REF!</definedName>
    <definedName name="ima" localSheetId="16">#REF!</definedName>
    <definedName name="ima">#REF!</definedName>
    <definedName name="IN1_" localSheetId="63">#REF!</definedName>
    <definedName name="IN1_" localSheetId="1">#REF!</definedName>
    <definedName name="IN1_" localSheetId="57">#REF!</definedName>
    <definedName name="IN1_" localSheetId="59">#REF!</definedName>
    <definedName name="IN1_" localSheetId="61">#REF!</definedName>
    <definedName name="IN1_" localSheetId="60">#REF!</definedName>
    <definedName name="IN1_" localSheetId="16">#REF!</definedName>
    <definedName name="IN1_">#REF!</definedName>
    <definedName name="IN2_" localSheetId="63">#REF!</definedName>
    <definedName name="IN2_" localSheetId="1">#REF!</definedName>
    <definedName name="IN2_" localSheetId="57">#REF!</definedName>
    <definedName name="IN2_" localSheetId="59">#REF!</definedName>
    <definedName name="IN2_" localSheetId="61">#REF!</definedName>
    <definedName name="IN2_" localSheetId="60">#REF!</definedName>
    <definedName name="IN2_" localSheetId="16">#REF!</definedName>
    <definedName name="IN2_">#REF!</definedName>
    <definedName name="INB" localSheetId="63">[33]B!$K$6:$T$6</definedName>
    <definedName name="INB" localSheetId="51">[34]B!$K$6:$T$6</definedName>
    <definedName name="INB">[35]B!$K$6:$T$6</definedName>
    <definedName name="INC" localSheetId="63">[33]C!$H$6:$I$6</definedName>
    <definedName name="INC" localSheetId="51">[34]C!$H$6:$I$6</definedName>
    <definedName name="INC">[35]C!$H$6:$I$6</definedName>
    <definedName name="ind" localSheetId="63">#REF!</definedName>
    <definedName name="ind" localSheetId="1">#REF!</definedName>
    <definedName name="ind" localSheetId="57">#REF!</definedName>
    <definedName name="ind" localSheetId="59">#REF!</definedName>
    <definedName name="ind" localSheetId="61">#REF!</definedName>
    <definedName name="ind" localSheetId="60">#REF!</definedName>
    <definedName name="ind" localSheetId="16">#REF!</definedName>
    <definedName name="ind">#REF!</definedName>
    <definedName name="INECEL" localSheetId="63">#REF!</definedName>
    <definedName name="INECEL" localSheetId="1">#REF!</definedName>
    <definedName name="INECEL" localSheetId="57">#REF!</definedName>
    <definedName name="INECEL" localSheetId="59">#REF!</definedName>
    <definedName name="INECEL" localSheetId="61">#REF!</definedName>
    <definedName name="INECEL" localSheetId="60">#REF!</definedName>
    <definedName name="INECEL" localSheetId="16">#REF!</definedName>
    <definedName name="INECEL">#REF!</definedName>
    <definedName name="inflation" localSheetId="63" hidden="1">[63]TAB34!#REF!</definedName>
    <definedName name="inflation" localSheetId="1" hidden="1">[64]TAB34!#REF!</definedName>
    <definedName name="inflation" localSheetId="50" hidden="1">[64]TAB34!#REF!</definedName>
    <definedName name="inflation" localSheetId="51" hidden="1">[65]TAB34!#REF!</definedName>
    <definedName name="inflation" localSheetId="57" hidden="1">[64]TAB34!#REF!</definedName>
    <definedName name="inflation" localSheetId="59" hidden="1">[64]TAB34!#REF!</definedName>
    <definedName name="inflation" localSheetId="61" hidden="1">[64]TAB34!#REF!</definedName>
    <definedName name="inflation" localSheetId="60" hidden="1">[64]TAB34!#REF!</definedName>
    <definedName name="inflation" localSheetId="16" hidden="1">[64]TAB34!#REF!</definedName>
    <definedName name="inflation" hidden="1">[64]TAB34!#REF!</definedName>
    <definedName name="INPUT_2" localSheetId="63">[1]Input!#REF!</definedName>
    <definedName name="INPUT_2" localSheetId="1">[1]Input!#REF!</definedName>
    <definedName name="INPUT_2" localSheetId="51">[1]Input!#REF!</definedName>
    <definedName name="INPUT_2" localSheetId="57">[1]Input!#REF!</definedName>
    <definedName name="INPUT_2" localSheetId="59">[1]Input!#REF!</definedName>
    <definedName name="INPUT_2" localSheetId="61">[1]Input!#REF!</definedName>
    <definedName name="INPUT_2" localSheetId="60">[1]Input!#REF!</definedName>
    <definedName name="INPUT_2" localSheetId="16">[1]Input!#REF!</definedName>
    <definedName name="INPUT_2">[1]Input!#REF!</definedName>
    <definedName name="INPUT_4" localSheetId="63">[1]Input!#REF!</definedName>
    <definedName name="INPUT_4" localSheetId="1">[1]Input!#REF!</definedName>
    <definedName name="INPUT_4" localSheetId="51">[1]Input!#REF!</definedName>
    <definedName name="INPUT_4" localSheetId="57">[1]Input!#REF!</definedName>
    <definedName name="INPUT_4" localSheetId="59">[1]Input!#REF!</definedName>
    <definedName name="INPUT_4" localSheetId="61">[1]Input!#REF!</definedName>
    <definedName name="INPUT_4" localSheetId="60">[1]Input!#REF!</definedName>
    <definedName name="INPUT_4" localSheetId="16">[1]Input!#REF!</definedName>
    <definedName name="INPUT_4">[1]Input!#REF!</definedName>
    <definedName name="IPee_2" localSheetId="63">[32]Graf14_Graf15!#REF!</definedName>
    <definedName name="IPee_2" localSheetId="57">[32]Graf14_Graf15!#REF!</definedName>
    <definedName name="IPee_2" localSheetId="59">[32]Graf14_Graf15!#REF!</definedName>
    <definedName name="IPee_2" localSheetId="61">[32]Graf14_Graf15!#REF!</definedName>
    <definedName name="IPee_2" localSheetId="60">[32]Graf14_Graf15!#REF!</definedName>
    <definedName name="IPee_2" localSheetId="16">[32]Graf14_Graf15!#REF!</definedName>
    <definedName name="IPee_2">[32]Graf14_Graf15!#REF!</definedName>
    <definedName name="IPer_2" localSheetId="63">[32]Graf14_Graf15!#REF!</definedName>
    <definedName name="IPer_2" localSheetId="57">[32]Graf14_Graf15!#REF!</definedName>
    <definedName name="IPer_2" localSheetId="59">[32]Graf14_Graf15!#REF!</definedName>
    <definedName name="IPer_2" localSheetId="61">[32]Graf14_Graf15!#REF!</definedName>
    <definedName name="IPer_2" localSheetId="60">[32]Graf14_Graf15!#REF!</definedName>
    <definedName name="IPer_2" localSheetId="16">[32]Graf14_Graf15!#REF!</definedName>
    <definedName name="IPer_2">[32]Graf14_Graf15!#REF!</definedName>
    <definedName name="IT" localSheetId="63">[32]Graf14_Graf15!#REF!</definedName>
    <definedName name="IT" localSheetId="57">[32]Graf14_Graf15!#REF!</definedName>
    <definedName name="IT" localSheetId="59">[32]Graf14_Graf15!#REF!</definedName>
    <definedName name="IT" localSheetId="61">[32]Graf14_Graf15!#REF!</definedName>
    <definedName name="IT" localSheetId="60">[32]Graf14_Graf15!#REF!</definedName>
    <definedName name="IT" localSheetId="16">[32]Graf14_Graf15!#REF!</definedName>
    <definedName name="IT">[32]Graf14_Graf15!#REF!</definedName>
    <definedName name="IT_2" localSheetId="63">[32]Graf14_Graf15!#REF!</definedName>
    <definedName name="IT_2" localSheetId="57">[32]Graf14_Graf15!#REF!</definedName>
    <definedName name="IT_2" localSheetId="59">[32]Graf14_Graf15!#REF!</definedName>
    <definedName name="IT_2" localSheetId="61">[32]Graf14_Graf15!#REF!</definedName>
    <definedName name="IT_2" localSheetId="60">[32]Graf14_Graf15!#REF!</definedName>
    <definedName name="IT_2" localSheetId="16">[32]Graf14_Graf15!#REF!</definedName>
    <definedName name="IT_2">[32]Graf14_Graf15!#REF!</definedName>
    <definedName name="IT_2_bracket_2" localSheetId="63">[32]Graf14_Graf15!#REF!</definedName>
    <definedName name="IT_2_bracket_2" localSheetId="57">[32]Graf14_Graf15!#REF!</definedName>
    <definedName name="IT_2_bracket_2" localSheetId="59">[32]Graf14_Graf15!#REF!</definedName>
    <definedName name="IT_2_bracket_2" localSheetId="61">[32]Graf14_Graf15!#REF!</definedName>
    <definedName name="IT_2_bracket_2" localSheetId="60">[32]Graf14_Graf15!#REF!</definedName>
    <definedName name="IT_2_bracket_2" localSheetId="16">[32]Graf14_Graf15!#REF!</definedName>
    <definedName name="IT_2_bracket_2">[32]Graf14_Graf15!#REF!</definedName>
    <definedName name="jhgf" localSheetId="41" hidden="1">{"MONA",#N/A,FALSE,"S"}</definedName>
    <definedName name="jhgf" hidden="1">{"MONA",#N/A,FALSE,"S"}</definedName>
    <definedName name="jj" localSheetId="63" hidden="1">{"Riqfin97",#N/A,FALSE,"Tran";"Riqfinpro",#N/A,FALSE,"Tran"}</definedName>
    <definedName name="jj" localSheetId="41" hidden="1">{"Riqfin97",#N/A,FALSE,"Tran";"Riqfinpro",#N/A,FALSE,"Tran"}</definedName>
    <definedName name="jj" localSheetId="50" hidden="1">{"Riqfin97",#N/A,FALSE,"Tran";"Riqfinpro",#N/A,FALSE,"Tran"}</definedName>
    <definedName name="jj" localSheetId="51" hidden="1">{"Riqfin97",#N/A,FALSE,"Tran";"Riqfinpro",#N/A,FALSE,"Tran"}</definedName>
    <definedName name="jj" hidden="1">{"Riqfin97",#N/A,FALSE,"Tran";"Riqfinpro",#N/A,FALSE,"Tran"}</definedName>
    <definedName name="jjj" localSheetId="63" hidden="1">[66]M!#REF!</definedName>
    <definedName name="jjj" localSheetId="1" hidden="1">[66]M!#REF!</definedName>
    <definedName name="jjj" localSheetId="50" hidden="1">[66]M!#REF!</definedName>
    <definedName name="jjj" localSheetId="51" hidden="1">[66]M!#REF!</definedName>
    <definedName name="jjj" localSheetId="57" hidden="1">[66]M!#REF!</definedName>
    <definedName name="jjj" localSheetId="59" hidden="1">[66]M!#REF!</definedName>
    <definedName name="jjj" localSheetId="61" hidden="1">[66]M!#REF!</definedName>
    <definedName name="jjj" localSheetId="60" hidden="1">[66]M!#REF!</definedName>
    <definedName name="jjj" localSheetId="16" hidden="1">[66]M!#REF!</definedName>
    <definedName name="jjj" hidden="1">[66]M!#REF!</definedName>
    <definedName name="jjjjjj" localSheetId="63" hidden="1">'[61]J(Priv.Cap)'!#REF!</definedName>
    <definedName name="jjjjjj" localSheetId="1" hidden="1">'[61]J(Priv.Cap)'!#REF!</definedName>
    <definedName name="jjjjjj" localSheetId="50" hidden="1">'[61]J(Priv.Cap)'!#REF!</definedName>
    <definedName name="jjjjjj" localSheetId="51" hidden="1">'[61]J(Priv.Cap)'!#REF!</definedName>
    <definedName name="jjjjjj" localSheetId="57" hidden="1">'[61]J(Priv.Cap)'!#REF!</definedName>
    <definedName name="jjjjjj" localSheetId="59" hidden="1">'[61]J(Priv.Cap)'!#REF!</definedName>
    <definedName name="jjjjjj" localSheetId="61" hidden="1">'[61]J(Priv.Cap)'!#REF!</definedName>
    <definedName name="jjjjjj" localSheetId="60" hidden="1">'[61]J(Priv.Cap)'!#REF!</definedName>
    <definedName name="jjjjjj" localSheetId="16" hidden="1">'[61]J(Priv.Cap)'!#REF!</definedName>
    <definedName name="jjjjjj" hidden="1">'[61]J(Priv.Cap)'!#REF!</definedName>
    <definedName name="kjg" localSheetId="41" hidden="1">{#N/A,#N/A,FALSE,"SimInp1";#N/A,#N/A,FALSE,"SimInp2";#N/A,#N/A,FALSE,"SimOut1";#N/A,#N/A,FALSE,"SimOut2";#N/A,#N/A,FALSE,"SimOut3";#N/A,#N/A,FALSE,"SimOut4";#N/A,#N/A,FALSE,"SimOut5"}</definedName>
    <definedName name="kjg" hidden="1">{#N/A,#N/A,FALSE,"SimInp1";#N/A,#N/A,FALSE,"SimInp2";#N/A,#N/A,FALSE,"SimOut1";#N/A,#N/A,FALSE,"SimOut2";#N/A,#N/A,FALSE,"SimOut3";#N/A,#N/A,FALSE,"SimOut4";#N/A,#N/A,FALSE,"SimOut5"}</definedName>
    <definedName name="kjhg" localSheetId="41" hidden="1">{"BOP_TAB",#N/A,FALSE,"N";"MIDTERM_TAB",#N/A,FALSE,"O";"FUND_CRED",#N/A,FALSE,"P";"DEBT_TAB1",#N/A,FALSE,"Q";"DEBT_TAB2",#N/A,FALSE,"Q";"FORFIN_TAB1",#N/A,FALSE,"R";"FORFIN_TAB2",#N/A,FALSE,"R";"BOP_ANALY",#N/A,FALSE,"U"}</definedName>
    <definedName name="kjhg" hidden="1">{"BOP_TAB",#N/A,FALSE,"N";"MIDTERM_TAB",#N/A,FALSE,"O";"FUND_CRED",#N/A,FALSE,"P";"DEBT_TAB1",#N/A,FALSE,"Q";"DEBT_TAB2",#N/A,FALSE,"Q";"FORFIN_TAB1",#N/A,FALSE,"R";"FORFIN_TAB2",#N/A,FALSE,"R";"BOP_ANALY",#N/A,FALSE,"U"}</definedName>
    <definedName name="kk" localSheetId="63" hidden="1">{"Tab1",#N/A,FALSE,"P";"Tab2",#N/A,FALSE,"P"}</definedName>
    <definedName name="kk" localSheetId="41" hidden="1">{"Tab1",#N/A,FALSE,"P";"Tab2",#N/A,FALSE,"P"}</definedName>
    <definedName name="kk" localSheetId="50" hidden="1">{"Tab1",#N/A,FALSE,"P";"Tab2",#N/A,FALSE,"P"}</definedName>
    <definedName name="kk" localSheetId="51" hidden="1">{"Tab1",#N/A,FALSE,"P";"Tab2",#N/A,FALSE,"P"}</definedName>
    <definedName name="kk" hidden="1">{"Tab1",#N/A,FALSE,"P";"Tab2",#N/A,FALSE,"P"}</definedName>
    <definedName name="kkk" localSheetId="63" hidden="1">{"Tab1",#N/A,FALSE,"P";"Tab2",#N/A,FALSE,"P"}</definedName>
    <definedName name="kkk" localSheetId="41" hidden="1">{"Tab1",#N/A,FALSE,"P";"Tab2",#N/A,FALSE,"P"}</definedName>
    <definedName name="kkk" localSheetId="50" hidden="1">{"Tab1",#N/A,FALSE,"P";"Tab2",#N/A,FALSE,"P"}</definedName>
    <definedName name="kkk" localSheetId="51" hidden="1">{"Tab1",#N/A,FALSE,"P";"Tab2",#N/A,FALSE,"P"}</definedName>
    <definedName name="kkk" hidden="1">{"Tab1",#N/A,FALSE,"P";"Tab2",#N/A,FALSE,"P"}</definedName>
    <definedName name="kkkk" localSheetId="63" hidden="1">[54]M!#REF!</definedName>
    <definedName name="kkkk" localSheetId="1" hidden="1">[54]M!#REF!</definedName>
    <definedName name="kkkk" localSheetId="50" hidden="1">[54]M!#REF!</definedName>
    <definedName name="kkkk" localSheetId="51" hidden="1">[54]M!#REF!</definedName>
    <definedName name="kkkk" localSheetId="57" hidden="1">[54]M!#REF!</definedName>
    <definedName name="kkkk" localSheetId="59" hidden="1">[54]M!#REF!</definedName>
    <definedName name="kkkk" localSheetId="61" hidden="1">[54]M!#REF!</definedName>
    <definedName name="kkkk" localSheetId="60" hidden="1">[54]M!#REF!</definedName>
    <definedName name="kkkk" localSheetId="16" hidden="1">[54]M!#REF!</definedName>
    <definedName name="kkkk" hidden="1">[54]M!#REF!</definedName>
    <definedName name="Konto" localSheetId="63">#REF!</definedName>
    <definedName name="Konto" localSheetId="1">#REF!</definedName>
    <definedName name="Konto" localSheetId="57">#REF!</definedName>
    <definedName name="Konto" localSheetId="59">#REF!</definedName>
    <definedName name="Konto" localSheetId="61">#REF!</definedName>
    <definedName name="Konto" localSheetId="60">#REF!</definedName>
    <definedName name="Konto" localSheetId="16">#REF!</definedName>
    <definedName name="Konto">#REF!</definedName>
    <definedName name="kumul1" localSheetId="63">#REF!</definedName>
    <definedName name="kumul1" localSheetId="1">#REF!</definedName>
    <definedName name="kumul1" localSheetId="57">#REF!</definedName>
    <definedName name="kumul1" localSheetId="59">#REF!</definedName>
    <definedName name="kumul1" localSheetId="61">#REF!</definedName>
    <definedName name="kumul1" localSheetId="60">#REF!</definedName>
    <definedName name="kumul1" localSheetId="16">#REF!</definedName>
    <definedName name="kumul1">#REF!</definedName>
    <definedName name="kumul2" localSheetId="63">#REF!</definedName>
    <definedName name="kumul2" localSheetId="1">#REF!</definedName>
    <definedName name="kumul2" localSheetId="57">#REF!</definedName>
    <definedName name="kumul2" localSheetId="59">#REF!</definedName>
    <definedName name="kumul2" localSheetId="61">#REF!</definedName>
    <definedName name="kumul2" localSheetId="60">#REF!</definedName>
    <definedName name="kumul2" localSheetId="16">#REF!</definedName>
    <definedName name="kumul2">#REF!</definedName>
    <definedName name="kvart1" localSheetId="63">#REF!</definedName>
    <definedName name="kvart1" localSheetId="1">#REF!</definedName>
    <definedName name="kvart1" localSheetId="57">#REF!</definedName>
    <definedName name="kvart1" localSheetId="59">#REF!</definedName>
    <definedName name="kvart1" localSheetId="61">#REF!</definedName>
    <definedName name="kvart1" localSheetId="60">#REF!</definedName>
    <definedName name="kvart1" localSheetId="16">#REF!</definedName>
    <definedName name="kvart1">#REF!</definedName>
    <definedName name="kvart2" localSheetId="63">#REF!</definedName>
    <definedName name="kvart2" localSheetId="1">#REF!</definedName>
    <definedName name="kvart2" localSheetId="57">#REF!</definedName>
    <definedName name="kvart2" localSheetId="59">#REF!</definedName>
    <definedName name="kvart2" localSheetId="61">#REF!</definedName>
    <definedName name="kvart2" localSheetId="60">#REF!</definedName>
    <definedName name="kvart2" localSheetId="16">#REF!</definedName>
    <definedName name="kvart2">#REF!</definedName>
    <definedName name="kvart3" localSheetId="63">#REF!</definedName>
    <definedName name="kvart3" localSheetId="1">#REF!</definedName>
    <definedName name="kvart3" localSheetId="57">#REF!</definedName>
    <definedName name="kvart3" localSheetId="59">#REF!</definedName>
    <definedName name="kvart3" localSheetId="61">#REF!</definedName>
    <definedName name="kvart3" localSheetId="60">#REF!</definedName>
    <definedName name="kvart3" localSheetId="16">#REF!</definedName>
    <definedName name="kvart3">#REF!</definedName>
    <definedName name="kvart4" localSheetId="63">#REF!</definedName>
    <definedName name="kvart4" localSheetId="1">#REF!</definedName>
    <definedName name="kvart4" localSheetId="57">#REF!</definedName>
    <definedName name="kvart4" localSheetId="59">#REF!</definedName>
    <definedName name="kvart4" localSheetId="61">#REF!</definedName>
    <definedName name="kvart4" localSheetId="60">#REF!</definedName>
    <definedName name="kvart4" localSheetId="16">#REF!</definedName>
    <definedName name="kvart4">#REF!</definedName>
    <definedName name="ll" localSheetId="63" hidden="1">{"Tab1",#N/A,FALSE,"P";"Tab2",#N/A,FALSE,"P"}</definedName>
    <definedName name="ll" localSheetId="41" hidden="1">{"Tab1",#N/A,FALSE,"P";"Tab2",#N/A,FALSE,"P"}</definedName>
    <definedName name="ll" localSheetId="50" hidden="1">{"Tab1",#N/A,FALSE,"P";"Tab2",#N/A,FALSE,"P"}</definedName>
    <definedName name="ll" localSheetId="51" hidden="1">{"Tab1",#N/A,FALSE,"P";"Tab2",#N/A,FALSE,"P"}</definedName>
    <definedName name="ll" hidden="1">{"Tab1",#N/A,FALSE,"P";"Tab2",#N/A,FALSE,"P"}</definedName>
    <definedName name="lll" localSheetId="63" hidden="1">{"Riqfin97",#N/A,FALSE,"Tran";"Riqfinpro",#N/A,FALSE,"Tran"}</definedName>
    <definedName name="lll" localSheetId="41" hidden="1">{"Riqfin97",#N/A,FALSE,"Tran";"Riqfinpro",#N/A,FALSE,"Tran"}</definedName>
    <definedName name="lll" localSheetId="50" hidden="1">{"Riqfin97",#N/A,FALSE,"Tran";"Riqfinpro",#N/A,FALSE,"Tran"}</definedName>
    <definedName name="lll" localSheetId="51" hidden="1">{"Riqfin97",#N/A,FALSE,"Tran";"Riqfinpro",#N/A,FALSE,"Tran"}</definedName>
    <definedName name="lll" hidden="1">{"Riqfin97",#N/A,FALSE,"Tran";"Riqfinpro",#N/A,FALSE,"Tran"}</definedName>
    <definedName name="llll" localSheetId="63" hidden="1">[66]M!#REF!</definedName>
    <definedName name="llll" localSheetId="1" hidden="1">[66]M!#REF!</definedName>
    <definedName name="llll" localSheetId="50" hidden="1">[66]M!#REF!</definedName>
    <definedName name="llll" localSheetId="51" hidden="1">[66]M!#REF!</definedName>
    <definedName name="llll" localSheetId="57" hidden="1">[66]M!#REF!</definedName>
    <definedName name="llll" localSheetId="59" hidden="1">[66]M!#REF!</definedName>
    <definedName name="llll" localSheetId="61" hidden="1">[66]M!#REF!</definedName>
    <definedName name="llll" localSheetId="60" hidden="1">[66]M!#REF!</definedName>
    <definedName name="llll" localSheetId="16" hidden="1">[66]M!#REF!</definedName>
    <definedName name="llll" hidden="1">[66]M!#REF!</definedName>
    <definedName name="ls" localSheetId="63">[53]LS!$A:$E</definedName>
    <definedName name="ls">[53]LS!$A$1:$E$65536</definedName>
    <definedName name="LUR">#N/A</definedName>
    <definedName name="Malaysia" localSheetId="63">#REF!</definedName>
    <definedName name="Malaysia" localSheetId="1">#REF!</definedName>
    <definedName name="Malaysia" localSheetId="57">#REF!</definedName>
    <definedName name="Malaysia" localSheetId="59">#REF!</definedName>
    <definedName name="Malaysia" localSheetId="61">#REF!</definedName>
    <definedName name="Malaysia" localSheetId="60">#REF!</definedName>
    <definedName name="Malaysia" localSheetId="16">#REF!</definedName>
    <definedName name="Malaysia">#REF!</definedName>
    <definedName name="MCV">#N/A</definedName>
    <definedName name="MCV_B">#N/A</definedName>
    <definedName name="MCV_B1" localSheetId="63">'[30]WEO-BOP'!#REF!</definedName>
    <definedName name="MCV_B1" localSheetId="1">'[30]WEO-BOP'!#REF!</definedName>
    <definedName name="MCV_B1" localSheetId="51">'[30]WEO-BOP'!#REF!</definedName>
    <definedName name="MCV_B1" localSheetId="57">'[30]WEO-BOP'!#REF!</definedName>
    <definedName name="MCV_B1" localSheetId="59">'[30]WEO-BOP'!#REF!</definedName>
    <definedName name="MCV_B1" localSheetId="61">'[30]WEO-BOP'!#REF!</definedName>
    <definedName name="MCV_B1" localSheetId="60">'[30]WEO-BOP'!#REF!</definedName>
    <definedName name="MCV_B1" localSheetId="16">'[30]WEO-BOP'!#REF!</definedName>
    <definedName name="MCV_B1">'[30]WEO-BOP'!#REF!</definedName>
    <definedName name="MCV_D">#N/A</definedName>
    <definedName name="MCV_N">#N/A</definedName>
    <definedName name="MCV_T">#N/A</definedName>
    <definedName name="MENORES" localSheetId="63">#REF!</definedName>
    <definedName name="MENORES" localSheetId="1">#REF!</definedName>
    <definedName name="MENORES" localSheetId="57">#REF!</definedName>
    <definedName name="MENORES" localSheetId="59">#REF!</definedName>
    <definedName name="MENORES" localSheetId="61">#REF!</definedName>
    <definedName name="MENORES" localSheetId="60">#REF!</definedName>
    <definedName name="MENORES" localSheetId="16">#REF!</definedName>
    <definedName name="MENORES">#REF!</definedName>
    <definedName name="mesec1" localSheetId="63">#REF!</definedName>
    <definedName name="mesec1" localSheetId="1">#REF!</definedName>
    <definedName name="mesec1" localSheetId="57">#REF!</definedName>
    <definedName name="mesec1" localSheetId="59">#REF!</definedName>
    <definedName name="mesec1" localSheetId="61">#REF!</definedName>
    <definedName name="mesec1" localSheetId="60">#REF!</definedName>
    <definedName name="mesec1" localSheetId="16">#REF!</definedName>
    <definedName name="mesec1">#REF!</definedName>
    <definedName name="mesec2" localSheetId="63">#REF!</definedName>
    <definedName name="mesec2" localSheetId="1">#REF!</definedName>
    <definedName name="mesec2" localSheetId="57">#REF!</definedName>
    <definedName name="mesec2" localSheetId="59">#REF!</definedName>
    <definedName name="mesec2" localSheetId="61">#REF!</definedName>
    <definedName name="mesec2" localSheetId="60">#REF!</definedName>
    <definedName name="mesec2" localSheetId="16">#REF!</definedName>
    <definedName name="mesec2">#REF!</definedName>
    <definedName name="mf" localSheetId="63" hidden="1">{"Tab1",#N/A,FALSE,"P";"Tab2",#N/A,FALSE,"P"}</definedName>
    <definedName name="mf" localSheetId="41" hidden="1">{"Tab1",#N/A,FALSE,"P";"Tab2",#N/A,FALSE,"P"}</definedName>
    <definedName name="mf" localSheetId="50" hidden="1">{"Tab1",#N/A,FALSE,"P";"Tab2",#N/A,FALSE,"P"}</definedName>
    <definedName name="mf" localSheetId="51" hidden="1">{"Tab1",#N/A,FALSE,"P";"Tab2",#N/A,FALSE,"P"}</definedName>
    <definedName name="mf" hidden="1">{"Tab1",#N/A,FALSE,"P";"Tab2",#N/A,FALSE,"P"}</definedName>
    <definedName name="MFISCAL" localSheetId="63">'[3]Annual Raw Data'!#REF!</definedName>
    <definedName name="MFISCAL" localSheetId="1">'[3]Annual Raw Data'!#REF!</definedName>
    <definedName name="MFISCAL" localSheetId="51">'[3]Annual Raw Data'!#REF!</definedName>
    <definedName name="MFISCAL" localSheetId="57">'[3]Annual Raw Data'!#REF!</definedName>
    <definedName name="MFISCAL" localSheetId="59">'[3]Annual Raw Data'!#REF!</definedName>
    <definedName name="MFISCAL" localSheetId="61">'[3]Annual Raw Data'!#REF!</definedName>
    <definedName name="MFISCAL" localSheetId="60">'[3]Annual Raw Data'!#REF!</definedName>
    <definedName name="MFISCAL" localSheetId="16">'[3]Annual Raw Data'!#REF!</definedName>
    <definedName name="MFISCAL">'[3]Annual Raw Data'!#REF!</definedName>
    <definedName name="mflowsa" localSheetId="63">[20]!mflowsa</definedName>
    <definedName name="mflowsa" localSheetId="1">[20]!mflowsa</definedName>
    <definedName name="mflowsa" localSheetId="51">[20]!mflowsa</definedName>
    <definedName name="mflowsa" localSheetId="57">[20]!mflowsa</definedName>
    <definedName name="mflowsa" localSheetId="59">[20]!mflowsa</definedName>
    <definedName name="mflowsa" localSheetId="61">[20]!mflowsa</definedName>
    <definedName name="mflowsa" localSheetId="60">[20]!mflowsa</definedName>
    <definedName name="mflowsa" localSheetId="16">[20]!mflowsa</definedName>
    <definedName name="mflowsa">[20]!mflowsa</definedName>
    <definedName name="mflowsq" localSheetId="63">[20]!mflowsq</definedName>
    <definedName name="mflowsq" localSheetId="1">[20]!mflowsq</definedName>
    <definedName name="mflowsq" localSheetId="51">[20]!mflowsq</definedName>
    <definedName name="mflowsq" localSheetId="57">[20]!mflowsq</definedName>
    <definedName name="mflowsq" localSheetId="59">[20]!mflowsq</definedName>
    <definedName name="mflowsq" localSheetId="61">[20]!mflowsq</definedName>
    <definedName name="mflowsq" localSheetId="60">[20]!mflowsq</definedName>
    <definedName name="mflowsq" localSheetId="16">[20]!mflowsq</definedName>
    <definedName name="mflowsq">[20]!mflowsq</definedName>
    <definedName name="MICRO" localSheetId="63">#REF!</definedName>
    <definedName name="MICRO" localSheetId="1">#REF!</definedName>
    <definedName name="MICRO" localSheetId="57">#REF!</definedName>
    <definedName name="MICRO" localSheetId="59">#REF!</definedName>
    <definedName name="MICRO" localSheetId="61">#REF!</definedName>
    <definedName name="MICRO" localSheetId="60">#REF!</definedName>
    <definedName name="MICRO" localSheetId="16">#REF!</definedName>
    <definedName name="MICRO">#REF!</definedName>
    <definedName name="min_VZ" localSheetId="63">[32]Graf14_Graf15!#REF!</definedName>
    <definedName name="min_VZ" localSheetId="57">[32]Graf14_Graf15!#REF!</definedName>
    <definedName name="min_VZ" localSheetId="59">[32]Graf14_Graf15!#REF!</definedName>
    <definedName name="min_VZ" localSheetId="61">[32]Graf14_Graf15!#REF!</definedName>
    <definedName name="min_VZ" localSheetId="60">[32]Graf14_Graf15!#REF!</definedName>
    <definedName name="min_VZ" localSheetId="16">[32]Graf14_Graf15!#REF!</definedName>
    <definedName name="min_VZ">[32]Graf14_Graf15!#REF!</definedName>
    <definedName name="MISC3" localSheetId="63">#REF!</definedName>
    <definedName name="MISC3" localSheetId="1">#REF!</definedName>
    <definedName name="MISC3" localSheetId="57">#REF!</definedName>
    <definedName name="MISC3" localSheetId="59">#REF!</definedName>
    <definedName name="MISC3" localSheetId="61">#REF!</definedName>
    <definedName name="MISC3" localSheetId="60">#REF!</definedName>
    <definedName name="MISC3" localSheetId="16">#REF!</definedName>
    <definedName name="MISC3">#REF!</definedName>
    <definedName name="MISC4" localSheetId="63">[1]OUTPUT!#REF!</definedName>
    <definedName name="MISC4" localSheetId="1">[1]OUTPUT!#REF!</definedName>
    <definedName name="MISC4" localSheetId="51">[1]OUTPUT!#REF!</definedName>
    <definedName name="MISC4" localSheetId="57">[1]OUTPUT!#REF!</definedName>
    <definedName name="MISC4" localSheetId="59">[1]OUTPUT!#REF!</definedName>
    <definedName name="MISC4" localSheetId="61">[1]OUTPUT!#REF!</definedName>
    <definedName name="MISC4" localSheetId="60">[1]OUTPUT!#REF!</definedName>
    <definedName name="MISC4" localSheetId="16">[1]OUTPUT!#REF!</definedName>
    <definedName name="MISC4">[1]OUTPUT!#REF!</definedName>
    <definedName name="mmm" localSheetId="63" hidden="1">{"Riqfin97",#N/A,FALSE,"Tran";"Riqfinpro",#N/A,FALSE,"Tran"}</definedName>
    <definedName name="mmm" localSheetId="41" hidden="1">{"Riqfin97",#N/A,FALSE,"Tran";"Riqfinpro",#N/A,FALSE,"Tran"}</definedName>
    <definedName name="mmm" localSheetId="50" hidden="1">{"Riqfin97",#N/A,FALSE,"Tran";"Riqfinpro",#N/A,FALSE,"Tran"}</definedName>
    <definedName name="mmm" localSheetId="51" hidden="1">{"Riqfin97",#N/A,FALSE,"Tran";"Riqfinpro",#N/A,FALSE,"Tran"}</definedName>
    <definedName name="mmm" hidden="1">{"Riqfin97",#N/A,FALSE,"Tran";"Riqfinpro",#N/A,FALSE,"Tran"}</definedName>
    <definedName name="mmmm" localSheetId="63" hidden="1">{"Tab1",#N/A,FALSE,"P";"Tab2",#N/A,FALSE,"P"}</definedName>
    <definedName name="mmmm" localSheetId="41" hidden="1">{"Tab1",#N/A,FALSE,"P";"Tab2",#N/A,FALSE,"P"}</definedName>
    <definedName name="mmmm" localSheetId="50" hidden="1">{"Tab1",#N/A,FALSE,"P";"Tab2",#N/A,FALSE,"P"}</definedName>
    <definedName name="mmmm" localSheetId="51" hidden="1">{"Tab1",#N/A,FALSE,"P";"Tab2",#N/A,FALSE,"P"}</definedName>
    <definedName name="mmmm" hidden="1">{"Tab1",#N/A,FALSE,"P";"Tab2",#N/A,FALSE,"P"}</definedName>
    <definedName name="MON_SM" localSheetId="63">#REF!</definedName>
    <definedName name="MON_SM" localSheetId="1">#REF!</definedName>
    <definedName name="MON_SM" localSheetId="57">#REF!</definedName>
    <definedName name="MON_SM" localSheetId="59">#REF!</definedName>
    <definedName name="MON_SM" localSheetId="61">#REF!</definedName>
    <definedName name="MON_SM" localSheetId="60">#REF!</definedName>
    <definedName name="MON_SM" localSheetId="16">#REF!</definedName>
    <definedName name="MON_SM">#REF!</definedName>
    <definedName name="MONF_SM" localSheetId="63">#REF!</definedName>
    <definedName name="MONF_SM" localSheetId="1">#REF!</definedName>
    <definedName name="MONF_SM" localSheetId="57">#REF!</definedName>
    <definedName name="MONF_SM" localSheetId="59">#REF!</definedName>
    <definedName name="MONF_SM" localSheetId="61">#REF!</definedName>
    <definedName name="MONF_SM" localSheetId="60">#REF!</definedName>
    <definedName name="MONF_SM" localSheetId="16">#REF!</definedName>
    <definedName name="MONF_SM">#REF!</definedName>
    <definedName name="MONTH" localSheetId="63">[5]REER!$D$140:$E$199</definedName>
    <definedName name="MONTH" localSheetId="51">[6]REER!$D$140:$E$199</definedName>
    <definedName name="MONTH">[24]REER!$D$140:$E$199</definedName>
    <definedName name="mstocksa" localSheetId="63">[20]!mstocksa</definedName>
    <definedName name="mstocksa" localSheetId="1">[20]!mstocksa</definedName>
    <definedName name="mstocksa" localSheetId="51">[20]!mstocksa</definedName>
    <definedName name="mstocksa" localSheetId="57">[20]!mstocksa</definedName>
    <definedName name="mstocksa" localSheetId="59">[20]!mstocksa</definedName>
    <definedName name="mstocksa" localSheetId="61">[20]!mstocksa</definedName>
    <definedName name="mstocksa" localSheetId="60">[20]!mstocksa</definedName>
    <definedName name="mstocksa" localSheetId="16">[20]!mstocksa</definedName>
    <definedName name="mstocksa">[20]!mstocksa</definedName>
    <definedName name="mstocksq" localSheetId="63">[20]!mstocksq</definedName>
    <definedName name="mstocksq" localSheetId="1">[20]!mstocksq</definedName>
    <definedName name="mstocksq" localSheetId="51">[20]!mstocksq</definedName>
    <definedName name="mstocksq" localSheetId="57">[20]!mstocksq</definedName>
    <definedName name="mstocksq" localSheetId="59">[20]!mstocksq</definedName>
    <definedName name="mstocksq" localSheetId="61">[20]!mstocksq</definedName>
    <definedName name="mstocksq" localSheetId="60">[20]!mstocksq</definedName>
    <definedName name="mstocksq" localSheetId="16">[20]!mstocksq</definedName>
    <definedName name="mstocksq">[20]!mstocksq</definedName>
    <definedName name="MTO" localSheetId="1">#REF!</definedName>
    <definedName name="MTO" localSheetId="14">#REF!</definedName>
    <definedName name="MTO" localSheetId="15">#REF!</definedName>
    <definedName name="MTO" localSheetId="57">#REF!</definedName>
    <definedName name="MTO" localSheetId="59">#REF!</definedName>
    <definedName name="MTO" localSheetId="61">#REF!</definedName>
    <definedName name="MTO" localSheetId="60">#REF!</definedName>
    <definedName name="MTO" localSheetId="16">#REF!</definedName>
    <definedName name="MTO">#REF!</definedName>
    <definedName name="Municipios" localSheetId="63">#REF!</definedName>
    <definedName name="Municipios" localSheetId="1">#REF!</definedName>
    <definedName name="Municipios" localSheetId="57">#REF!</definedName>
    <definedName name="Municipios" localSheetId="59">#REF!</definedName>
    <definedName name="Municipios" localSheetId="61">#REF!</definedName>
    <definedName name="Municipios" localSheetId="60">#REF!</definedName>
    <definedName name="Municipios" localSheetId="16">#REF!</definedName>
    <definedName name="Municipios">#REF!</definedName>
    <definedName name="MVZ_1.5x" localSheetId="63">[32]Graf14_Graf15!#REF!</definedName>
    <definedName name="MVZ_1.5x" localSheetId="57">[32]Graf14_Graf15!#REF!</definedName>
    <definedName name="MVZ_1.5x" localSheetId="59">[32]Graf14_Graf15!#REF!</definedName>
    <definedName name="MVZ_1.5x" localSheetId="61">[32]Graf14_Graf15!#REF!</definedName>
    <definedName name="MVZ_1.5x" localSheetId="60">[32]Graf14_Graf15!#REF!</definedName>
    <definedName name="MVZ_1.5x" localSheetId="16">[32]Graf14_Graf15!#REF!</definedName>
    <definedName name="MVZ_1.5x">[32]Graf14_Graf15!#REF!</definedName>
    <definedName name="MVZ_4x" localSheetId="63">[32]Graf14_Graf15!#REF!</definedName>
    <definedName name="MVZ_4x" localSheetId="57">[32]Graf14_Graf15!#REF!</definedName>
    <definedName name="MVZ_4x" localSheetId="59">[32]Graf14_Graf15!#REF!</definedName>
    <definedName name="MVZ_4x" localSheetId="61">[32]Graf14_Graf15!#REF!</definedName>
    <definedName name="MVZ_4x" localSheetId="60">[32]Graf14_Graf15!#REF!</definedName>
    <definedName name="MVZ_4x" localSheetId="16">[32]Graf14_Graf15!#REF!</definedName>
    <definedName name="MVZ_4x">[32]Graf14_Graf15!#REF!</definedName>
    <definedName name="MVZ_5x" localSheetId="63">[32]Graf14_Graf15!#REF!</definedName>
    <definedName name="MVZ_5x" localSheetId="57">[32]Graf14_Graf15!#REF!</definedName>
    <definedName name="MVZ_5x" localSheetId="59">[32]Graf14_Graf15!#REF!</definedName>
    <definedName name="MVZ_5x" localSheetId="61">[32]Graf14_Graf15!#REF!</definedName>
    <definedName name="MVZ_5x" localSheetId="60">[32]Graf14_Graf15!#REF!</definedName>
    <definedName name="MVZ_5x" localSheetId="16">[32]Graf14_Graf15!#REF!</definedName>
    <definedName name="MVZ_5x">[32]Graf14_Graf15!#REF!</definedName>
    <definedName name="MW" localSheetId="63">[32]Graf14_Graf15!#REF!</definedName>
    <definedName name="MW" localSheetId="57">[32]Graf14_Graf15!#REF!</definedName>
    <definedName name="MW" localSheetId="59">[32]Graf14_Graf15!#REF!</definedName>
    <definedName name="MW" localSheetId="61">[32]Graf14_Graf15!#REF!</definedName>
    <definedName name="MW" localSheetId="60">[32]Graf14_Graf15!#REF!</definedName>
    <definedName name="MW" localSheetId="16">[32]Graf14_Graf15!#REF!</definedName>
    <definedName name="MW">[32]Graf14_Graf15!#REF!</definedName>
    <definedName name="MW_2" localSheetId="63">[32]Graf14_Graf15!#REF!</definedName>
    <definedName name="MW_2" localSheetId="57">[32]Graf14_Graf15!#REF!</definedName>
    <definedName name="MW_2" localSheetId="59">[32]Graf14_Graf15!#REF!</definedName>
    <definedName name="MW_2" localSheetId="61">[32]Graf14_Graf15!#REF!</definedName>
    <definedName name="MW_2" localSheetId="60">[32]Graf14_Graf15!#REF!</definedName>
    <definedName name="MW_2" localSheetId="16">[32]Graf14_Graf15!#REF!</definedName>
    <definedName name="MW_2">[32]Graf14_Graf15!#REF!</definedName>
    <definedName name="NACTCURRENT" localSheetId="63">#REF!</definedName>
    <definedName name="NACTCURRENT" localSheetId="1">#REF!</definedName>
    <definedName name="NACTCURRENT" localSheetId="57">#REF!</definedName>
    <definedName name="NACTCURRENT" localSheetId="59">#REF!</definedName>
    <definedName name="NACTCURRENT" localSheetId="61">#REF!</definedName>
    <definedName name="NACTCURRENT" localSheetId="60">#REF!</definedName>
    <definedName name="NACTCURRENT" localSheetId="16">#REF!</definedName>
    <definedName name="NACTCURRENT">#REF!</definedName>
    <definedName name="nam1out" localSheetId="63">#REF!</definedName>
    <definedName name="nam1out" localSheetId="1">#REF!</definedName>
    <definedName name="nam1out" localSheetId="57">#REF!</definedName>
    <definedName name="nam1out" localSheetId="59">#REF!</definedName>
    <definedName name="nam1out" localSheetId="61">#REF!</definedName>
    <definedName name="nam1out" localSheetId="60">#REF!</definedName>
    <definedName name="nam1out" localSheetId="16">#REF!</definedName>
    <definedName name="nam1out">#REF!</definedName>
    <definedName name="nam2in" localSheetId="63">#REF!</definedName>
    <definedName name="nam2in" localSheetId="1">#REF!</definedName>
    <definedName name="nam2in" localSheetId="57">#REF!</definedName>
    <definedName name="nam2in" localSheetId="59">#REF!</definedName>
    <definedName name="nam2in" localSheetId="61">#REF!</definedName>
    <definedName name="nam2in" localSheetId="60">#REF!</definedName>
    <definedName name="nam2in" localSheetId="16">#REF!</definedName>
    <definedName name="nam2in">#REF!</definedName>
    <definedName name="nam2out" localSheetId="63">#REF!</definedName>
    <definedName name="nam2out" localSheetId="1">#REF!</definedName>
    <definedName name="nam2out" localSheetId="57">#REF!</definedName>
    <definedName name="nam2out" localSheetId="59">#REF!</definedName>
    <definedName name="nam2out" localSheetId="61">#REF!</definedName>
    <definedName name="nam2out" localSheetId="60">#REF!</definedName>
    <definedName name="nam2out" localSheetId="16">#REF!</definedName>
    <definedName name="nam2out">#REF!</definedName>
    <definedName name="NAMB" localSheetId="63">[5]REER!$AY$143:$BB$143</definedName>
    <definedName name="NAMB" localSheetId="51">[6]REER!$AY$143:$BB$143</definedName>
    <definedName name="NAMB">[24]REER!$AY$143:$BB$143</definedName>
    <definedName name="namcr" localSheetId="63">'[2]Tab ann curr'!#REF!</definedName>
    <definedName name="namcr" localSheetId="1">'[2]Tab ann curr'!#REF!</definedName>
    <definedName name="namcr" localSheetId="51">'[2]Tab ann curr'!#REF!</definedName>
    <definedName name="namcr" localSheetId="57">'[2]Tab ann curr'!#REF!</definedName>
    <definedName name="namcr" localSheetId="59">'[2]Tab ann curr'!#REF!</definedName>
    <definedName name="namcr" localSheetId="61">'[2]Tab ann curr'!#REF!</definedName>
    <definedName name="namcr" localSheetId="60">'[2]Tab ann curr'!#REF!</definedName>
    <definedName name="namcr" localSheetId="16">'[2]Tab ann curr'!#REF!</definedName>
    <definedName name="namcr">'[2]Tab ann curr'!#REF!</definedName>
    <definedName name="namcs" localSheetId="63">'[2]Tab ann cst'!#REF!</definedName>
    <definedName name="namcs" localSheetId="1">'[2]Tab ann cst'!#REF!</definedName>
    <definedName name="namcs" localSheetId="51">'[2]Tab ann cst'!#REF!</definedName>
    <definedName name="namcs" localSheetId="57">'[2]Tab ann cst'!#REF!</definedName>
    <definedName name="namcs" localSheetId="59">'[2]Tab ann cst'!#REF!</definedName>
    <definedName name="namcs" localSheetId="61">'[2]Tab ann cst'!#REF!</definedName>
    <definedName name="namcs" localSheetId="60">'[2]Tab ann cst'!#REF!</definedName>
    <definedName name="namcs" localSheetId="16">'[2]Tab ann cst'!#REF!</definedName>
    <definedName name="namcs">'[2]Tab ann cst'!#REF!</definedName>
    <definedName name="name_AD">[41]Sheet1!$A$20</definedName>
    <definedName name="name_EXP">[41]Sheet1!$N$54:$N$71</definedName>
    <definedName name="name_FISC" localSheetId="63">#REF!</definedName>
    <definedName name="name_FISC" localSheetId="1">#REF!</definedName>
    <definedName name="name_FISC" localSheetId="57">#REF!</definedName>
    <definedName name="name_FISC" localSheetId="59">#REF!</definedName>
    <definedName name="name_FISC" localSheetId="61">#REF!</definedName>
    <definedName name="name_FISC" localSheetId="60">#REF!</definedName>
    <definedName name="name_FISC" localSheetId="16">#REF!</definedName>
    <definedName name="name_FISC">#REF!</definedName>
    <definedName name="nameIntLiq" localSheetId="63">#REF!</definedName>
    <definedName name="nameIntLiq" localSheetId="1">#REF!</definedName>
    <definedName name="nameIntLiq" localSheetId="57">#REF!</definedName>
    <definedName name="nameIntLiq" localSheetId="59">#REF!</definedName>
    <definedName name="nameIntLiq" localSheetId="61">#REF!</definedName>
    <definedName name="nameIntLiq" localSheetId="60">#REF!</definedName>
    <definedName name="nameIntLiq" localSheetId="16">#REF!</definedName>
    <definedName name="nameIntLiq">#REF!</definedName>
    <definedName name="nameMoney" localSheetId="63">#REF!</definedName>
    <definedName name="nameMoney" localSheetId="1">#REF!</definedName>
    <definedName name="nameMoney" localSheetId="57">#REF!</definedName>
    <definedName name="nameMoney" localSheetId="59">#REF!</definedName>
    <definedName name="nameMoney" localSheetId="61">#REF!</definedName>
    <definedName name="nameMoney" localSheetId="60">#REF!</definedName>
    <definedName name="nameMoney" localSheetId="16">#REF!</definedName>
    <definedName name="nameMoney">#REF!</definedName>
    <definedName name="nameRATES" localSheetId="63">#REF!</definedName>
    <definedName name="nameRATES" localSheetId="1">#REF!</definedName>
    <definedName name="nameRATES" localSheetId="57">#REF!</definedName>
    <definedName name="nameRATES" localSheetId="59">#REF!</definedName>
    <definedName name="nameRATES" localSheetId="61">#REF!</definedName>
    <definedName name="nameRATES" localSheetId="60">#REF!</definedName>
    <definedName name="nameRATES" localSheetId="16">#REF!</definedName>
    <definedName name="nameRATES">#REF!</definedName>
    <definedName name="nameRAWQ" localSheetId="63">'[42]Raw Data'!#REF!</definedName>
    <definedName name="nameRAWQ" localSheetId="1">'[42]Raw Data'!#REF!</definedName>
    <definedName name="nameRAWQ" localSheetId="51">'[42]Raw Data'!#REF!</definedName>
    <definedName name="nameRAWQ" localSheetId="57">'[42]Raw Data'!#REF!</definedName>
    <definedName name="nameRAWQ" localSheetId="59">'[42]Raw Data'!#REF!</definedName>
    <definedName name="nameRAWQ" localSheetId="61">'[42]Raw Data'!#REF!</definedName>
    <definedName name="nameRAWQ" localSheetId="60">'[42]Raw Data'!#REF!</definedName>
    <definedName name="nameRAWQ" localSheetId="16">'[42]Raw Data'!#REF!</definedName>
    <definedName name="nameRAWQ">'[42]Raw Data'!#REF!</definedName>
    <definedName name="nameReal" localSheetId="63">#REF!</definedName>
    <definedName name="nameReal" localSheetId="1">#REF!</definedName>
    <definedName name="nameReal" localSheetId="57">#REF!</definedName>
    <definedName name="nameReal" localSheetId="59">#REF!</definedName>
    <definedName name="nameReal" localSheetId="61">#REF!</definedName>
    <definedName name="nameReal" localSheetId="60">#REF!</definedName>
    <definedName name="nameReal" localSheetId="16">#REF!</definedName>
    <definedName name="nameReal">#REF!</definedName>
    <definedName name="names" localSheetId="63">#REF!</definedName>
    <definedName name="names" localSheetId="1">#REF!</definedName>
    <definedName name="names" localSheetId="57">#REF!</definedName>
    <definedName name="names" localSheetId="59">#REF!</definedName>
    <definedName name="names" localSheetId="61">#REF!</definedName>
    <definedName name="names" localSheetId="60">#REF!</definedName>
    <definedName name="names" localSheetId="16">#REF!</definedName>
    <definedName name="names">#REF!</definedName>
    <definedName name="NAMES_fidr_r" localSheetId="63">[38]monthly!#REF!</definedName>
    <definedName name="NAMES_fidr_r" localSheetId="1">[39]monthly!#REF!</definedName>
    <definedName name="NAMES_fidr_r" localSheetId="51">[40]monthly!#REF!</definedName>
    <definedName name="NAMES_fidr_r" localSheetId="57">[39]monthly!#REF!</definedName>
    <definedName name="NAMES_fidr_r" localSheetId="59">[39]monthly!#REF!</definedName>
    <definedName name="NAMES_fidr_r" localSheetId="61">[39]monthly!#REF!</definedName>
    <definedName name="NAMES_fidr_r" localSheetId="60">[39]monthly!#REF!</definedName>
    <definedName name="NAMES_fidr_r" localSheetId="16">[39]monthly!#REF!</definedName>
    <definedName name="NAMES_fidr_r">[39]monthly!#REF!</definedName>
    <definedName name="names_figb_r" localSheetId="63">[38]monthly!#REF!</definedName>
    <definedName name="names_figb_r" localSheetId="1">[39]monthly!#REF!</definedName>
    <definedName name="names_figb_r" localSheetId="51">[40]monthly!#REF!</definedName>
    <definedName name="names_figb_r" localSheetId="57">[39]monthly!#REF!</definedName>
    <definedName name="names_figb_r" localSheetId="59">[39]monthly!#REF!</definedName>
    <definedName name="names_figb_r" localSheetId="61">[39]monthly!#REF!</definedName>
    <definedName name="names_figb_r" localSheetId="60">[39]monthly!#REF!</definedName>
    <definedName name="names_figb_r" localSheetId="16">[39]monthly!#REF!</definedName>
    <definedName name="names_figb_r">[39]monthly!#REF!</definedName>
    <definedName name="names_w" localSheetId="63">#REF!</definedName>
    <definedName name="names_w" localSheetId="1">#REF!</definedName>
    <definedName name="names_w" localSheetId="57">#REF!</definedName>
    <definedName name="names_w" localSheetId="59">#REF!</definedName>
    <definedName name="names_w" localSheetId="61">#REF!</definedName>
    <definedName name="names_w" localSheetId="60">#REF!</definedName>
    <definedName name="names_w" localSheetId="16">#REF!</definedName>
    <definedName name="names_w">#REF!</definedName>
    <definedName name="names1in" localSheetId="63">#REF!</definedName>
    <definedName name="names1in" localSheetId="1">#REF!</definedName>
    <definedName name="names1in" localSheetId="57">#REF!</definedName>
    <definedName name="names1in" localSheetId="59">#REF!</definedName>
    <definedName name="names1in" localSheetId="61">#REF!</definedName>
    <definedName name="names1in" localSheetId="60">#REF!</definedName>
    <definedName name="names1in" localSheetId="16">#REF!</definedName>
    <definedName name="names1in">#REF!</definedName>
    <definedName name="NAMESB" localSheetId="63">#REF!</definedName>
    <definedName name="NAMESB" localSheetId="1">#REF!</definedName>
    <definedName name="NAMESB" localSheetId="51">#REF!</definedName>
    <definedName name="NAMESB" localSheetId="57">#REF!</definedName>
    <definedName name="NAMESB" localSheetId="59">#REF!</definedName>
    <definedName name="NAMESB" localSheetId="61">#REF!</definedName>
    <definedName name="NAMESB" localSheetId="60">#REF!</definedName>
    <definedName name="NAMESB" localSheetId="16">#REF!</definedName>
    <definedName name="NAMESB">#REF!</definedName>
    <definedName name="namesc" localSheetId="63">#REF!</definedName>
    <definedName name="namesc" localSheetId="1">#REF!</definedName>
    <definedName name="namesc" localSheetId="57">#REF!</definedName>
    <definedName name="namesc" localSheetId="59">#REF!</definedName>
    <definedName name="namesc" localSheetId="61">#REF!</definedName>
    <definedName name="namesc" localSheetId="60">#REF!</definedName>
    <definedName name="namesc" localSheetId="16">#REF!</definedName>
    <definedName name="namesc">#REF!</definedName>
    <definedName name="NAMESG" localSheetId="63">#REF!</definedName>
    <definedName name="NAMESG" localSheetId="1">#REF!</definedName>
    <definedName name="NAMESG" localSheetId="51">#REF!</definedName>
    <definedName name="NAMESG" localSheetId="57">#REF!</definedName>
    <definedName name="NAMESG" localSheetId="59">#REF!</definedName>
    <definedName name="NAMESG" localSheetId="61">#REF!</definedName>
    <definedName name="NAMESG" localSheetId="60">#REF!</definedName>
    <definedName name="NAMESG" localSheetId="16">#REF!</definedName>
    <definedName name="NAMESG">#REF!</definedName>
    <definedName name="namesm" localSheetId="63">#REF!</definedName>
    <definedName name="namesm" localSheetId="1">#REF!</definedName>
    <definedName name="namesm" localSheetId="57">#REF!</definedName>
    <definedName name="namesm" localSheetId="59">#REF!</definedName>
    <definedName name="namesm" localSheetId="61">#REF!</definedName>
    <definedName name="namesm" localSheetId="60">#REF!</definedName>
    <definedName name="namesm" localSheetId="16">#REF!</definedName>
    <definedName name="namesm">#REF!</definedName>
    <definedName name="NAMESQ" localSheetId="63">#REF!</definedName>
    <definedName name="NAMESQ" localSheetId="1">#REF!</definedName>
    <definedName name="NAMESQ" localSheetId="57">#REF!</definedName>
    <definedName name="NAMESQ" localSheetId="59">#REF!</definedName>
    <definedName name="NAMESQ" localSheetId="61">#REF!</definedName>
    <definedName name="NAMESQ" localSheetId="60">#REF!</definedName>
    <definedName name="NAMESQ" localSheetId="16">#REF!</definedName>
    <definedName name="NAMESQ">#REF!</definedName>
    <definedName name="namesr" localSheetId="63">#REF!</definedName>
    <definedName name="namesr" localSheetId="1">#REF!</definedName>
    <definedName name="namesr" localSheetId="57">#REF!</definedName>
    <definedName name="namesr" localSheetId="59">#REF!</definedName>
    <definedName name="namesr" localSheetId="61">#REF!</definedName>
    <definedName name="namesr" localSheetId="60">#REF!</definedName>
    <definedName name="namesr" localSheetId="16">#REF!</definedName>
    <definedName name="namesr">#REF!</definedName>
    <definedName name="namestran" localSheetId="63">[33]transfer!$C$1:$O$1</definedName>
    <definedName name="namestran" localSheetId="51">[34]transfer!$C$1:$O$1</definedName>
    <definedName name="namestran">[35]transfer!$C$1:$O$1</definedName>
    <definedName name="namgdp" localSheetId="63">#REF!</definedName>
    <definedName name="namgdp" localSheetId="1">#REF!</definedName>
    <definedName name="namgdp" localSheetId="57">#REF!</definedName>
    <definedName name="namgdp" localSheetId="59">#REF!</definedName>
    <definedName name="namgdp" localSheetId="61">#REF!</definedName>
    <definedName name="namgdp" localSheetId="60">#REF!</definedName>
    <definedName name="namgdp" localSheetId="16">#REF!</definedName>
    <definedName name="namgdp">#REF!</definedName>
    <definedName name="NAMIN" localSheetId="63">#REF!</definedName>
    <definedName name="NAMIN" localSheetId="1">#REF!</definedName>
    <definedName name="NAMIN" localSheetId="57">#REF!</definedName>
    <definedName name="NAMIN" localSheetId="59">#REF!</definedName>
    <definedName name="NAMIN" localSheetId="61">#REF!</definedName>
    <definedName name="NAMIN" localSheetId="60">#REF!</definedName>
    <definedName name="NAMIN" localSheetId="16">#REF!</definedName>
    <definedName name="NAMIN">#REF!</definedName>
    <definedName name="namin1" localSheetId="63">[5]REER!$F$1:$BP$1</definedName>
    <definedName name="namin1" localSheetId="51">[6]REER!$F$1:$BP$1</definedName>
    <definedName name="namin1">[24]REER!$F$1:$BP$1</definedName>
    <definedName name="namin2" localSheetId="63">[5]REER!$F$138:$AA$138</definedName>
    <definedName name="namin2" localSheetId="51">[6]REER!$F$138:$AA$138</definedName>
    <definedName name="namin2">[24]REER!$F$138:$AA$138</definedName>
    <definedName name="namind" localSheetId="63">'[2]work Q real'!#REF!</definedName>
    <definedName name="namind" localSheetId="1">'[2]work Q real'!#REF!</definedName>
    <definedName name="namind" localSheetId="51">'[2]work Q real'!#REF!</definedName>
    <definedName name="namind" localSheetId="57">'[2]work Q real'!#REF!</definedName>
    <definedName name="namind" localSheetId="59">'[2]work Q real'!#REF!</definedName>
    <definedName name="namind" localSheetId="61">'[2]work Q real'!#REF!</definedName>
    <definedName name="namind" localSheetId="60">'[2]work Q real'!#REF!</definedName>
    <definedName name="namind" localSheetId="16">'[2]work Q real'!#REF!</definedName>
    <definedName name="namind">'[2]work Q real'!#REF!</definedName>
    <definedName name="naminm" localSheetId="63">#REF!</definedName>
    <definedName name="naminm" localSheetId="1">#REF!</definedName>
    <definedName name="naminm" localSheetId="51">#REF!</definedName>
    <definedName name="naminm" localSheetId="57">#REF!</definedName>
    <definedName name="naminm" localSheetId="59">#REF!</definedName>
    <definedName name="naminm" localSheetId="61">#REF!</definedName>
    <definedName name="naminm" localSheetId="60">#REF!</definedName>
    <definedName name="naminm" localSheetId="16">#REF!</definedName>
    <definedName name="naminm">#REF!</definedName>
    <definedName name="naminq" localSheetId="63">#REF!</definedName>
    <definedName name="naminq" localSheetId="1">#REF!</definedName>
    <definedName name="naminq" localSheetId="51">#REF!</definedName>
    <definedName name="naminq" localSheetId="57">#REF!</definedName>
    <definedName name="naminq" localSheetId="59">#REF!</definedName>
    <definedName name="naminq" localSheetId="61">#REF!</definedName>
    <definedName name="naminq" localSheetId="60">#REF!</definedName>
    <definedName name="naminq" localSheetId="16">#REF!</definedName>
    <definedName name="naminq">#REF!</definedName>
    <definedName name="namm" localSheetId="63">#REF!</definedName>
    <definedName name="namm" localSheetId="1">#REF!</definedName>
    <definedName name="namm" localSheetId="51">#REF!</definedName>
    <definedName name="namm" localSheetId="57">#REF!</definedName>
    <definedName name="namm" localSheetId="59">#REF!</definedName>
    <definedName name="namm" localSheetId="61">#REF!</definedName>
    <definedName name="namm" localSheetId="60">#REF!</definedName>
    <definedName name="namm" localSheetId="16">#REF!</definedName>
    <definedName name="namm">#REF!</definedName>
    <definedName name="NAMOUT" localSheetId="63">#REF!</definedName>
    <definedName name="NAMOUT" localSheetId="1">#REF!</definedName>
    <definedName name="NAMOUT" localSheetId="57">#REF!</definedName>
    <definedName name="NAMOUT" localSheetId="59">#REF!</definedName>
    <definedName name="NAMOUT" localSheetId="61">#REF!</definedName>
    <definedName name="NAMOUT" localSheetId="60">#REF!</definedName>
    <definedName name="NAMOUT" localSheetId="16">#REF!</definedName>
    <definedName name="NAMOUT">#REF!</definedName>
    <definedName name="namout1" localSheetId="63">[5]REER!$F$2:$AA$2</definedName>
    <definedName name="namout1" localSheetId="51">[6]REER!$F$2:$AA$2</definedName>
    <definedName name="namout1">[24]REER!$F$2:$AA$2</definedName>
    <definedName name="namoutm" localSheetId="63">#REF!</definedName>
    <definedName name="namoutm" localSheetId="1">#REF!</definedName>
    <definedName name="namoutm" localSheetId="51">#REF!</definedName>
    <definedName name="namoutm" localSheetId="57">#REF!</definedName>
    <definedName name="namoutm" localSheetId="59">#REF!</definedName>
    <definedName name="namoutm" localSheetId="61">#REF!</definedName>
    <definedName name="namoutm" localSheetId="60">#REF!</definedName>
    <definedName name="namoutm" localSheetId="16">#REF!</definedName>
    <definedName name="namoutm">#REF!</definedName>
    <definedName name="namoutq" localSheetId="63">#REF!</definedName>
    <definedName name="namoutq" localSheetId="1">#REF!</definedName>
    <definedName name="namoutq" localSheetId="51">#REF!</definedName>
    <definedName name="namoutq" localSheetId="57">#REF!</definedName>
    <definedName name="namoutq" localSheetId="59">#REF!</definedName>
    <definedName name="namoutq" localSheetId="61">#REF!</definedName>
    <definedName name="namoutq" localSheetId="60">#REF!</definedName>
    <definedName name="namoutq" localSheetId="16">#REF!</definedName>
    <definedName name="namoutq">#REF!</definedName>
    <definedName name="namprofit" localSheetId="63">[5]C!$O$1:$Z$1</definedName>
    <definedName name="namprofit" localSheetId="51">[6]C!$O$1:$Z$1</definedName>
    <definedName name="namprofit">[24]C!$O$1:$Z$1</definedName>
    <definedName name="namq" localSheetId="63">#REF!</definedName>
    <definedName name="namq" localSheetId="1">#REF!</definedName>
    <definedName name="namq" localSheetId="57">#REF!</definedName>
    <definedName name="namq" localSheetId="59">#REF!</definedName>
    <definedName name="namq" localSheetId="61">#REF!</definedName>
    <definedName name="namq" localSheetId="60">#REF!</definedName>
    <definedName name="namq" localSheetId="16">#REF!</definedName>
    <definedName name="namq">#REF!</definedName>
    <definedName name="namq1" localSheetId="63">#REF!</definedName>
    <definedName name="namq1" localSheetId="1">#REF!</definedName>
    <definedName name="namq1" localSheetId="57">#REF!</definedName>
    <definedName name="namq1" localSheetId="59">#REF!</definedName>
    <definedName name="namq1" localSheetId="61">#REF!</definedName>
    <definedName name="namq1" localSheetId="60">#REF!</definedName>
    <definedName name="namq1" localSheetId="16">#REF!</definedName>
    <definedName name="namq1">#REF!</definedName>
    <definedName name="namq2" localSheetId="63">#REF!</definedName>
    <definedName name="namq2" localSheetId="1">#REF!</definedName>
    <definedName name="namq2" localSheetId="57">#REF!</definedName>
    <definedName name="namq2" localSheetId="59">#REF!</definedName>
    <definedName name="namq2" localSheetId="61">#REF!</definedName>
    <definedName name="namq2" localSheetId="60">#REF!</definedName>
    <definedName name="namq2" localSheetId="16">#REF!</definedName>
    <definedName name="namq2">#REF!</definedName>
    <definedName name="namreer" localSheetId="63">[5]REER!$AY$143:$BF$143</definedName>
    <definedName name="namreer" localSheetId="51">[6]REER!$AY$143:$BF$143</definedName>
    <definedName name="namreer">[24]REER!$AY$143:$BF$143</definedName>
    <definedName name="namsgdp" localSheetId="63">#REF!</definedName>
    <definedName name="namsgdp" localSheetId="1">#REF!</definedName>
    <definedName name="namsgdp" localSheetId="57">#REF!</definedName>
    <definedName name="namsgdp" localSheetId="59">#REF!</definedName>
    <definedName name="namsgdp" localSheetId="61">#REF!</definedName>
    <definedName name="namsgdp" localSheetId="60">#REF!</definedName>
    <definedName name="namsgdp" localSheetId="16">#REF!</definedName>
    <definedName name="namsgdp">#REF!</definedName>
    <definedName name="namtin" localSheetId="63">#REF!</definedName>
    <definedName name="namtin" localSheetId="1">#REF!</definedName>
    <definedName name="namtin" localSheetId="57">#REF!</definedName>
    <definedName name="namtin" localSheetId="59">#REF!</definedName>
    <definedName name="namtin" localSheetId="61">#REF!</definedName>
    <definedName name="namtin" localSheetId="60">#REF!</definedName>
    <definedName name="namtin" localSheetId="16">#REF!</definedName>
    <definedName name="namtin">#REF!</definedName>
    <definedName name="namtout" localSheetId="63">#REF!</definedName>
    <definedName name="namtout" localSheetId="1">#REF!</definedName>
    <definedName name="namtout" localSheetId="57">#REF!</definedName>
    <definedName name="namtout" localSheetId="59">#REF!</definedName>
    <definedName name="namtout" localSheetId="61">#REF!</definedName>
    <definedName name="namtout" localSheetId="60">#REF!</definedName>
    <definedName name="namtout" localSheetId="16">#REF!</definedName>
    <definedName name="namtout">#REF!</definedName>
    <definedName name="namulc" localSheetId="63">[5]REER!$BI$1:$BP$1</definedName>
    <definedName name="namulc" localSheetId="51">[6]REER!$BI$1:$BP$1</definedName>
    <definedName name="namulc">[24]REER!$BI$1:$BP$1</definedName>
    <definedName name="_xlnm.Print_Titles" localSheetId="63">#REF!,#REF!</definedName>
    <definedName name="_xlnm.Print_Titles" localSheetId="1">#REF!,#REF!</definedName>
    <definedName name="_xlnm.Print_Titles" localSheetId="57">#REF!,#REF!</definedName>
    <definedName name="_xlnm.Print_Titles" localSheetId="59">#REF!,#REF!</definedName>
    <definedName name="_xlnm.Print_Titles" localSheetId="61">#REF!,#REF!</definedName>
    <definedName name="_xlnm.Print_Titles" localSheetId="60">#REF!,#REF!</definedName>
    <definedName name="_xlnm.Print_Titles" localSheetId="16">#REF!,#REF!</definedName>
    <definedName name="_xlnm.Print_Titles">#REF!,#REF!</definedName>
    <definedName name="NCG">#N/A</definedName>
    <definedName name="NCG_R">#N/A</definedName>
    <definedName name="NCP">#N/A</definedName>
    <definedName name="NCP_R">#N/A</definedName>
    <definedName name="NCZD" localSheetId="63">[32]Graf14_Graf15!#REF!</definedName>
    <definedName name="NCZD" localSheetId="57">[32]Graf14_Graf15!#REF!</definedName>
    <definedName name="NCZD" localSheetId="59">[32]Graf14_Graf15!#REF!</definedName>
    <definedName name="NCZD" localSheetId="61">[32]Graf14_Graf15!#REF!</definedName>
    <definedName name="NCZD" localSheetId="60">[32]Graf14_Graf15!#REF!</definedName>
    <definedName name="NCZD" localSheetId="16">[32]Graf14_Graf15!#REF!</definedName>
    <definedName name="NCZD">[32]Graf14_Graf15!#REF!</definedName>
    <definedName name="NCZD_2" localSheetId="63">[32]Graf14_Graf15!#REF!</definedName>
    <definedName name="NCZD_2" localSheetId="57">[32]Graf14_Graf15!#REF!</definedName>
    <definedName name="NCZD_2" localSheetId="59">[32]Graf14_Graf15!#REF!</definedName>
    <definedName name="NCZD_2" localSheetId="61">[32]Graf14_Graf15!#REF!</definedName>
    <definedName name="NCZD_2" localSheetId="60">[32]Graf14_Graf15!#REF!</definedName>
    <definedName name="NCZD_2" localSheetId="16">[32]Graf14_Graf15!#REF!</definedName>
    <definedName name="NCZD_2">[32]Graf14_Graf15!#REF!</definedName>
    <definedName name="NEER" localSheetId="63">[5]REER!$AY$144:$AY$206</definedName>
    <definedName name="NEER" localSheetId="51">[6]REER!$AY$144:$AY$206</definedName>
    <definedName name="NEER">[24]REER!$AY$144:$AY$206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DPA" localSheetId="63">#REF!</definedName>
    <definedName name="NGDPA" localSheetId="1">#REF!</definedName>
    <definedName name="NGDPA" localSheetId="57">#REF!</definedName>
    <definedName name="NGDPA" localSheetId="59">#REF!</definedName>
    <definedName name="NGDPA" localSheetId="61">#REF!</definedName>
    <definedName name="NGDPA" localSheetId="60">#REF!</definedName>
    <definedName name="NGDPA" localSheetId="16">#REF!</definedName>
    <definedName name="NGDPA">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n" localSheetId="63" hidden="1">{"Riqfin97",#N/A,FALSE,"Tran";"Riqfinpro",#N/A,FALSE,"Tran"}</definedName>
    <definedName name="nn" localSheetId="41" hidden="1">{"Riqfin97",#N/A,FALSE,"Tran";"Riqfinpro",#N/A,FALSE,"Tran"}</definedName>
    <definedName name="nn" localSheetId="50" hidden="1">{"Riqfin97",#N/A,FALSE,"Tran";"Riqfinpro",#N/A,FALSE,"Tran"}</definedName>
    <definedName name="nn" localSheetId="51" hidden="1">{"Riqfin97",#N/A,FALSE,"Tran";"Riqfinpro",#N/A,FALSE,"Tran"}</definedName>
    <definedName name="nn" hidden="1">{"Riqfin97",#N/A,FALSE,"Tran";"Riqfinpro",#N/A,FALSE,"Tran"}</definedName>
    <definedName name="nnn" localSheetId="63" hidden="1">{"Tab1",#N/A,FALSE,"P";"Tab2",#N/A,FALSE,"P"}</definedName>
    <definedName name="nnn" localSheetId="41" hidden="1">{"Tab1",#N/A,FALSE,"P";"Tab2",#N/A,FALSE,"P"}</definedName>
    <definedName name="nnn" localSheetId="50" hidden="1">{"Tab1",#N/A,FALSE,"P";"Tab2",#N/A,FALSE,"P"}</definedName>
    <definedName name="nnn" localSheetId="51" hidden="1">{"Tab1",#N/A,FALSE,"P";"Tab2",#N/A,FALSE,"P"}</definedName>
    <definedName name="nnn" hidden="1">{"Tab1",#N/A,FALSE,"P";"Tab2",#N/A,FALSE,"P"}</definedName>
    <definedName name="NOMINAL" localSheetId="63">#REF!</definedName>
    <definedName name="NOMINAL" localSheetId="1">#REF!</definedName>
    <definedName name="NOMINAL" localSheetId="57">#REF!</definedName>
    <definedName name="NOMINAL" localSheetId="59">#REF!</definedName>
    <definedName name="NOMINAL" localSheetId="61">#REF!</definedName>
    <definedName name="NOMINAL" localSheetId="60">#REF!</definedName>
    <definedName name="NOMINAL" localSheetId="16">#REF!</definedName>
    <definedName name="NOMINAL">#REF!</definedName>
    <definedName name="NPee_2" localSheetId="63">[32]Graf14_Graf15!#REF!</definedName>
    <definedName name="NPee_2" localSheetId="57">[32]Graf14_Graf15!#REF!</definedName>
    <definedName name="NPee_2" localSheetId="59">[32]Graf14_Graf15!#REF!</definedName>
    <definedName name="NPee_2" localSheetId="61">[32]Graf14_Graf15!#REF!</definedName>
    <definedName name="NPee_2" localSheetId="60">[32]Graf14_Graf15!#REF!</definedName>
    <definedName name="NPee_2" localSheetId="16">[32]Graf14_Graf15!#REF!</definedName>
    <definedName name="NPee_2">[32]Graf14_Graf15!#REF!</definedName>
    <definedName name="NPer_2" localSheetId="63">[32]Graf14_Graf15!#REF!</definedName>
    <definedName name="NPer_2" localSheetId="57">[32]Graf14_Graf15!#REF!</definedName>
    <definedName name="NPer_2" localSheetId="59">[32]Graf14_Graf15!#REF!</definedName>
    <definedName name="NPer_2" localSheetId="61">[32]Graf14_Graf15!#REF!</definedName>
    <definedName name="NPer_2" localSheetId="60">[32]Graf14_Graf15!#REF!</definedName>
    <definedName name="NPer_2" localSheetId="16">[32]Graf14_Graf15!#REF!</definedName>
    <definedName name="NPer_2">[32]Graf14_Graf15!#REF!</definedName>
    <definedName name="NTDD_RG" localSheetId="63">#N/A</definedName>
    <definedName name="NTDD_RG" localSheetId="51">'Graf 47'!NTDD_RG</definedName>
    <definedName name="NTDD_RG">[25]!NTDD_RG</definedName>
    <definedName name="NX">#N/A</definedName>
    <definedName name="NX_R">#N/A</definedName>
    <definedName name="NXG_RG">#N/A</definedName>
    <definedName name="_xlnm.Print_Area">#N/A</definedName>
    <definedName name="Odh" localSheetId="63">#REF!</definedName>
    <definedName name="Odh" localSheetId="1">#REF!</definedName>
    <definedName name="Odh" localSheetId="57">#REF!</definedName>
    <definedName name="Odh" localSheetId="59">#REF!</definedName>
    <definedName name="Odh" localSheetId="61">#REF!</definedName>
    <definedName name="Odh" localSheetId="60">#REF!</definedName>
    <definedName name="Odh" localSheetId="16">#REF!</definedName>
    <definedName name="Odh">#REF!</definedName>
    <definedName name="oliu" localSheetId="41" hidden="1">{"WEO",#N/A,FALSE,"T"}</definedName>
    <definedName name="oliu" hidden="1">{"WEO",#N/A,FALSE,"T"}</definedName>
    <definedName name="oo" localSheetId="63" hidden="1">{"Riqfin97",#N/A,FALSE,"Tran";"Riqfinpro",#N/A,FALSE,"Tran"}</definedName>
    <definedName name="oo" localSheetId="41" hidden="1">{"Riqfin97",#N/A,FALSE,"Tran";"Riqfinpro",#N/A,FALSE,"Tran"}</definedName>
    <definedName name="oo" localSheetId="50" hidden="1">{"Riqfin97",#N/A,FALSE,"Tran";"Riqfinpro",#N/A,FALSE,"Tran"}</definedName>
    <definedName name="oo" localSheetId="51" hidden="1">{"Riqfin97",#N/A,FALSE,"Tran";"Riqfinpro",#N/A,FALSE,"Tran"}</definedName>
    <definedName name="oo" hidden="1">{"Riqfin97",#N/A,FALSE,"Tran";"Riqfinpro",#N/A,FALSE,"Tran"}</definedName>
    <definedName name="ooo" localSheetId="63" hidden="1">{"Tab1",#N/A,FALSE,"P";"Tab2",#N/A,FALSE,"P"}</definedName>
    <definedName name="ooo" localSheetId="41" hidden="1">{"Tab1",#N/A,FALSE,"P";"Tab2",#N/A,FALSE,"P"}</definedName>
    <definedName name="ooo" localSheetId="50" hidden="1">{"Tab1",#N/A,FALSE,"P";"Tab2",#N/A,FALSE,"P"}</definedName>
    <definedName name="ooo" localSheetId="51" hidden="1">{"Tab1",#N/A,FALSE,"P";"Tab2",#N/A,FALSE,"P"}</definedName>
    <definedName name="ooo" hidden="1">{"Tab1",#N/A,FALSE,"P";"Tab2",#N/A,FALSE,"P"}</definedName>
    <definedName name="OS2015_new" localSheetId="63">#REF!</definedName>
    <definedName name="OS2015_new" localSheetId="57">#REF!</definedName>
    <definedName name="OS2015_new" localSheetId="59">#REF!</definedName>
    <definedName name="OS2015_new" localSheetId="61">#REF!</definedName>
    <definedName name="OS2015_new" localSheetId="60">#REF!</definedName>
    <definedName name="OS2015_new" localSheetId="16">#REF!</definedName>
    <definedName name="OS2015_new">#REF!</definedName>
    <definedName name="other" localSheetId="63">#REF!</definedName>
    <definedName name="other" localSheetId="1">#REF!</definedName>
    <definedName name="other" localSheetId="51">#REF!</definedName>
    <definedName name="other" localSheetId="57">#REF!</definedName>
    <definedName name="other" localSheetId="59">#REF!</definedName>
    <definedName name="other" localSheetId="61">#REF!</definedName>
    <definedName name="other" localSheetId="60">#REF!</definedName>
    <definedName name="other" localSheetId="16">#REF!</definedName>
    <definedName name="other">#REF!</definedName>
    <definedName name="Otras_Residuales" localSheetId="63">#REF!</definedName>
    <definedName name="Otras_Residuales" localSheetId="1">#REF!</definedName>
    <definedName name="Otras_Residuales" localSheetId="57">#REF!</definedName>
    <definedName name="Otras_Residuales" localSheetId="59">#REF!</definedName>
    <definedName name="Otras_Residuales" localSheetId="61">#REF!</definedName>
    <definedName name="Otras_Residuales" localSheetId="60">#REF!</definedName>
    <definedName name="Otras_Residuales" localSheetId="16">#REF!</definedName>
    <definedName name="Otras_Residuales">#REF!</definedName>
    <definedName name="out">[67]output!$A$3:$P$128</definedName>
    <definedName name="OUTB" localSheetId="63">[33]B!$D$6:$H$6</definedName>
    <definedName name="OUTB" localSheetId="51">[34]B!$D$6:$H$6</definedName>
    <definedName name="OUTB">[35]B!$D$6:$H$6</definedName>
    <definedName name="outc" localSheetId="63">[33]C!$C$6:$D$6</definedName>
    <definedName name="outc" localSheetId="51">[34]C!$C$6:$D$6</definedName>
    <definedName name="outc">[35]C!$C$6:$D$6</definedName>
    <definedName name="output" localSheetId="63">#REF!</definedName>
    <definedName name="output" localSheetId="1">#REF!</definedName>
    <definedName name="output" localSheetId="57">#REF!</definedName>
    <definedName name="output" localSheetId="59">#REF!</definedName>
    <definedName name="output" localSheetId="61">#REF!</definedName>
    <definedName name="output" localSheetId="60">#REF!</definedName>
    <definedName name="output" localSheetId="16">#REF!</definedName>
    <definedName name="output">#REF!</definedName>
    <definedName name="output_projections">[68]projections!$A$3:$R$108</definedName>
    <definedName name="output1">[29]output!$A$1:$J$122</definedName>
    <definedName name="p" localSheetId="63" hidden="1">{"Riqfin97",#N/A,FALSE,"Tran";"Riqfinpro",#N/A,FALSE,"Tran"}</definedName>
    <definedName name="p" localSheetId="41" hidden="1">{"Riqfin97",#N/A,FALSE,"Tran";"Riqfinpro",#N/A,FALSE,"Tran"}</definedName>
    <definedName name="p" localSheetId="50" hidden="1">{"Riqfin97",#N/A,FALSE,"Tran";"Riqfinpro",#N/A,FALSE,"Tran"}</definedName>
    <definedName name="p" localSheetId="51" hidden="1">{"Riqfin97",#N/A,FALSE,"Tran";"Riqfinpro",#N/A,FALSE,"Tran"}</definedName>
    <definedName name="p" hidden="1">{"Riqfin97",#N/A,FALSE,"Tran";"Riqfinpro",#N/A,FALSE,"Tran"}</definedName>
    <definedName name="Page_4" localSheetId="63">#REF!</definedName>
    <definedName name="Page_4" localSheetId="1">#REF!</definedName>
    <definedName name="Page_4" localSheetId="51">#REF!</definedName>
    <definedName name="Page_4" localSheetId="57">#REF!</definedName>
    <definedName name="Page_4" localSheetId="59">#REF!</definedName>
    <definedName name="Page_4" localSheetId="61">#REF!</definedName>
    <definedName name="Page_4" localSheetId="60">#REF!</definedName>
    <definedName name="Page_4" localSheetId="16">#REF!</definedName>
    <definedName name="Page_4">#REF!</definedName>
    <definedName name="page2" localSheetId="63">#REF!</definedName>
    <definedName name="page2" localSheetId="1">#REF!</definedName>
    <definedName name="page2" localSheetId="51">#REF!</definedName>
    <definedName name="page2" localSheetId="57">#REF!</definedName>
    <definedName name="page2" localSheetId="59">#REF!</definedName>
    <definedName name="page2" localSheetId="61">#REF!</definedName>
    <definedName name="page2" localSheetId="60">#REF!</definedName>
    <definedName name="page2" localSheetId="16">#REF!</definedName>
    <definedName name="page2">#REF!</definedName>
    <definedName name="pata" localSheetId="63" hidden="1">{"Tab1",#N/A,FALSE,"P";"Tab2",#N/A,FALSE,"P"}</definedName>
    <definedName name="pata" localSheetId="41" hidden="1">{"Tab1",#N/A,FALSE,"P";"Tab2",#N/A,FALSE,"P"}</definedName>
    <definedName name="pata" localSheetId="50" hidden="1">{"Tab1",#N/A,FALSE,"P";"Tab2",#N/A,FALSE,"P"}</definedName>
    <definedName name="pata" localSheetId="51" hidden="1">{"Tab1",#N/A,FALSE,"P";"Tab2",#N/A,FALSE,"P"}</definedName>
    <definedName name="pata" hidden="1">{"Tab1",#N/A,FALSE,"P";"Tab2",#N/A,FALSE,"P"}</definedName>
    <definedName name="PCPIG">#N/A</definedName>
    <definedName name="Petroecuador" localSheetId="63">#REF!</definedName>
    <definedName name="Petroecuador" localSheetId="1">#REF!</definedName>
    <definedName name="Petroecuador" localSheetId="57">#REF!</definedName>
    <definedName name="Petroecuador" localSheetId="59">#REF!</definedName>
    <definedName name="Petroecuador" localSheetId="61">#REF!</definedName>
    <definedName name="Petroecuador" localSheetId="60">#REF!</definedName>
    <definedName name="Petroecuador" localSheetId="16">#REF!</definedName>
    <definedName name="Petroecuador">#REF!</definedName>
    <definedName name="pchar00memu.m" localSheetId="63">[38]monthly!#REF!</definedName>
    <definedName name="pchar00memu.m" localSheetId="1">[39]monthly!#REF!</definedName>
    <definedName name="pchar00memu.m" localSheetId="51">[40]monthly!#REF!</definedName>
    <definedName name="pchar00memu.m" localSheetId="57">[39]monthly!#REF!</definedName>
    <definedName name="pchar00memu.m" localSheetId="59">[39]monthly!#REF!</definedName>
    <definedName name="pchar00memu.m" localSheetId="61">[39]monthly!#REF!</definedName>
    <definedName name="pchar00memu.m" localSheetId="60">[39]monthly!#REF!</definedName>
    <definedName name="pchar00memu.m" localSheetId="16">[39]monthly!#REF!</definedName>
    <definedName name="pchar00memu.m">[39]monthly!#REF!</definedName>
    <definedName name="podatki" localSheetId="63">#REF!</definedName>
    <definedName name="podatki" localSheetId="1">#REF!</definedName>
    <definedName name="podatki" localSheetId="57">#REF!</definedName>
    <definedName name="podatki" localSheetId="59">#REF!</definedName>
    <definedName name="podatki" localSheetId="61">#REF!</definedName>
    <definedName name="podatki" localSheetId="60">#REF!</definedName>
    <definedName name="podatki" localSheetId="16">#REF!</definedName>
    <definedName name="podatki">#REF!</definedName>
    <definedName name="Ports" localSheetId="63">#REF!</definedName>
    <definedName name="Ports" localSheetId="1">#REF!</definedName>
    <definedName name="Ports" localSheetId="57">#REF!</definedName>
    <definedName name="Ports" localSheetId="59">#REF!</definedName>
    <definedName name="Ports" localSheetId="61">#REF!</definedName>
    <definedName name="Ports" localSheetId="60">#REF!</definedName>
    <definedName name="Ports" localSheetId="16">#REF!</definedName>
    <definedName name="Ports">#REF!</definedName>
    <definedName name="pp" localSheetId="63" hidden="1">{"Riqfin97",#N/A,FALSE,"Tran";"Riqfinpro",#N/A,FALSE,"Tran"}</definedName>
    <definedName name="pp" localSheetId="41" hidden="1">{"Riqfin97",#N/A,FALSE,"Tran";"Riqfinpro",#N/A,FALSE,"Tran"}</definedName>
    <definedName name="pp" localSheetId="50" hidden="1">{"Riqfin97",#N/A,FALSE,"Tran";"Riqfinpro",#N/A,FALSE,"Tran"}</definedName>
    <definedName name="pp" localSheetId="51" hidden="1">{"Riqfin97",#N/A,FALSE,"Tran";"Riqfinpro",#N/A,FALSE,"Tran"}</definedName>
    <definedName name="pp" hidden="1">{"Riqfin97",#N/A,FALSE,"Tran";"Riqfinpro",#N/A,FALSE,"Tran"}</definedName>
    <definedName name="ppp" localSheetId="63" hidden="1">{"Riqfin97",#N/A,FALSE,"Tran";"Riqfinpro",#N/A,FALSE,"Tran"}</definedName>
    <definedName name="ppp" localSheetId="41" hidden="1">{"Riqfin97",#N/A,FALSE,"Tran";"Riqfinpro",#N/A,FALSE,"Tran"}</definedName>
    <definedName name="ppp" localSheetId="50" hidden="1">{"Riqfin97",#N/A,FALSE,"Tran";"Riqfinpro",#N/A,FALSE,"Tran"}</definedName>
    <definedName name="ppp" localSheetId="51" hidden="1">{"Riqfin97",#N/A,FALSE,"Tran";"Riqfinpro",#N/A,FALSE,"Tran"}</definedName>
    <definedName name="ppp" hidden="1">{"Riqfin97",#N/A,FALSE,"Tran";"Riqfinpro",#N/A,FALSE,"Tran"}</definedName>
    <definedName name="PPPWGT">#N/A</definedName>
    <definedName name="pri" localSheetId="63">#REF!</definedName>
    <definedName name="pri" localSheetId="1">#REF!</definedName>
    <definedName name="pri" localSheetId="57">#REF!</definedName>
    <definedName name="pri" localSheetId="59">#REF!</definedName>
    <definedName name="pri" localSheetId="61">#REF!</definedName>
    <definedName name="pri" localSheetId="60">#REF!</definedName>
    <definedName name="pri" localSheetId="16">#REF!</definedName>
    <definedName name="pri">#REF!</definedName>
    <definedName name="Print" localSheetId="63">#REF!</definedName>
    <definedName name="Print" localSheetId="1">#REF!</definedName>
    <definedName name="Print" localSheetId="51">#REF!</definedName>
    <definedName name="Print" localSheetId="57">#REF!</definedName>
    <definedName name="Print" localSheetId="59">#REF!</definedName>
    <definedName name="Print" localSheetId="61">#REF!</definedName>
    <definedName name="Print" localSheetId="60">#REF!</definedName>
    <definedName name="Print" localSheetId="16">#REF!</definedName>
    <definedName name="Print">#REF!</definedName>
    <definedName name="PRINT1" localSheetId="63">[69]Index!#REF!</definedName>
    <definedName name="PRINT1" localSheetId="1">[69]Index!#REF!</definedName>
    <definedName name="PRINT1" localSheetId="51">[69]Index!#REF!</definedName>
    <definedName name="PRINT1" localSheetId="57">[69]Index!#REF!</definedName>
    <definedName name="PRINT1" localSheetId="59">[69]Index!#REF!</definedName>
    <definedName name="PRINT1" localSheetId="61">[69]Index!#REF!</definedName>
    <definedName name="PRINT1" localSheetId="60">[69]Index!#REF!</definedName>
    <definedName name="PRINT1" localSheetId="16">[69]Index!#REF!</definedName>
    <definedName name="PRINT1">[69]Index!#REF!</definedName>
    <definedName name="PRINT2" localSheetId="63">[69]Index!#REF!</definedName>
    <definedName name="PRINT2" localSheetId="1">[69]Index!#REF!</definedName>
    <definedName name="PRINT2" localSheetId="51">[69]Index!#REF!</definedName>
    <definedName name="PRINT2" localSheetId="57">[69]Index!#REF!</definedName>
    <definedName name="PRINT2" localSheetId="59">[69]Index!#REF!</definedName>
    <definedName name="PRINT2" localSheetId="61">[69]Index!#REF!</definedName>
    <definedName name="PRINT2" localSheetId="60">[69]Index!#REF!</definedName>
    <definedName name="PRINT2" localSheetId="16">[69]Index!#REF!</definedName>
    <definedName name="PRINT2">[69]Index!#REF!</definedName>
    <definedName name="PRINT3" localSheetId="63">[69]Index!#REF!</definedName>
    <definedName name="PRINT3" localSheetId="1">[69]Index!#REF!</definedName>
    <definedName name="PRINT3" localSheetId="51">[69]Index!#REF!</definedName>
    <definedName name="PRINT3" localSheetId="57">[69]Index!#REF!</definedName>
    <definedName name="PRINT3" localSheetId="59">[69]Index!#REF!</definedName>
    <definedName name="PRINT3" localSheetId="61">[69]Index!#REF!</definedName>
    <definedName name="PRINT3" localSheetId="60">[69]Index!#REF!</definedName>
    <definedName name="PRINT3" localSheetId="16">[69]Index!#REF!</definedName>
    <definedName name="PRINT3">[69]Index!#REF!</definedName>
    <definedName name="PrintThis_Links">[56]Links!$A$1:$F$33</definedName>
    <definedName name="profit" localSheetId="63">[5]C!$O$1:$T$1</definedName>
    <definedName name="profit" localSheetId="51">[6]C!$O$1:$T$1</definedName>
    <definedName name="profit">[24]C!$O$1:$T$1</definedName>
    <definedName name="prorač" localSheetId="63">[70]Prorač!$1:$1048576</definedName>
    <definedName name="prorač">[70]Prorač!$A:$IV</definedName>
    <definedName name="PvNee_2" localSheetId="63">[32]Graf14_Graf15!#REF!</definedName>
    <definedName name="PvNee_2" localSheetId="57">[32]Graf14_Graf15!#REF!</definedName>
    <definedName name="PvNee_2" localSheetId="59">[32]Graf14_Graf15!#REF!</definedName>
    <definedName name="PvNee_2" localSheetId="61">[32]Graf14_Graf15!#REF!</definedName>
    <definedName name="PvNee_2" localSheetId="60">[32]Graf14_Graf15!#REF!</definedName>
    <definedName name="PvNee_2" localSheetId="16">[32]Graf14_Graf15!#REF!</definedName>
    <definedName name="PvNee_2">[32]Graf14_Graf15!#REF!</definedName>
    <definedName name="PvNer_2" localSheetId="63">[32]Graf14_Graf15!#REF!</definedName>
    <definedName name="PvNer_2" localSheetId="57">[32]Graf14_Graf15!#REF!</definedName>
    <definedName name="PvNer_2" localSheetId="59">[32]Graf14_Graf15!#REF!</definedName>
    <definedName name="PvNer_2" localSheetId="61">[32]Graf14_Graf15!#REF!</definedName>
    <definedName name="PvNer_2" localSheetId="60">[32]Graf14_Graf15!#REF!</definedName>
    <definedName name="PvNer_2" localSheetId="16">[32]Graf14_Graf15!#REF!</definedName>
    <definedName name="PvNer_2">[32]Graf14_Graf15!#REF!</definedName>
    <definedName name="Q6_" localSheetId="63">#REF!</definedName>
    <definedName name="Q6_" localSheetId="1">#REF!</definedName>
    <definedName name="Q6_" localSheetId="57">#REF!</definedName>
    <definedName name="Q6_" localSheetId="59">#REF!</definedName>
    <definedName name="Q6_" localSheetId="61">#REF!</definedName>
    <definedName name="Q6_" localSheetId="60">#REF!</definedName>
    <definedName name="Q6_" localSheetId="16">#REF!</definedName>
    <definedName name="Q6_">#REF!</definedName>
    <definedName name="QFISCAL" localSheetId="63">'[3]Quarterly Raw Data'!#REF!</definedName>
    <definedName name="QFISCAL" localSheetId="1">'[3]Quarterly Raw Data'!#REF!</definedName>
    <definedName name="QFISCAL" localSheetId="51">'[3]Quarterly Raw Data'!#REF!</definedName>
    <definedName name="QFISCAL" localSheetId="57">'[3]Quarterly Raw Data'!#REF!</definedName>
    <definedName name="QFISCAL" localSheetId="59">'[3]Quarterly Raw Data'!#REF!</definedName>
    <definedName name="QFISCAL" localSheetId="61">'[3]Quarterly Raw Data'!#REF!</definedName>
    <definedName name="QFISCAL" localSheetId="60">'[3]Quarterly Raw Data'!#REF!</definedName>
    <definedName name="QFISCAL" localSheetId="16">'[3]Quarterly Raw Data'!#REF!</definedName>
    <definedName name="QFISCAL">'[3]Quarterly Raw Data'!#REF!</definedName>
    <definedName name="qq" localSheetId="63" hidden="1">'[62]J(Priv.Cap)'!#REF!</definedName>
    <definedName name="qq" localSheetId="1" hidden="1">'[62]J(Priv.Cap)'!#REF!</definedName>
    <definedName name="qq" localSheetId="50" hidden="1">'[62]J(Priv.Cap)'!#REF!</definedName>
    <definedName name="qq" localSheetId="51" hidden="1">'[62]J(Priv.Cap)'!#REF!</definedName>
    <definedName name="qq" localSheetId="57" hidden="1">'[62]J(Priv.Cap)'!#REF!</definedName>
    <definedName name="qq" localSheetId="59" hidden="1">'[62]J(Priv.Cap)'!#REF!</definedName>
    <definedName name="qq" localSheetId="61" hidden="1">'[62]J(Priv.Cap)'!#REF!</definedName>
    <definedName name="qq" localSheetId="60" hidden="1">'[62]J(Priv.Cap)'!#REF!</definedName>
    <definedName name="qq" localSheetId="16" hidden="1">'[62]J(Priv.Cap)'!#REF!</definedName>
    <definedName name="qq" hidden="1">'[62]J(Priv.Cap)'!#REF!</definedName>
    <definedName name="qtab_35" localSheetId="63">'[71]i1-CA'!#REF!</definedName>
    <definedName name="qtab_35" localSheetId="1">'[71]i1-CA'!#REF!</definedName>
    <definedName name="qtab_35" localSheetId="51">'[71]i1-CA'!#REF!</definedName>
    <definedName name="qtab_35" localSheetId="57">'[71]i1-CA'!#REF!</definedName>
    <definedName name="qtab_35" localSheetId="59">'[71]i1-CA'!#REF!</definedName>
    <definedName name="qtab_35" localSheetId="61">'[71]i1-CA'!#REF!</definedName>
    <definedName name="qtab_35" localSheetId="60">'[71]i1-CA'!#REF!</definedName>
    <definedName name="qtab_35" localSheetId="16">'[71]i1-CA'!#REF!</definedName>
    <definedName name="qtab_35">'[71]i1-CA'!#REF!</definedName>
    <definedName name="QTAB7" localSheetId="63">'[3]Quarterly MacroFlow'!#REF!</definedName>
    <definedName name="QTAB7" localSheetId="1">'[3]Quarterly MacroFlow'!#REF!</definedName>
    <definedName name="QTAB7" localSheetId="51">'[3]Quarterly MacroFlow'!#REF!</definedName>
    <definedName name="QTAB7" localSheetId="57">'[3]Quarterly MacroFlow'!#REF!</definedName>
    <definedName name="QTAB7" localSheetId="59">'[3]Quarterly MacroFlow'!#REF!</definedName>
    <definedName name="QTAB7" localSheetId="61">'[3]Quarterly MacroFlow'!#REF!</definedName>
    <definedName name="QTAB7" localSheetId="60">'[3]Quarterly MacroFlow'!#REF!</definedName>
    <definedName name="QTAB7" localSheetId="16">'[3]Quarterly MacroFlow'!#REF!</definedName>
    <definedName name="QTAB7">'[3]Quarterly MacroFlow'!#REF!</definedName>
    <definedName name="QTAB7A" localSheetId="63">'[3]Quarterly MacroFlow'!#REF!</definedName>
    <definedName name="QTAB7A" localSheetId="1">'[3]Quarterly MacroFlow'!#REF!</definedName>
    <definedName name="QTAB7A" localSheetId="51">'[3]Quarterly MacroFlow'!#REF!</definedName>
    <definedName name="QTAB7A" localSheetId="57">'[3]Quarterly MacroFlow'!#REF!</definedName>
    <definedName name="QTAB7A" localSheetId="59">'[3]Quarterly MacroFlow'!#REF!</definedName>
    <definedName name="QTAB7A" localSheetId="61">'[3]Quarterly MacroFlow'!#REF!</definedName>
    <definedName name="QTAB7A" localSheetId="60">'[3]Quarterly MacroFlow'!#REF!</definedName>
    <definedName name="QTAB7A" localSheetId="16">'[3]Quarterly MacroFlow'!#REF!</definedName>
    <definedName name="QTAB7A">'[3]Quarterly MacroFlow'!#REF!</definedName>
    <definedName name="quest1" localSheetId="63">#REF!</definedName>
    <definedName name="quest1" localSheetId="1">#REF!</definedName>
    <definedName name="quest1" localSheetId="57">#REF!</definedName>
    <definedName name="quest1" localSheetId="59">#REF!</definedName>
    <definedName name="quest1" localSheetId="61">#REF!</definedName>
    <definedName name="quest1" localSheetId="60">#REF!</definedName>
    <definedName name="quest1" localSheetId="16">#REF!</definedName>
    <definedName name="quest1">#REF!</definedName>
    <definedName name="quest2" localSheetId="63">#REF!</definedName>
    <definedName name="quest2" localSheetId="1">#REF!</definedName>
    <definedName name="quest2" localSheetId="57">#REF!</definedName>
    <definedName name="quest2" localSheetId="59">#REF!</definedName>
    <definedName name="quest2" localSheetId="61">#REF!</definedName>
    <definedName name="quest2" localSheetId="60">#REF!</definedName>
    <definedName name="quest2" localSheetId="16">#REF!</definedName>
    <definedName name="quest2">#REF!</definedName>
    <definedName name="quest3" localSheetId="63">#REF!</definedName>
    <definedName name="quest3" localSheetId="1">#REF!</definedName>
    <definedName name="quest3" localSheetId="57">#REF!</definedName>
    <definedName name="quest3" localSheetId="59">#REF!</definedName>
    <definedName name="quest3" localSheetId="61">#REF!</definedName>
    <definedName name="quest3" localSheetId="60">#REF!</definedName>
    <definedName name="quest3" localSheetId="16">#REF!</definedName>
    <definedName name="quest3">#REF!</definedName>
    <definedName name="quest4" localSheetId="63">#REF!</definedName>
    <definedName name="quest4" localSheetId="1">#REF!</definedName>
    <definedName name="quest4" localSheetId="57">#REF!</definedName>
    <definedName name="quest4" localSheetId="59">#REF!</definedName>
    <definedName name="quest4" localSheetId="61">#REF!</definedName>
    <definedName name="quest4" localSheetId="60">#REF!</definedName>
    <definedName name="quest4" localSheetId="16">#REF!</definedName>
    <definedName name="quest4">#REF!</definedName>
    <definedName name="quest5" localSheetId="63">#REF!</definedName>
    <definedName name="quest5" localSheetId="1">#REF!</definedName>
    <definedName name="quest5" localSheetId="57">#REF!</definedName>
    <definedName name="quest5" localSheetId="59">#REF!</definedName>
    <definedName name="quest5" localSheetId="61">#REF!</definedName>
    <definedName name="quest5" localSheetId="60">#REF!</definedName>
    <definedName name="quest5" localSheetId="16">#REF!</definedName>
    <definedName name="quest5">#REF!</definedName>
    <definedName name="quest6" localSheetId="63">#REF!</definedName>
    <definedName name="quest6" localSheetId="1">#REF!</definedName>
    <definedName name="quest6" localSheetId="57">#REF!</definedName>
    <definedName name="quest6" localSheetId="59">#REF!</definedName>
    <definedName name="quest6" localSheetId="61">#REF!</definedName>
    <definedName name="quest6" localSheetId="60">#REF!</definedName>
    <definedName name="quest6" localSheetId="16">#REF!</definedName>
    <definedName name="quest6">#REF!</definedName>
    <definedName name="quest7" localSheetId="63">#REF!</definedName>
    <definedName name="quest7" localSheetId="1">#REF!</definedName>
    <definedName name="quest7" localSheetId="57">#REF!</definedName>
    <definedName name="quest7" localSheetId="59">#REF!</definedName>
    <definedName name="quest7" localSheetId="61">#REF!</definedName>
    <definedName name="quest7" localSheetId="60">#REF!</definedName>
    <definedName name="quest7" localSheetId="16">#REF!</definedName>
    <definedName name="quest7">#REF!</definedName>
    <definedName name="QW" localSheetId="63">#REF!</definedName>
    <definedName name="QW" localSheetId="1">#REF!</definedName>
    <definedName name="QW" localSheetId="57">#REF!</definedName>
    <definedName name="QW" localSheetId="59">#REF!</definedName>
    <definedName name="QW" localSheetId="61">#REF!</definedName>
    <definedName name="QW" localSheetId="60">#REF!</definedName>
    <definedName name="QW" localSheetId="16">#REF!</definedName>
    <definedName name="QW">#REF!</definedName>
    <definedName name="REAL" localSheetId="63">#REF!</definedName>
    <definedName name="REAL" localSheetId="1">#REF!</definedName>
    <definedName name="REAL" localSheetId="57">#REF!</definedName>
    <definedName name="REAL" localSheetId="59">#REF!</definedName>
    <definedName name="REAL" localSheetId="61">#REF!</definedName>
    <definedName name="REAL" localSheetId="60">#REF!</definedName>
    <definedName name="REAL" localSheetId="16">#REF!</definedName>
    <definedName name="REAL">#REF!</definedName>
    <definedName name="REALANNUAL" localSheetId="63">#REF!</definedName>
    <definedName name="REALANNUAL" localSheetId="1">#REF!</definedName>
    <definedName name="REALANNUAL" localSheetId="57">#REF!</definedName>
    <definedName name="REALANNUAL" localSheetId="59">#REF!</definedName>
    <definedName name="REALANNUAL" localSheetId="61">#REF!</definedName>
    <definedName name="REALANNUAL" localSheetId="60">#REF!</definedName>
    <definedName name="REALANNUAL" localSheetId="16">#REF!</definedName>
    <definedName name="REALANNUAL">#REF!</definedName>
    <definedName name="realizacia">[72]Sheet1!$A$1:$I$406</definedName>
    <definedName name="realizacija">[72]Sheet1!$A$1:$I$406</definedName>
    <definedName name="REALNACT" localSheetId="63">#REF!</definedName>
    <definedName name="REALNACT" localSheetId="1">#REF!</definedName>
    <definedName name="REALNACT" localSheetId="57">#REF!</definedName>
    <definedName name="REALNACT" localSheetId="59">#REF!</definedName>
    <definedName name="REALNACT" localSheetId="61">#REF!</definedName>
    <definedName name="REALNACT" localSheetId="60">#REF!</definedName>
    <definedName name="REALNACT" localSheetId="16">#REF!</definedName>
    <definedName name="REALNACT">#REF!</definedName>
    <definedName name="red_26" localSheetId="63">#REF!</definedName>
    <definedName name="red_26" localSheetId="1">#REF!</definedName>
    <definedName name="red_26" localSheetId="57">#REF!</definedName>
    <definedName name="red_26" localSheetId="59">#REF!</definedName>
    <definedName name="red_26" localSheetId="61">#REF!</definedName>
    <definedName name="red_26" localSheetId="60">#REF!</definedName>
    <definedName name="red_26" localSheetId="16">#REF!</definedName>
    <definedName name="red_26">#REF!</definedName>
    <definedName name="red_33" localSheetId="63">#REF!</definedName>
    <definedName name="red_33" localSheetId="1">#REF!</definedName>
    <definedName name="red_33" localSheetId="57">#REF!</definedName>
    <definedName name="red_33" localSheetId="59">#REF!</definedName>
    <definedName name="red_33" localSheetId="61">#REF!</definedName>
    <definedName name="red_33" localSheetId="60">#REF!</definedName>
    <definedName name="red_33" localSheetId="16">#REF!</definedName>
    <definedName name="red_33">#REF!</definedName>
    <definedName name="red_34" localSheetId="63">#REF!</definedName>
    <definedName name="red_34" localSheetId="1">#REF!</definedName>
    <definedName name="red_34" localSheetId="57">#REF!</definedName>
    <definedName name="red_34" localSheetId="59">#REF!</definedName>
    <definedName name="red_34" localSheetId="61">#REF!</definedName>
    <definedName name="red_34" localSheetId="60">#REF!</definedName>
    <definedName name="red_34" localSheetId="16">#REF!</definedName>
    <definedName name="red_34">#REF!</definedName>
    <definedName name="red_35" localSheetId="63">#REF!</definedName>
    <definedName name="red_35" localSheetId="1">#REF!</definedName>
    <definedName name="red_35" localSheetId="57">#REF!</definedName>
    <definedName name="red_35" localSheetId="59">#REF!</definedName>
    <definedName name="red_35" localSheetId="61">#REF!</definedName>
    <definedName name="red_35" localSheetId="60">#REF!</definedName>
    <definedName name="red_35" localSheetId="16">#REF!</definedName>
    <definedName name="red_35">#REF!</definedName>
    <definedName name="REDTbl3" localSheetId="63">#REF!</definedName>
    <definedName name="REDTbl3" localSheetId="1">#REF!</definedName>
    <definedName name="REDTbl3" localSheetId="57">#REF!</definedName>
    <definedName name="REDTbl3" localSheetId="59">#REF!</definedName>
    <definedName name="REDTbl3" localSheetId="61">#REF!</definedName>
    <definedName name="REDTbl3" localSheetId="60">#REF!</definedName>
    <definedName name="REDTbl3" localSheetId="16">#REF!</definedName>
    <definedName name="REDTbl3">#REF!</definedName>
    <definedName name="REDTbl4" localSheetId="63">#REF!</definedName>
    <definedName name="REDTbl4" localSheetId="1">#REF!</definedName>
    <definedName name="REDTbl4" localSheetId="57">#REF!</definedName>
    <definedName name="REDTbl4" localSheetId="59">#REF!</definedName>
    <definedName name="REDTbl4" localSheetId="61">#REF!</definedName>
    <definedName name="REDTbl4" localSheetId="60">#REF!</definedName>
    <definedName name="REDTbl4" localSheetId="16">#REF!</definedName>
    <definedName name="REDTbl4">#REF!</definedName>
    <definedName name="REDTbl5" localSheetId="63">#REF!</definedName>
    <definedName name="REDTbl5" localSheetId="1">#REF!</definedName>
    <definedName name="REDTbl5" localSheetId="57">#REF!</definedName>
    <definedName name="REDTbl5" localSheetId="59">#REF!</definedName>
    <definedName name="REDTbl5" localSheetId="61">#REF!</definedName>
    <definedName name="REDTbl5" localSheetId="60">#REF!</definedName>
    <definedName name="REDTbl5" localSheetId="16">#REF!</definedName>
    <definedName name="REDTbl5">#REF!</definedName>
    <definedName name="REDTbl6" localSheetId="63">#REF!</definedName>
    <definedName name="REDTbl6" localSheetId="1">#REF!</definedName>
    <definedName name="REDTbl6" localSheetId="57">#REF!</definedName>
    <definedName name="REDTbl6" localSheetId="59">#REF!</definedName>
    <definedName name="REDTbl6" localSheetId="61">#REF!</definedName>
    <definedName name="REDTbl6" localSheetId="60">#REF!</definedName>
    <definedName name="REDTbl6" localSheetId="16">#REF!</definedName>
    <definedName name="REDTbl6">#REF!</definedName>
    <definedName name="REDTbl7" localSheetId="63">#REF!</definedName>
    <definedName name="REDTbl7" localSheetId="1">#REF!</definedName>
    <definedName name="REDTbl7" localSheetId="57">#REF!</definedName>
    <definedName name="REDTbl7" localSheetId="59">#REF!</definedName>
    <definedName name="REDTbl7" localSheetId="61">#REF!</definedName>
    <definedName name="REDTbl7" localSheetId="60">#REF!</definedName>
    <definedName name="REDTbl7" localSheetId="16">#REF!</definedName>
    <definedName name="REDTbl7">#REF!</definedName>
    <definedName name="REERCPI" localSheetId="63">[5]REER!$AZ$144:$AZ$206</definedName>
    <definedName name="REERCPI" localSheetId="51">[6]REER!$AZ$144:$AZ$206</definedName>
    <definedName name="REERCPI">[24]REER!$AZ$144:$AZ$206</definedName>
    <definedName name="REERPPI" localSheetId="63">[5]REER!$BB$144:$BB$206</definedName>
    <definedName name="REERPPI" localSheetId="51">[6]REER!$BB$144:$BB$206</definedName>
    <definedName name="REERPPI">[24]REER!$BB$144:$BB$206</definedName>
    <definedName name="RefVintage">[36]readme!$B$4</definedName>
    <definedName name="REGISTERALL" localSheetId="63">#REF!</definedName>
    <definedName name="REGISTERALL" localSheetId="1">#REF!</definedName>
    <definedName name="REGISTERALL" localSheetId="57">#REF!</definedName>
    <definedName name="REGISTERALL" localSheetId="59">#REF!</definedName>
    <definedName name="REGISTERALL" localSheetId="61">#REF!</definedName>
    <definedName name="REGISTERALL" localSheetId="60">#REF!</definedName>
    <definedName name="REGISTERALL" localSheetId="16">#REF!</definedName>
    <definedName name="REGISTERALL">#REF!</definedName>
    <definedName name="RFSee_2" localSheetId="63">[32]Graf14_Graf15!#REF!</definedName>
    <definedName name="RFSee_2" localSheetId="57">[32]Graf14_Graf15!#REF!</definedName>
    <definedName name="RFSee_2" localSheetId="59">[32]Graf14_Graf15!#REF!</definedName>
    <definedName name="RFSee_2" localSheetId="61">[32]Graf14_Graf15!#REF!</definedName>
    <definedName name="RFSee_2" localSheetId="60">[32]Graf14_Graf15!#REF!</definedName>
    <definedName name="RFSee_2" localSheetId="16">[32]Graf14_Graf15!#REF!</definedName>
    <definedName name="RFSee_2">[32]Graf14_Graf15!#REF!</definedName>
    <definedName name="RFSer_2" localSheetId="63">[32]Graf14_Graf15!#REF!</definedName>
    <definedName name="RFSer_2" localSheetId="57">[32]Graf14_Graf15!#REF!</definedName>
    <definedName name="RFSer_2" localSheetId="59">[32]Graf14_Graf15!#REF!</definedName>
    <definedName name="RFSer_2" localSheetId="61">[32]Graf14_Graf15!#REF!</definedName>
    <definedName name="RFSer_2" localSheetId="60">[32]Graf14_Graf15!#REF!</definedName>
    <definedName name="RFSer_2" localSheetId="16">[32]Graf14_Graf15!#REF!</definedName>
    <definedName name="RFSer_2">[32]Graf14_Graf15!#REF!</definedName>
    <definedName name="RGDPA" localSheetId="63">#REF!</definedName>
    <definedName name="RGDPA" localSheetId="1">#REF!</definedName>
    <definedName name="RGDPA" localSheetId="57">#REF!</definedName>
    <definedName name="RGDPA" localSheetId="59">#REF!</definedName>
    <definedName name="RGDPA" localSheetId="61">#REF!</definedName>
    <definedName name="RGDPA" localSheetId="60">#REF!</definedName>
    <definedName name="RGDPA" localSheetId="16">#REF!</definedName>
    <definedName name="RGDPA">#REF!</definedName>
    <definedName name="RgFdPartCsource" localSheetId="63">#REF!</definedName>
    <definedName name="RgFdPartCsource" localSheetId="1">#REF!</definedName>
    <definedName name="RgFdPartCsource" localSheetId="51">#REF!</definedName>
    <definedName name="RgFdPartCsource" localSheetId="57">#REF!</definedName>
    <definedName name="RgFdPartCsource" localSheetId="59">#REF!</definedName>
    <definedName name="RgFdPartCsource" localSheetId="61">#REF!</definedName>
    <definedName name="RgFdPartCsource" localSheetId="60">#REF!</definedName>
    <definedName name="RgFdPartCsource" localSheetId="16">#REF!</definedName>
    <definedName name="RgFdPartCsource">#REF!</definedName>
    <definedName name="RgFdPartEseries" localSheetId="63">#REF!</definedName>
    <definedName name="RgFdPartEseries" localSheetId="1">#REF!</definedName>
    <definedName name="RgFdPartEseries" localSheetId="51">#REF!</definedName>
    <definedName name="RgFdPartEseries" localSheetId="57">#REF!</definedName>
    <definedName name="RgFdPartEseries" localSheetId="59">#REF!</definedName>
    <definedName name="RgFdPartEseries" localSheetId="61">#REF!</definedName>
    <definedName name="RgFdPartEseries" localSheetId="60">#REF!</definedName>
    <definedName name="RgFdPartEseries" localSheetId="16">#REF!</definedName>
    <definedName name="RgFdPartEseries">#REF!</definedName>
    <definedName name="RgFdPartEsource" localSheetId="63">#REF!</definedName>
    <definedName name="RgFdPartEsource" localSheetId="1">#REF!</definedName>
    <definedName name="RgFdPartEsource" localSheetId="51">#REF!</definedName>
    <definedName name="RgFdPartEsource" localSheetId="57">#REF!</definedName>
    <definedName name="RgFdPartEsource" localSheetId="59">#REF!</definedName>
    <definedName name="RgFdPartEsource" localSheetId="61">#REF!</definedName>
    <definedName name="RgFdPartEsource" localSheetId="60">#REF!</definedName>
    <definedName name="RgFdPartEsource" localSheetId="16">#REF!</definedName>
    <definedName name="RgFdPartEsource">#REF!</definedName>
    <definedName name="RgFdReptCSeries" localSheetId="63">#REF!</definedName>
    <definedName name="RgFdReptCSeries" localSheetId="1">#REF!</definedName>
    <definedName name="RgFdReptCSeries" localSheetId="51">#REF!</definedName>
    <definedName name="RgFdReptCSeries" localSheetId="57">#REF!</definedName>
    <definedName name="RgFdReptCSeries" localSheetId="59">#REF!</definedName>
    <definedName name="RgFdReptCSeries" localSheetId="61">#REF!</definedName>
    <definedName name="RgFdReptCSeries" localSheetId="60">#REF!</definedName>
    <definedName name="RgFdReptCSeries" localSheetId="16">#REF!</definedName>
    <definedName name="RgFdReptCSeries">#REF!</definedName>
    <definedName name="RgFdReptCsource" localSheetId="63">#REF!</definedName>
    <definedName name="RgFdReptCsource" localSheetId="1">#REF!</definedName>
    <definedName name="RgFdReptCsource" localSheetId="51">#REF!</definedName>
    <definedName name="RgFdReptCsource" localSheetId="57">#REF!</definedName>
    <definedName name="RgFdReptCsource" localSheetId="59">#REF!</definedName>
    <definedName name="RgFdReptCsource" localSheetId="61">#REF!</definedName>
    <definedName name="RgFdReptCsource" localSheetId="60">#REF!</definedName>
    <definedName name="RgFdReptCsource" localSheetId="16">#REF!</definedName>
    <definedName name="RgFdReptCsource">#REF!</definedName>
    <definedName name="RgFdReptEseries" localSheetId="63">#REF!</definedName>
    <definedName name="RgFdReptEseries" localSheetId="1">#REF!</definedName>
    <definedName name="RgFdReptEseries" localSheetId="51">#REF!</definedName>
    <definedName name="RgFdReptEseries" localSheetId="57">#REF!</definedName>
    <definedName name="RgFdReptEseries" localSheetId="59">#REF!</definedName>
    <definedName name="RgFdReptEseries" localSheetId="61">#REF!</definedName>
    <definedName name="RgFdReptEseries" localSheetId="60">#REF!</definedName>
    <definedName name="RgFdReptEseries" localSheetId="16">#REF!</definedName>
    <definedName name="RgFdReptEseries">#REF!</definedName>
    <definedName name="RgFdReptEsource" localSheetId="63">#REF!</definedName>
    <definedName name="RgFdReptEsource" localSheetId="1">#REF!</definedName>
    <definedName name="RgFdReptEsource" localSheetId="51">#REF!</definedName>
    <definedName name="RgFdReptEsource" localSheetId="57">#REF!</definedName>
    <definedName name="RgFdReptEsource" localSheetId="59">#REF!</definedName>
    <definedName name="RgFdReptEsource" localSheetId="61">#REF!</definedName>
    <definedName name="RgFdReptEsource" localSheetId="60">#REF!</definedName>
    <definedName name="RgFdReptEsource" localSheetId="16">#REF!</definedName>
    <definedName name="RgFdReptEsource">#REF!</definedName>
    <definedName name="RgFdSAMethod" localSheetId="63">#REF!</definedName>
    <definedName name="RgFdSAMethod" localSheetId="1">#REF!</definedName>
    <definedName name="RgFdSAMethod" localSheetId="51">#REF!</definedName>
    <definedName name="RgFdSAMethod" localSheetId="57">#REF!</definedName>
    <definedName name="RgFdSAMethod" localSheetId="59">#REF!</definedName>
    <definedName name="RgFdSAMethod" localSheetId="61">#REF!</definedName>
    <definedName name="RgFdSAMethod" localSheetId="60">#REF!</definedName>
    <definedName name="RgFdSAMethod" localSheetId="16">#REF!</definedName>
    <definedName name="RgFdSAMethod">#REF!</definedName>
    <definedName name="RgFdTbBper" localSheetId="63">#REF!</definedName>
    <definedName name="RgFdTbBper" localSheetId="1">#REF!</definedName>
    <definedName name="RgFdTbBper" localSheetId="51">#REF!</definedName>
    <definedName name="RgFdTbBper" localSheetId="57">#REF!</definedName>
    <definedName name="RgFdTbBper" localSheetId="59">#REF!</definedName>
    <definedName name="RgFdTbBper" localSheetId="61">#REF!</definedName>
    <definedName name="RgFdTbBper" localSheetId="60">#REF!</definedName>
    <definedName name="RgFdTbBper" localSheetId="16">#REF!</definedName>
    <definedName name="RgFdTbBper">#REF!</definedName>
    <definedName name="RgFdTbCreate" localSheetId="63">#REF!</definedName>
    <definedName name="RgFdTbCreate" localSheetId="1">#REF!</definedName>
    <definedName name="RgFdTbCreate" localSheetId="51">#REF!</definedName>
    <definedName name="RgFdTbCreate" localSheetId="57">#REF!</definedName>
    <definedName name="RgFdTbCreate" localSheetId="59">#REF!</definedName>
    <definedName name="RgFdTbCreate" localSheetId="61">#REF!</definedName>
    <definedName name="RgFdTbCreate" localSheetId="60">#REF!</definedName>
    <definedName name="RgFdTbCreate" localSheetId="16">#REF!</definedName>
    <definedName name="RgFdTbCreate">#REF!</definedName>
    <definedName name="RgFdTbEper" localSheetId="63">#REF!</definedName>
    <definedName name="RgFdTbEper" localSheetId="1">#REF!</definedName>
    <definedName name="RgFdTbEper" localSheetId="51">#REF!</definedName>
    <definedName name="RgFdTbEper" localSheetId="57">#REF!</definedName>
    <definedName name="RgFdTbEper" localSheetId="59">#REF!</definedName>
    <definedName name="RgFdTbEper" localSheetId="61">#REF!</definedName>
    <definedName name="RgFdTbEper" localSheetId="60">#REF!</definedName>
    <definedName name="RgFdTbEper" localSheetId="16">#REF!</definedName>
    <definedName name="RgFdTbEper">#REF!</definedName>
    <definedName name="RGFdTbFoot" localSheetId="63">#REF!</definedName>
    <definedName name="RGFdTbFoot" localSheetId="1">#REF!</definedName>
    <definedName name="RGFdTbFoot" localSheetId="51">#REF!</definedName>
    <definedName name="RGFdTbFoot" localSheetId="57">#REF!</definedName>
    <definedName name="RGFdTbFoot" localSheetId="59">#REF!</definedName>
    <definedName name="RGFdTbFoot" localSheetId="61">#REF!</definedName>
    <definedName name="RGFdTbFoot" localSheetId="60">#REF!</definedName>
    <definedName name="RGFdTbFoot" localSheetId="16">#REF!</definedName>
    <definedName name="RGFdTbFoot">#REF!</definedName>
    <definedName name="RgFdTbFreq" localSheetId="63">#REF!</definedName>
    <definedName name="RgFdTbFreq" localSheetId="1">#REF!</definedName>
    <definedName name="RgFdTbFreq" localSheetId="51">#REF!</definedName>
    <definedName name="RgFdTbFreq" localSheetId="57">#REF!</definedName>
    <definedName name="RgFdTbFreq" localSheetId="59">#REF!</definedName>
    <definedName name="RgFdTbFreq" localSheetId="61">#REF!</definedName>
    <definedName name="RgFdTbFreq" localSheetId="60">#REF!</definedName>
    <definedName name="RgFdTbFreq" localSheetId="16">#REF!</definedName>
    <definedName name="RgFdTbFreq">#REF!</definedName>
    <definedName name="RgFdTbFreqVal" localSheetId="63">#REF!</definedName>
    <definedName name="RgFdTbFreqVal" localSheetId="1">#REF!</definedName>
    <definedName name="RgFdTbFreqVal" localSheetId="51">#REF!</definedName>
    <definedName name="RgFdTbFreqVal" localSheetId="57">#REF!</definedName>
    <definedName name="RgFdTbFreqVal" localSheetId="59">#REF!</definedName>
    <definedName name="RgFdTbFreqVal" localSheetId="61">#REF!</definedName>
    <definedName name="RgFdTbFreqVal" localSheetId="60">#REF!</definedName>
    <definedName name="RgFdTbFreqVal" localSheetId="16">#REF!</definedName>
    <definedName name="RgFdTbFreqVal">#REF!</definedName>
    <definedName name="RgFdTbSendto" localSheetId="63">#REF!</definedName>
    <definedName name="RgFdTbSendto" localSheetId="1">#REF!</definedName>
    <definedName name="RgFdTbSendto" localSheetId="51">#REF!</definedName>
    <definedName name="RgFdTbSendto" localSheetId="57">#REF!</definedName>
    <definedName name="RgFdTbSendto" localSheetId="59">#REF!</definedName>
    <definedName name="RgFdTbSendto" localSheetId="61">#REF!</definedName>
    <definedName name="RgFdTbSendto" localSheetId="60">#REF!</definedName>
    <definedName name="RgFdTbSendto" localSheetId="16">#REF!</definedName>
    <definedName name="RgFdTbSendto">#REF!</definedName>
    <definedName name="RgFdWgtMethod" localSheetId="63">#REF!</definedName>
    <definedName name="RgFdWgtMethod" localSheetId="1">#REF!</definedName>
    <definedName name="RgFdWgtMethod" localSheetId="51">#REF!</definedName>
    <definedName name="RgFdWgtMethod" localSheetId="57">#REF!</definedName>
    <definedName name="RgFdWgtMethod" localSheetId="59">#REF!</definedName>
    <definedName name="RgFdWgtMethod" localSheetId="61">#REF!</definedName>
    <definedName name="RgFdWgtMethod" localSheetId="60">#REF!</definedName>
    <definedName name="RgFdWgtMethod" localSheetId="16">#REF!</definedName>
    <definedName name="RgFdWgtMethod">#REF!</definedName>
    <definedName name="RGSPA" localSheetId="63">#REF!</definedName>
    <definedName name="RGSPA" localSheetId="1">#REF!</definedName>
    <definedName name="RGSPA" localSheetId="51">#REF!</definedName>
    <definedName name="RGSPA" localSheetId="57">#REF!</definedName>
    <definedName name="RGSPA" localSheetId="59">#REF!</definedName>
    <definedName name="RGSPA" localSheetId="61">#REF!</definedName>
    <definedName name="RGSPA" localSheetId="60">#REF!</definedName>
    <definedName name="RGSPA" localSheetId="16">#REF!</definedName>
    <definedName name="RGSPA">#REF!</definedName>
    <definedName name="rngBefore">[56]Main!$AB$26</definedName>
    <definedName name="rngDepartmentDrive">[56]Main!$AB$23</definedName>
    <definedName name="rngEMailAddress">[56]Main!$AB$20</definedName>
    <definedName name="rngErrorSort">[56]ErrCheck!$A$4</definedName>
    <definedName name="rngLastSave">[56]Main!$G$19</definedName>
    <definedName name="rngLastSent">[56]Main!$G$18</definedName>
    <definedName name="rngLastUpdate">[56]Links!$D$2</definedName>
    <definedName name="rngNeedsUpdate">[56]Links!$E$2</definedName>
    <definedName name="rngNews">[56]Main!$AB$27</definedName>
    <definedName name="rngQuestChecked">[56]ErrCheck!$A$3</definedName>
    <definedName name="rounding" localSheetId="63">[32]Graf14_Graf15!#REF!</definedName>
    <definedName name="rounding" localSheetId="57">[32]Graf14_Graf15!#REF!</definedName>
    <definedName name="rounding" localSheetId="59">[32]Graf14_Graf15!#REF!</definedName>
    <definedName name="rounding" localSheetId="61">[32]Graf14_Graf15!#REF!</definedName>
    <definedName name="rounding" localSheetId="60">[32]Graf14_Graf15!#REF!</definedName>
    <definedName name="rounding" localSheetId="16">[32]Graf14_Graf15!#REF!</definedName>
    <definedName name="rounding">[32]Graf14_Graf15!#REF!</definedName>
    <definedName name="rr" localSheetId="63" hidden="1">{"Riqfin97",#N/A,FALSE,"Tran";"Riqfinpro",#N/A,FALSE,"Tran"}</definedName>
    <definedName name="rr" localSheetId="41" hidden="1">{"Riqfin97",#N/A,FALSE,"Tran";"Riqfinpro",#N/A,FALSE,"Tran"}</definedName>
    <definedName name="rr" localSheetId="50" hidden="1">{"Riqfin97",#N/A,FALSE,"Tran";"Riqfinpro",#N/A,FALSE,"Tran"}</definedName>
    <definedName name="rr" localSheetId="51" hidden="1">{"Riqfin97",#N/A,FALSE,"Tran";"Riqfinpro",#N/A,FALSE,"Tran"}</definedName>
    <definedName name="rr" hidden="1">{"Riqfin97",#N/A,FALSE,"Tran";"Riqfinpro",#N/A,FALSE,"Tran"}</definedName>
    <definedName name="rrr" localSheetId="63" hidden="1">{"Riqfin97",#N/A,FALSE,"Tran";"Riqfinpro",#N/A,FALSE,"Tran"}</definedName>
    <definedName name="rrr" localSheetId="41" hidden="1">{"Riqfin97",#N/A,FALSE,"Tran";"Riqfinpro",#N/A,FALSE,"Tran"}</definedName>
    <definedName name="rrr" localSheetId="50" hidden="1">{"Riqfin97",#N/A,FALSE,"Tran";"Riqfinpro",#N/A,FALSE,"Tran"}</definedName>
    <definedName name="rrr" localSheetId="51" hidden="1">{"Riqfin97",#N/A,FALSE,"Tran";"Riqfinpro",#N/A,FALSE,"Tran"}</definedName>
    <definedName name="rrr" hidden="1">{"Riqfin97",#N/A,FALSE,"Tran";"Riqfinpro",#N/A,FALSE,"Tran"}</definedName>
    <definedName name="RULCPPI" localSheetId="63">[5]C!$O$9:$O$71</definedName>
    <definedName name="RULCPPI" localSheetId="51">[6]C!$O$9:$O$71</definedName>
    <definedName name="RULCPPI">[24]C!$O$9:$O$71</definedName>
    <definedName name="SAPBEXrevision" hidden="1">38</definedName>
    <definedName name="SAPBEXsysID" hidden="1">"BSP"</definedName>
    <definedName name="SAPBEXwbID" hidden="1">"4GPMQGOE6GBN721YXH4DRY8ES"</definedName>
    <definedName name="SECTORS" localSheetId="63">#REF!</definedName>
    <definedName name="SECTORS" localSheetId="1">#REF!</definedName>
    <definedName name="SECTORS" localSheetId="57">#REF!</definedName>
    <definedName name="SECTORS" localSheetId="59">#REF!</definedName>
    <definedName name="SECTORS" localSheetId="61">#REF!</definedName>
    <definedName name="SECTORS" localSheetId="60">#REF!</definedName>
    <definedName name="SECTORS" localSheetId="16">#REF!</definedName>
    <definedName name="SECTORS">#REF!</definedName>
    <definedName name="seitable" localSheetId="63">'[73]Sel. Ind. Tbl'!$A$3:$G$75</definedName>
    <definedName name="seitable" localSheetId="51">'[74]Sel. Ind. Tbl'!$A$3:$G$75</definedName>
    <definedName name="seitable">'[75]Sel. Ind. Tbl'!$A$3:$G$75</definedName>
    <definedName name="sencount" hidden="1">2</definedName>
    <definedName name="SPee_2" localSheetId="63">[32]Graf14_Graf15!#REF!</definedName>
    <definedName name="SPee_2" localSheetId="57">[32]Graf14_Graf15!#REF!</definedName>
    <definedName name="SPee_2" localSheetId="59">[32]Graf14_Graf15!#REF!</definedName>
    <definedName name="SPee_2" localSheetId="61">[32]Graf14_Graf15!#REF!</definedName>
    <definedName name="SPee_2" localSheetId="60">[32]Graf14_Graf15!#REF!</definedName>
    <definedName name="SPee_2" localSheetId="16">[32]Graf14_Graf15!#REF!</definedName>
    <definedName name="SPee_2">[32]Graf14_Graf15!#REF!</definedName>
    <definedName name="SPer_2" localSheetId="63">[32]Graf14_Graf15!#REF!</definedName>
    <definedName name="SPer_2" localSheetId="57">[32]Graf14_Graf15!#REF!</definedName>
    <definedName name="SPer_2" localSheetId="59">[32]Graf14_Graf15!#REF!</definedName>
    <definedName name="SPer_2" localSheetId="61">[32]Graf14_Graf15!#REF!</definedName>
    <definedName name="SPer_2" localSheetId="60">[32]Graf14_Graf15!#REF!</definedName>
    <definedName name="SPer_2" localSheetId="16">[32]Graf14_Graf15!#REF!</definedName>
    <definedName name="SPer_2">[32]Graf14_Graf15!#REF!</definedName>
    <definedName name="SprejetiProracun" localSheetId="63">#REF!</definedName>
    <definedName name="SprejetiProracun" localSheetId="1">#REF!</definedName>
    <definedName name="SprejetiProracun" localSheetId="51">#REF!</definedName>
    <definedName name="SprejetiProracun" localSheetId="57">#REF!</definedName>
    <definedName name="SprejetiProracun" localSheetId="59">#REF!</definedName>
    <definedName name="SprejetiProracun" localSheetId="61">#REF!</definedName>
    <definedName name="SprejetiProracun" localSheetId="60">#REF!</definedName>
    <definedName name="SprejetiProracun" localSheetId="16">#REF!</definedName>
    <definedName name="SprejetiProracun">#REF!</definedName>
    <definedName name="SR_3" localSheetId="63">#REF!</definedName>
    <definedName name="SR_3" localSheetId="1">#REF!</definedName>
    <definedName name="SR_3" localSheetId="57">#REF!</definedName>
    <definedName name="SR_3" localSheetId="59">#REF!</definedName>
    <definedName name="SR_3" localSheetId="61">#REF!</definedName>
    <definedName name="SR_3" localSheetId="60">#REF!</definedName>
    <definedName name="SR_3" localSheetId="16">#REF!</definedName>
    <definedName name="SR_3">#REF!</definedName>
    <definedName name="SR_5" localSheetId="63">#REF!</definedName>
    <definedName name="SR_5" localSheetId="1">#REF!</definedName>
    <definedName name="SR_5" localSheetId="57">#REF!</definedName>
    <definedName name="SR_5" localSheetId="59">#REF!</definedName>
    <definedName name="SR_5" localSheetId="61">#REF!</definedName>
    <definedName name="SR_5" localSheetId="60">#REF!</definedName>
    <definedName name="SR_5" localSheetId="16">#REF!</definedName>
    <definedName name="SR_5">#REF!</definedName>
    <definedName name="SS">[76]IMATA!$B$45:$B$108</definedName>
    <definedName name="StatusTable">[36]readme!$A$12:$B$21</definedName>
    <definedName name="T1.13" localSheetId="63">#REF!</definedName>
    <definedName name="T1.13" localSheetId="1">#REF!</definedName>
    <definedName name="T1.13" localSheetId="57">#REF!</definedName>
    <definedName name="T1.13" localSheetId="59">#REF!</definedName>
    <definedName name="T1.13" localSheetId="61">#REF!</definedName>
    <definedName name="T1.13" localSheetId="60">#REF!</definedName>
    <definedName name="T1.13" localSheetId="16">#REF!</definedName>
    <definedName name="T1.13">#REF!</definedName>
    <definedName name="t2q" localSheetId="63">#REF!</definedName>
    <definedName name="t2q" localSheetId="1">#REF!</definedName>
    <definedName name="t2q" localSheetId="51">#REF!</definedName>
    <definedName name="t2q" localSheetId="57">#REF!</definedName>
    <definedName name="t2q" localSheetId="59">#REF!</definedName>
    <definedName name="t2q" localSheetId="61">#REF!</definedName>
    <definedName name="t2q" localSheetId="60">#REF!</definedName>
    <definedName name="t2q" localSheetId="16">#REF!</definedName>
    <definedName name="t2q">#REF!</definedName>
    <definedName name="TAB1A" localSheetId="63">#REF!</definedName>
    <definedName name="TAB1A" localSheetId="1">#REF!</definedName>
    <definedName name="TAB1A" localSheetId="57">#REF!</definedName>
    <definedName name="TAB1A" localSheetId="59">#REF!</definedName>
    <definedName name="TAB1A" localSheetId="61">#REF!</definedName>
    <definedName name="TAB1A" localSheetId="60">#REF!</definedName>
    <definedName name="TAB1A" localSheetId="16">#REF!</definedName>
    <definedName name="TAB1A">#REF!</definedName>
    <definedName name="TAB1CK" localSheetId="63">#REF!</definedName>
    <definedName name="TAB1CK" localSheetId="1">#REF!</definedName>
    <definedName name="TAB1CK" localSheetId="57">#REF!</definedName>
    <definedName name="TAB1CK" localSheetId="59">#REF!</definedName>
    <definedName name="TAB1CK" localSheetId="61">#REF!</definedName>
    <definedName name="TAB1CK" localSheetId="60">#REF!</definedName>
    <definedName name="TAB1CK" localSheetId="16">#REF!</definedName>
    <definedName name="TAB1CK">#REF!</definedName>
    <definedName name="Tab25a" localSheetId="63">#REF!</definedName>
    <definedName name="Tab25a" localSheetId="1">#REF!</definedName>
    <definedName name="Tab25a" localSheetId="57">#REF!</definedName>
    <definedName name="Tab25a" localSheetId="59">#REF!</definedName>
    <definedName name="Tab25a" localSheetId="61">#REF!</definedName>
    <definedName name="Tab25a" localSheetId="60">#REF!</definedName>
    <definedName name="Tab25a" localSheetId="16">#REF!</definedName>
    <definedName name="Tab25a">#REF!</definedName>
    <definedName name="Tab25b" localSheetId="63">#REF!</definedName>
    <definedName name="Tab25b" localSheetId="1">#REF!</definedName>
    <definedName name="Tab25b" localSheetId="57">#REF!</definedName>
    <definedName name="Tab25b" localSheetId="59">#REF!</definedName>
    <definedName name="Tab25b" localSheetId="61">#REF!</definedName>
    <definedName name="Tab25b" localSheetId="60">#REF!</definedName>
    <definedName name="Tab25b" localSheetId="16">#REF!</definedName>
    <definedName name="Tab25b">#REF!</definedName>
    <definedName name="TAB2A" localSheetId="63">#REF!</definedName>
    <definedName name="TAB2A" localSheetId="1">#REF!</definedName>
    <definedName name="TAB2A" localSheetId="57">#REF!</definedName>
    <definedName name="TAB2A" localSheetId="59">#REF!</definedName>
    <definedName name="TAB2A" localSheetId="61">#REF!</definedName>
    <definedName name="TAB2A" localSheetId="60">#REF!</definedName>
    <definedName name="TAB2A" localSheetId="16">#REF!</definedName>
    <definedName name="TAB2A">#REF!</definedName>
    <definedName name="TAB5A" localSheetId="63">#REF!</definedName>
    <definedName name="TAB5A" localSheetId="1">#REF!</definedName>
    <definedName name="TAB5A" localSheetId="57">#REF!</definedName>
    <definedName name="TAB5A" localSheetId="59">#REF!</definedName>
    <definedName name="TAB5A" localSheetId="61">#REF!</definedName>
    <definedName name="TAB5A" localSheetId="60">#REF!</definedName>
    <definedName name="TAB5A" localSheetId="16">#REF!</definedName>
    <definedName name="TAB5A">#REF!</definedName>
    <definedName name="TAB6A" localSheetId="63">'[3]Annual Tables'!#REF!</definedName>
    <definedName name="TAB6A" localSheetId="1">'[3]Annual Tables'!#REF!</definedName>
    <definedName name="TAB6A" localSheetId="51">'[3]Annual Tables'!#REF!</definedName>
    <definedName name="TAB6A" localSheetId="57">'[3]Annual Tables'!#REF!</definedName>
    <definedName name="TAB6A" localSheetId="59">'[3]Annual Tables'!#REF!</definedName>
    <definedName name="TAB6A" localSheetId="61">'[3]Annual Tables'!#REF!</definedName>
    <definedName name="TAB6A" localSheetId="60">'[3]Annual Tables'!#REF!</definedName>
    <definedName name="TAB6A" localSheetId="16">'[3]Annual Tables'!#REF!</definedName>
    <definedName name="TAB6A">'[3]Annual Tables'!#REF!</definedName>
    <definedName name="TAB6B" localSheetId="63">'[3]Annual Tables'!#REF!</definedName>
    <definedName name="TAB6B" localSheetId="1">'[3]Annual Tables'!#REF!</definedName>
    <definedName name="TAB6B" localSheetId="51">'[3]Annual Tables'!#REF!</definedName>
    <definedName name="TAB6B" localSheetId="57">'[3]Annual Tables'!#REF!</definedName>
    <definedName name="TAB6B" localSheetId="59">'[3]Annual Tables'!#REF!</definedName>
    <definedName name="TAB6B" localSheetId="61">'[3]Annual Tables'!#REF!</definedName>
    <definedName name="TAB6B" localSheetId="60">'[3]Annual Tables'!#REF!</definedName>
    <definedName name="TAB6B" localSheetId="16">'[3]Annual Tables'!#REF!</definedName>
    <definedName name="TAB6B">'[3]Annual Tables'!#REF!</definedName>
    <definedName name="TAB6C" localSheetId="63">#REF!</definedName>
    <definedName name="TAB6C" localSheetId="1">#REF!</definedName>
    <definedName name="TAB6C" localSheetId="57">#REF!</definedName>
    <definedName name="TAB6C" localSheetId="59">#REF!</definedName>
    <definedName name="TAB6C" localSheetId="61">#REF!</definedName>
    <definedName name="TAB6C" localSheetId="60">#REF!</definedName>
    <definedName name="TAB6C" localSheetId="16">#REF!</definedName>
    <definedName name="TAB6C">#REF!</definedName>
    <definedName name="TAB7A" localSheetId="63">#REF!</definedName>
    <definedName name="TAB7A" localSheetId="1">#REF!</definedName>
    <definedName name="TAB7A" localSheetId="57">#REF!</definedName>
    <definedName name="TAB7A" localSheetId="59">#REF!</definedName>
    <definedName name="TAB7A" localSheetId="61">#REF!</definedName>
    <definedName name="TAB7A" localSheetId="60">#REF!</definedName>
    <definedName name="TAB7A" localSheetId="16">#REF!</definedName>
    <definedName name="TAB7A">#REF!</definedName>
    <definedName name="tabC1" localSheetId="63">#REF!</definedName>
    <definedName name="tabC1" localSheetId="1">#REF!</definedName>
    <definedName name="tabC1" localSheetId="57">#REF!</definedName>
    <definedName name="tabC1" localSheetId="59">#REF!</definedName>
    <definedName name="tabC1" localSheetId="61">#REF!</definedName>
    <definedName name="tabC1" localSheetId="60">#REF!</definedName>
    <definedName name="tabC1" localSheetId="16">#REF!</definedName>
    <definedName name="tabC1">#REF!</definedName>
    <definedName name="tabC2" localSheetId="63">#REF!</definedName>
    <definedName name="tabC2" localSheetId="1">#REF!</definedName>
    <definedName name="tabC2" localSheetId="57">#REF!</definedName>
    <definedName name="tabC2" localSheetId="59">#REF!</definedName>
    <definedName name="tabC2" localSheetId="61">#REF!</definedName>
    <definedName name="tabC2" localSheetId="60">#REF!</definedName>
    <definedName name="tabC2" localSheetId="16">#REF!</definedName>
    <definedName name="tabC2">#REF!</definedName>
    <definedName name="Tabela_6a" localSheetId="63">#REF!</definedName>
    <definedName name="Tabela_6a" localSheetId="1">#REF!</definedName>
    <definedName name="Tabela_6a" localSheetId="57">#REF!</definedName>
    <definedName name="Tabela_6a" localSheetId="59">#REF!</definedName>
    <definedName name="Tabela_6a" localSheetId="61">#REF!</definedName>
    <definedName name="Tabela_6a" localSheetId="60">#REF!</definedName>
    <definedName name="Tabela_6a" localSheetId="16">#REF!</definedName>
    <definedName name="Tabela_6a">#REF!</definedName>
    <definedName name="tabela3a" localSheetId="63">'[77]Table 1'!#REF!</definedName>
    <definedName name="tabela3a" localSheetId="1">'[77]Table 1'!#REF!</definedName>
    <definedName name="tabela3a" localSheetId="51">'[77]Table 1'!#REF!</definedName>
    <definedName name="tabela3a" localSheetId="57">'[77]Table 1'!#REF!</definedName>
    <definedName name="tabela3a" localSheetId="59">'[77]Table 1'!#REF!</definedName>
    <definedName name="tabela3a" localSheetId="61">'[77]Table 1'!#REF!</definedName>
    <definedName name="tabela3a" localSheetId="60">'[77]Table 1'!#REF!</definedName>
    <definedName name="tabela3a" localSheetId="16">'[77]Table 1'!#REF!</definedName>
    <definedName name="tabela3a">'[77]Table 1'!#REF!</definedName>
    <definedName name="Tabelaxx" localSheetId="63">#REF!</definedName>
    <definedName name="Tabelaxx" localSheetId="1">#REF!</definedName>
    <definedName name="Tabelaxx" localSheetId="57">#REF!</definedName>
    <definedName name="Tabelaxx" localSheetId="59">#REF!</definedName>
    <definedName name="Tabelaxx" localSheetId="61">#REF!</definedName>
    <definedName name="Tabelaxx" localSheetId="60">#REF!</definedName>
    <definedName name="Tabelaxx" localSheetId="16">#REF!</definedName>
    <definedName name="Tabelaxx">#REF!</definedName>
    <definedName name="tabF" localSheetId="63">#REF!</definedName>
    <definedName name="tabF" localSheetId="1">#REF!</definedName>
    <definedName name="tabF" localSheetId="57">#REF!</definedName>
    <definedName name="tabF" localSheetId="59">#REF!</definedName>
    <definedName name="tabF" localSheetId="61">#REF!</definedName>
    <definedName name="tabF" localSheetId="60">#REF!</definedName>
    <definedName name="tabF" localSheetId="16">#REF!</definedName>
    <definedName name="tabF">#REF!</definedName>
    <definedName name="tabH" localSheetId="63">#REF!</definedName>
    <definedName name="tabH" localSheetId="1">#REF!</definedName>
    <definedName name="tabH" localSheetId="57">#REF!</definedName>
    <definedName name="tabH" localSheetId="59">#REF!</definedName>
    <definedName name="tabH" localSheetId="61">#REF!</definedName>
    <definedName name="tabH" localSheetId="60">#REF!</definedName>
    <definedName name="tabH" localSheetId="16">#REF!</definedName>
    <definedName name="tabH">#REF!</definedName>
    <definedName name="tabI" localSheetId="63">#REF!</definedName>
    <definedName name="tabI" localSheetId="1">#REF!</definedName>
    <definedName name="tabI" localSheetId="57">#REF!</definedName>
    <definedName name="tabI" localSheetId="59">#REF!</definedName>
    <definedName name="tabI" localSheetId="61">#REF!</definedName>
    <definedName name="tabI" localSheetId="60">#REF!</definedName>
    <definedName name="tabI" localSheetId="16">#REF!</definedName>
    <definedName name="tabI">#REF!</definedName>
    <definedName name="Table__47">[78]RED47!$A$1:$I$53</definedName>
    <definedName name="Table_2._Country_X___Public_Sector_Financing_1" localSheetId="63">#REF!</definedName>
    <definedName name="Table_2._Country_X___Public_Sector_Financing_1" localSheetId="1">#REF!</definedName>
    <definedName name="Table_2._Country_X___Public_Sector_Financing_1" localSheetId="57">#REF!</definedName>
    <definedName name="Table_2._Country_X___Public_Sector_Financing_1" localSheetId="59">#REF!</definedName>
    <definedName name="Table_2._Country_X___Public_Sector_Financing_1" localSheetId="61">#REF!</definedName>
    <definedName name="Table_2._Country_X___Public_Sector_Financing_1" localSheetId="60">#REF!</definedName>
    <definedName name="Table_2._Country_X___Public_Sector_Financing_1" localSheetId="16">#REF!</definedName>
    <definedName name="Table_2._Country_X___Public_Sector_Financing_1">#REF!</definedName>
    <definedName name="Table_4SR" localSheetId="63">#REF!</definedName>
    <definedName name="Table_4SR" localSheetId="1">#REF!</definedName>
    <definedName name="Table_4SR" localSheetId="57">#REF!</definedName>
    <definedName name="Table_4SR" localSheetId="59">#REF!</definedName>
    <definedName name="Table_4SR" localSheetId="61">#REF!</definedName>
    <definedName name="Table_4SR" localSheetId="60">#REF!</definedName>
    <definedName name="Table_4SR" localSheetId="16">#REF!</definedName>
    <definedName name="Table_4SR">#REF!</definedName>
    <definedName name="Table_debt">[79]Table!$A$3:$AB$73</definedName>
    <definedName name="TABLE1" localSheetId="63">#REF!</definedName>
    <definedName name="TABLE1" localSheetId="1">#REF!</definedName>
    <definedName name="TABLE1" localSheetId="57">#REF!</definedName>
    <definedName name="TABLE1" localSheetId="59">#REF!</definedName>
    <definedName name="TABLE1" localSheetId="61">#REF!</definedName>
    <definedName name="TABLE1" localSheetId="60">#REF!</definedName>
    <definedName name="TABLE1" localSheetId="16">#REF!</definedName>
    <definedName name="TABLE1">#REF!</definedName>
    <definedName name="Table1printarea" localSheetId="63">#REF!</definedName>
    <definedName name="Table1printarea" localSheetId="1">#REF!</definedName>
    <definedName name="Table1printarea" localSheetId="57">#REF!</definedName>
    <definedName name="Table1printarea" localSheetId="59">#REF!</definedName>
    <definedName name="Table1printarea" localSheetId="61">#REF!</definedName>
    <definedName name="Table1printarea" localSheetId="60">#REF!</definedName>
    <definedName name="Table1printarea" localSheetId="16">#REF!</definedName>
    <definedName name="Table1printarea">#REF!</definedName>
    <definedName name="table30" localSheetId="63">#REF!</definedName>
    <definedName name="table30" localSheetId="1">#REF!</definedName>
    <definedName name="table30" localSheetId="57">#REF!</definedName>
    <definedName name="table30" localSheetId="59">#REF!</definedName>
    <definedName name="table30" localSheetId="61">#REF!</definedName>
    <definedName name="table30" localSheetId="60">#REF!</definedName>
    <definedName name="table30" localSheetId="16">#REF!</definedName>
    <definedName name="table30">#REF!</definedName>
    <definedName name="TABLE31" localSheetId="63">#REF!</definedName>
    <definedName name="TABLE31" localSheetId="1">#REF!</definedName>
    <definedName name="TABLE31" localSheetId="57">#REF!</definedName>
    <definedName name="TABLE31" localSheetId="59">#REF!</definedName>
    <definedName name="TABLE31" localSheetId="61">#REF!</definedName>
    <definedName name="TABLE31" localSheetId="60">#REF!</definedName>
    <definedName name="TABLE31" localSheetId="16">#REF!</definedName>
    <definedName name="TABLE31">#REF!</definedName>
    <definedName name="TABLE32" localSheetId="63">#REF!</definedName>
    <definedName name="TABLE32" localSheetId="1">#REF!</definedName>
    <definedName name="TABLE32" localSheetId="57">#REF!</definedName>
    <definedName name="TABLE32" localSheetId="59">#REF!</definedName>
    <definedName name="TABLE32" localSheetId="61">#REF!</definedName>
    <definedName name="TABLE32" localSheetId="60">#REF!</definedName>
    <definedName name="TABLE32" localSheetId="16">#REF!</definedName>
    <definedName name="TABLE32">#REF!</definedName>
    <definedName name="TABLE33" localSheetId="63">#REF!</definedName>
    <definedName name="TABLE33" localSheetId="1">#REF!</definedName>
    <definedName name="TABLE33" localSheetId="57">#REF!</definedName>
    <definedName name="TABLE33" localSheetId="59">#REF!</definedName>
    <definedName name="TABLE33" localSheetId="61">#REF!</definedName>
    <definedName name="TABLE33" localSheetId="60">#REF!</definedName>
    <definedName name="TABLE33" localSheetId="16">#REF!</definedName>
    <definedName name="TABLE33">#REF!</definedName>
    <definedName name="TABLE4" localSheetId="63">#REF!</definedName>
    <definedName name="TABLE4" localSheetId="1">#REF!</definedName>
    <definedName name="TABLE4" localSheetId="57">#REF!</definedName>
    <definedName name="TABLE4" localSheetId="59">#REF!</definedName>
    <definedName name="TABLE4" localSheetId="61">#REF!</definedName>
    <definedName name="TABLE4" localSheetId="60">#REF!</definedName>
    <definedName name="TABLE4" localSheetId="16">#REF!</definedName>
    <definedName name="TABLE4">#REF!</definedName>
    <definedName name="table6" localSheetId="63">#REF!</definedName>
    <definedName name="table6" localSheetId="1">#REF!</definedName>
    <definedName name="table6" localSheetId="51">#REF!</definedName>
    <definedName name="table6" localSheetId="57">#REF!</definedName>
    <definedName name="table6" localSheetId="59">#REF!</definedName>
    <definedName name="table6" localSheetId="61">#REF!</definedName>
    <definedName name="table6" localSheetId="60">#REF!</definedName>
    <definedName name="table6" localSheetId="16">#REF!</definedName>
    <definedName name="table6">#REF!</definedName>
    <definedName name="table9" localSheetId="63">#REF!</definedName>
    <definedName name="table9" localSheetId="1">#REF!</definedName>
    <definedName name="table9" localSheetId="51">#REF!</definedName>
    <definedName name="table9" localSheetId="57">#REF!</definedName>
    <definedName name="table9" localSheetId="59">#REF!</definedName>
    <definedName name="table9" localSheetId="61">#REF!</definedName>
    <definedName name="table9" localSheetId="60">#REF!</definedName>
    <definedName name="table9" localSheetId="16">#REF!</definedName>
    <definedName name="table9">#REF!</definedName>
    <definedName name="TAME" localSheetId="63">#REF!</definedName>
    <definedName name="TAME" localSheetId="1">#REF!</definedName>
    <definedName name="TAME" localSheetId="57">#REF!</definedName>
    <definedName name="TAME" localSheetId="59">#REF!</definedName>
    <definedName name="TAME" localSheetId="61">#REF!</definedName>
    <definedName name="TAME" localSheetId="60">#REF!</definedName>
    <definedName name="TAME" localSheetId="16">#REF!</definedName>
    <definedName name="TAME">#REF!</definedName>
    <definedName name="Tbl_GFN">[79]Table_GEF!$B$2:$T$53</definedName>
    <definedName name="tblChecks">[56]ErrCheck!$A$3:$E$5</definedName>
    <definedName name="tblLinks">[56]Links!$A$4:$F$33</definedName>
    <definedName name="TEMP" localSheetId="63">[80]Data!#REF!</definedName>
    <definedName name="TEMP" localSheetId="1">[80]Data!#REF!</definedName>
    <definedName name="TEMP" localSheetId="51">[80]Data!#REF!</definedName>
    <definedName name="TEMP" localSheetId="57">[80]Data!#REF!</definedName>
    <definedName name="TEMP" localSheetId="59">[80]Data!#REF!</definedName>
    <definedName name="TEMP" localSheetId="61">[80]Data!#REF!</definedName>
    <definedName name="TEMP" localSheetId="60">[80]Data!#REF!</definedName>
    <definedName name="TEMP" localSheetId="16">[80]Data!#REF!</definedName>
    <definedName name="TEMP">[80]Data!#REF!</definedName>
    <definedName name="tempo_kles" localSheetId="63">[32]Graf14_Graf15!#REF!</definedName>
    <definedName name="tempo_kles" localSheetId="57">[32]Graf14_Graf15!#REF!</definedName>
    <definedName name="tempo_kles" localSheetId="59">[32]Graf14_Graf15!#REF!</definedName>
    <definedName name="tempo_kles" localSheetId="61">[32]Graf14_Graf15!#REF!</definedName>
    <definedName name="tempo_kles" localSheetId="60">[32]Graf14_Graf15!#REF!</definedName>
    <definedName name="tempo_kles" localSheetId="16">[32]Graf14_Graf15!#REF!</definedName>
    <definedName name="tempo_kles">[32]Graf14_Graf15!#REF!</definedName>
    <definedName name="tempo_kles_2" localSheetId="63">[32]Graf14_Graf15!#REF!</definedName>
    <definedName name="tempo_kles_2" localSheetId="57">[32]Graf14_Graf15!#REF!</definedName>
    <definedName name="tempo_kles_2" localSheetId="59">[32]Graf14_Graf15!#REF!</definedName>
    <definedName name="tempo_kles_2" localSheetId="61">[32]Graf14_Graf15!#REF!</definedName>
    <definedName name="tempo_kles_2" localSheetId="60">[32]Graf14_Graf15!#REF!</definedName>
    <definedName name="tempo_kles_2" localSheetId="16">[32]Graf14_Graf15!#REF!</definedName>
    <definedName name="tempo_kles_2">[32]Graf14_Graf15!#REF!</definedName>
    <definedName name="text" localSheetId="41" hidden="1">{#N/A,#N/A,FALSE,"CB";#N/A,#N/A,FALSE,"CMB";#N/A,#N/A,FALSE,"BSYS";#N/A,#N/A,FALSE,"NBFI";#N/A,#N/A,FALSE,"FSYS"}</definedName>
    <definedName name="text" hidden="1">{#N/A,#N/A,FALSE,"CB";#N/A,#N/A,FALSE,"CMB";#N/A,#N/A,FALSE,"BSYS";#N/A,#N/A,FALSE,"NBFI";#N/A,#N/A,FALSE,"FSYS"}</definedName>
    <definedName name="TMG_D">[31]Q5!$E$23:$AH$23</definedName>
    <definedName name="TMGO">#N/A</definedName>
    <definedName name="TOWEO" localSheetId="63">#REF!</definedName>
    <definedName name="TOWEO" localSheetId="1">#REF!</definedName>
    <definedName name="TOWEO" localSheetId="57">#REF!</definedName>
    <definedName name="TOWEO" localSheetId="59">#REF!</definedName>
    <definedName name="TOWEO" localSheetId="61">#REF!</definedName>
    <definedName name="TOWEO" localSheetId="60">#REF!</definedName>
    <definedName name="TOWEO" localSheetId="16">#REF!</definedName>
    <definedName name="TOWEO">#REF!</definedName>
    <definedName name="TRADE3" localSheetId="63">[1]Trade!#REF!</definedName>
    <definedName name="TRADE3" localSheetId="1">[1]Trade!#REF!</definedName>
    <definedName name="TRADE3" localSheetId="51">[1]Trade!#REF!</definedName>
    <definedName name="TRADE3" localSheetId="57">[1]Trade!#REF!</definedName>
    <definedName name="TRADE3" localSheetId="59">[1]Trade!#REF!</definedName>
    <definedName name="TRADE3" localSheetId="61">[1]Trade!#REF!</definedName>
    <definedName name="TRADE3" localSheetId="60">[1]Trade!#REF!</definedName>
    <definedName name="TRADE3" localSheetId="16">[1]Trade!#REF!</definedName>
    <definedName name="TRADE3">[1]Trade!#REF!</definedName>
    <definedName name="trans" localSheetId="63">#REF!</definedName>
    <definedName name="trans" localSheetId="1">#REF!</definedName>
    <definedName name="trans" localSheetId="57">#REF!</definedName>
    <definedName name="trans" localSheetId="59">#REF!</definedName>
    <definedName name="trans" localSheetId="61">#REF!</definedName>
    <definedName name="trans" localSheetId="60">#REF!</definedName>
    <definedName name="trans" localSheetId="16">#REF!</definedName>
    <definedName name="trans">#REF!</definedName>
    <definedName name="Transfer_check" localSheetId="63">#REF!</definedName>
    <definedName name="Transfer_check" localSheetId="1">#REF!</definedName>
    <definedName name="Transfer_check" localSheetId="57">#REF!</definedName>
    <definedName name="Transfer_check" localSheetId="59">#REF!</definedName>
    <definedName name="Transfer_check" localSheetId="61">#REF!</definedName>
    <definedName name="Transfer_check" localSheetId="60">#REF!</definedName>
    <definedName name="Transfer_check" localSheetId="16">#REF!</definedName>
    <definedName name="Transfer_check">#REF!</definedName>
    <definedName name="TRANSNAVE" localSheetId="63">#REF!</definedName>
    <definedName name="TRANSNAVE" localSheetId="1">#REF!</definedName>
    <definedName name="TRANSNAVE" localSheetId="57">#REF!</definedName>
    <definedName name="TRANSNAVE" localSheetId="59">#REF!</definedName>
    <definedName name="TRANSNAVE" localSheetId="61">#REF!</definedName>
    <definedName name="TRANSNAVE" localSheetId="60">#REF!</definedName>
    <definedName name="TRANSNAVE" localSheetId="16">#REF!</definedName>
    <definedName name="TRANSNAVE">#REF!</definedName>
    <definedName name="tt" localSheetId="63" hidden="1">{"Tab1",#N/A,FALSE,"P";"Tab2",#N/A,FALSE,"P"}</definedName>
    <definedName name="tt" localSheetId="41" hidden="1">{"Tab1",#N/A,FALSE,"P";"Tab2",#N/A,FALSE,"P"}</definedName>
    <definedName name="tt" localSheetId="50" hidden="1">{"Tab1",#N/A,FALSE,"P";"Tab2",#N/A,FALSE,"P"}</definedName>
    <definedName name="tt" localSheetId="51" hidden="1">{"Tab1",#N/A,FALSE,"P";"Tab2",#N/A,FALSE,"P"}</definedName>
    <definedName name="tt" hidden="1">{"Tab1",#N/A,FALSE,"P";"Tab2",#N/A,FALSE,"P"}</definedName>
    <definedName name="ttt" localSheetId="63" hidden="1">{"Tab1",#N/A,FALSE,"P";"Tab2",#N/A,FALSE,"P"}</definedName>
    <definedName name="ttt" localSheetId="41" hidden="1">{"Tab1",#N/A,FALSE,"P";"Tab2",#N/A,FALSE,"P"}</definedName>
    <definedName name="ttt" localSheetId="50" hidden="1">{"Tab1",#N/A,FALSE,"P";"Tab2",#N/A,FALSE,"P"}</definedName>
    <definedName name="ttt" localSheetId="51" hidden="1">{"Tab1",#N/A,FALSE,"P";"Tab2",#N/A,FALSE,"P"}</definedName>
    <definedName name="ttt" hidden="1">{"Tab1",#N/A,FALSE,"P";"Tab2",#N/A,FALSE,"P"}</definedName>
    <definedName name="ttttt" localSheetId="63" hidden="1">[66]M!#REF!</definedName>
    <definedName name="ttttt" localSheetId="1" hidden="1">[66]M!#REF!</definedName>
    <definedName name="ttttt" localSheetId="50" hidden="1">[66]M!#REF!</definedName>
    <definedName name="ttttt" localSheetId="51" hidden="1">[66]M!#REF!</definedName>
    <definedName name="ttttt" localSheetId="57" hidden="1">[66]M!#REF!</definedName>
    <definedName name="ttttt" localSheetId="59" hidden="1">[66]M!#REF!</definedName>
    <definedName name="ttttt" localSheetId="61" hidden="1">[66]M!#REF!</definedName>
    <definedName name="ttttt" localSheetId="60" hidden="1">[66]M!#REF!</definedName>
    <definedName name="ttttt" localSheetId="16" hidden="1">[66]M!#REF!</definedName>
    <definedName name="ttttt" hidden="1">[66]M!#REF!</definedName>
    <definedName name="TTTTTTTTTTTT" localSheetId="63">#N/A</definedName>
    <definedName name="TTTTTTTTTTTT" localSheetId="51">'Graf 47'!TTTTTTTTTTTT</definedName>
    <definedName name="TTTTTTTTTTTT">[25]!TTTTTTTTTTTT</definedName>
    <definedName name="TXG_D">#N/A</definedName>
    <definedName name="TXGO">#N/A</definedName>
    <definedName name="u163lnulcm_x_et.m" localSheetId="63">[38]monthly!#REF!</definedName>
    <definedName name="u163lnulcm_x_et.m" localSheetId="1">[39]monthly!#REF!</definedName>
    <definedName name="u163lnulcm_x_et.m" localSheetId="51">[40]monthly!#REF!</definedName>
    <definedName name="u163lnulcm_x_et.m" localSheetId="57">[39]monthly!#REF!</definedName>
    <definedName name="u163lnulcm_x_et.m" localSheetId="59">[39]monthly!#REF!</definedName>
    <definedName name="u163lnulcm_x_et.m" localSheetId="61">[39]monthly!#REF!</definedName>
    <definedName name="u163lnulcm_x_et.m" localSheetId="60">[39]monthly!#REF!</definedName>
    <definedName name="u163lnulcm_x_et.m" localSheetId="16">[39]monthly!#REF!</definedName>
    <definedName name="u163lnulcm_x_et.m">[39]monthly!#REF!</definedName>
    <definedName name="ULC_CZ" localSheetId="63">[5]REER!$BU$144:$BU$206</definedName>
    <definedName name="ULC_CZ" localSheetId="51">[6]REER!$BU$144:$BU$206</definedName>
    <definedName name="ULC_CZ">[24]REER!$BU$144:$BU$206</definedName>
    <definedName name="ULC_PART" localSheetId="63">[5]REER!$BR$144:$BR$206</definedName>
    <definedName name="ULC_PART" localSheetId="51">[6]REER!$BR$144:$BR$206</definedName>
    <definedName name="ULC_PART">[24]REER!$BR$144:$BR$206</definedName>
    <definedName name="Universities" localSheetId="63">#REF!</definedName>
    <definedName name="Universities" localSheetId="1">#REF!</definedName>
    <definedName name="Universities" localSheetId="57">#REF!</definedName>
    <definedName name="Universities" localSheetId="59">#REF!</definedName>
    <definedName name="Universities" localSheetId="61">#REF!</definedName>
    <definedName name="Universities" localSheetId="60">#REF!</definedName>
    <definedName name="Universities" localSheetId="16">#REF!</definedName>
    <definedName name="Universities">#REF!</definedName>
    <definedName name="UPee_2" localSheetId="63">[32]Graf14_Graf15!#REF!</definedName>
    <definedName name="UPee_2" localSheetId="57">[32]Graf14_Graf15!#REF!</definedName>
    <definedName name="UPee_2" localSheetId="59">[32]Graf14_Graf15!#REF!</definedName>
    <definedName name="UPee_2" localSheetId="61">[32]Graf14_Graf15!#REF!</definedName>
    <definedName name="UPee_2" localSheetId="60">[32]Graf14_Graf15!#REF!</definedName>
    <definedName name="UPee_2" localSheetId="16">[32]Graf14_Graf15!#REF!</definedName>
    <definedName name="UPee_2">[32]Graf14_Graf15!#REF!</definedName>
    <definedName name="UPer_2" localSheetId="63">[32]Graf14_Graf15!#REF!</definedName>
    <definedName name="UPer_2" localSheetId="57">[32]Graf14_Graf15!#REF!</definedName>
    <definedName name="UPer_2" localSheetId="59">[32]Graf14_Graf15!#REF!</definedName>
    <definedName name="UPer_2" localSheetId="61">[32]Graf14_Graf15!#REF!</definedName>
    <definedName name="UPer_2" localSheetId="60">[32]Graf14_Graf15!#REF!</definedName>
    <definedName name="UPer_2" localSheetId="16">[32]Graf14_Graf15!#REF!</definedName>
    <definedName name="UPer_2">[32]Graf14_Graf15!#REF!</definedName>
    <definedName name="Uruguay">'[81]PDR vulnerability table'!$A$3:$E$65</definedName>
    <definedName name="USERNAME" localSheetId="63">#REF!</definedName>
    <definedName name="USERNAME" localSheetId="1">#REF!</definedName>
    <definedName name="USERNAME" localSheetId="57">#REF!</definedName>
    <definedName name="USERNAME" localSheetId="59">#REF!</definedName>
    <definedName name="USERNAME" localSheetId="61">#REF!</definedName>
    <definedName name="USERNAME" localSheetId="60">#REF!</definedName>
    <definedName name="USERNAME" localSheetId="16">#REF!</definedName>
    <definedName name="USERNAME">#REF!</definedName>
    <definedName name="uu" localSheetId="63" hidden="1">{"Riqfin97",#N/A,FALSE,"Tran";"Riqfinpro",#N/A,FALSE,"Tran"}</definedName>
    <definedName name="uu" localSheetId="41" hidden="1">{"Riqfin97",#N/A,FALSE,"Tran";"Riqfinpro",#N/A,FALSE,"Tran"}</definedName>
    <definedName name="uu" localSheetId="50" hidden="1">{"Riqfin97",#N/A,FALSE,"Tran";"Riqfinpro",#N/A,FALSE,"Tran"}</definedName>
    <definedName name="uu" localSheetId="51" hidden="1">{"Riqfin97",#N/A,FALSE,"Tran";"Riqfinpro",#N/A,FALSE,"Tran"}</definedName>
    <definedName name="uu" hidden="1">{"Riqfin97",#N/A,FALSE,"Tran";"Riqfinpro",#N/A,FALSE,"Tran"}</definedName>
    <definedName name="uuu" localSheetId="63" hidden="1">{"Riqfin97",#N/A,FALSE,"Tran";"Riqfinpro",#N/A,FALSE,"Tran"}</definedName>
    <definedName name="uuu" localSheetId="41" hidden="1">{"Riqfin97",#N/A,FALSE,"Tran";"Riqfinpro",#N/A,FALSE,"Tran"}</definedName>
    <definedName name="uuu" localSheetId="50" hidden="1">{"Riqfin97",#N/A,FALSE,"Tran";"Riqfinpro",#N/A,FALSE,"Tran"}</definedName>
    <definedName name="uuu" localSheetId="51" hidden="1">{"Riqfin97",#N/A,FALSE,"Tran";"Riqfinpro",#N/A,FALSE,"Tran"}</definedName>
    <definedName name="uuu" hidden="1">{"Riqfin97",#N/A,FALSE,"Tran";"Riqfinpro",#N/A,FALSE,"Tran"}</definedName>
    <definedName name="UUUUUUUUUUU" localSheetId="63">#N/A</definedName>
    <definedName name="UUUUUUUUUUU" localSheetId="51">'Graf 47'!UUUUUUUUUUU</definedName>
    <definedName name="UUUUUUUUUUU">[25]!UUUUUUUUUUU</definedName>
    <definedName name="ValidationList" localSheetId="63">#REF!</definedName>
    <definedName name="ValidationList" localSheetId="1">#REF!</definedName>
    <definedName name="ValidationList" localSheetId="51">#REF!</definedName>
    <definedName name="ValidationList" localSheetId="57">#REF!</definedName>
    <definedName name="ValidationList" localSheetId="59">#REF!</definedName>
    <definedName name="ValidationList" localSheetId="61">#REF!</definedName>
    <definedName name="ValidationList" localSheetId="60">#REF!</definedName>
    <definedName name="ValidationList" localSheetId="16">#REF!</definedName>
    <definedName name="ValidationList">#REF!</definedName>
    <definedName name="VeljavniProracun" localSheetId="63">#REF!</definedName>
    <definedName name="VeljavniProracun" localSheetId="1">#REF!</definedName>
    <definedName name="VeljavniProracun" localSheetId="51">#REF!</definedName>
    <definedName name="VeljavniProracun" localSheetId="57">#REF!</definedName>
    <definedName name="VeljavniProracun" localSheetId="59">#REF!</definedName>
    <definedName name="VeljavniProracun" localSheetId="61">#REF!</definedName>
    <definedName name="VeljavniProracun" localSheetId="60">#REF!</definedName>
    <definedName name="VeljavniProracun" localSheetId="16">#REF!</definedName>
    <definedName name="VeljavniProracun">#REF!</definedName>
    <definedName name="Venezuela" localSheetId="63">#REF!</definedName>
    <definedName name="Venezuela" localSheetId="1">#REF!</definedName>
    <definedName name="Venezuela" localSheetId="57">#REF!</definedName>
    <definedName name="Venezuela" localSheetId="59">#REF!</definedName>
    <definedName name="Venezuela" localSheetId="61">#REF!</definedName>
    <definedName name="Venezuela" localSheetId="60">#REF!</definedName>
    <definedName name="Venezuela" localSheetId="16">#REF!</definedName>
    <definedName name="Venezuela">#REF!</definedName>
    <definedName name="vv" localSheetId="63" hidden="1">{"Tab1",#N/A,FALSE,"P";"Tab2",#N/A,FALSE,"P"}</definedName>
    <definedName name="vv" localSheetId="41" hidden="1">{"Tab1",#N/A,FALSE,"P";"Tab2",#N/A,FALSE,"P"}</definedName>
    <definedName name="vv" localSheetId="50" hidden="1">{"Tab1",#N/A,FALSE,"P";"Tab2",#N/A,FALSE,"P"}</definedName>
    <definedName name="vv" localSheetId="51" hidden="1">{"Tab1",#N/A,FALSE,"P";"Tab2",#N/A,FALSE,"P"}</definedName>
    <definedName name="vv" hidden="1">{"Tab1",#N/A,FALSE,"P";"Tab2",#N/A,FALSE,"P"}</definedName>
    <definedName name="vvv" localSheetId="63" hidden="1">{"Tab1",#N/A,FALSE,"P";"Tab2",#N/A,FALSE,"P"}</definedName>
    <definedName name="vvv" localSheetId="41" hidden="1">{"Tab1",#N/A,FALSE,"P";"Tab2",#N/A,FALSE,"P"}</definedName>
    <definedName name="vvv" localSheetId="50" hidden="1">{"Tab1",#N/A,FALSE,"P";"Tab2",#N/A,FALSE,"P"}</definedName>
    <definedName name="vvv" localSheetId="51" hidden="1">{"Tab1",#N/A,FALSE,"P";"Tab2",#N/A,FALSE,"P"}</definedName>
    <definedName name="vvv" hidden="1">{"Tab1",#N/A,FALSE,"P";"Tab2",#N/A,FALSE,"P"}</definedName>
    <definedName name="we11pcpi.m" localSheetId="63">[38]monthly!#REF!</definedName>
    <definedName name="we11pcpi.m" localSheetId="1">[39]monthly!#REF!</definedName>
    <definedName name="we11pcpi.m" localSheetId="51">[40]monthly!#REF!</definedName>
    <definedName name="we11pcpi.m" localSheetId="57">[39]monthly!#REF!</definedName>
    <definedName name="we11pcpi.m" localSheetId="59">[39]monthly!#REF!</definedName>
    <definedName name="we11pcpi.m" localSheetId="61">[39]monthly!#REF!</definedName>
    <definedName name="we11pcpi.m" localSheetId="60">[39]monthly!#REF!</definedName>
    <definedName name="we11pcpi.m" localSheetId="16">[39]monthly!#REF!</definedName>
    <definedName name="we11pcpi.m">[39]monthly!#REF!</definedName>
    <definedName name="WMENU" localSheetId="63">#REF!</definedName>
    <definedName name="WMENU" localSheetId="57">#REF!</definedName>
    <definedName name="WMENU" localSheetId="59">#REF!</definedName>
    <definedName name="WMENU" localSheetId="61">#REF!</definedName>
    <definedName name="WMENU" localSheetId="60">#REF!</definedName>
    <definedName name="WMENU" localSheetId="16">#REF!</definedName>
    <definedName name="WMENU">#REF!</definedName>
    <definedName name="wrn.1993_2002." localSheetId="41" hidden="1">{"1993_2002",#N/A,FALSE,"UnderlyingData"}</definedName>
    <definedName name="wrn.1993_2002." hidden="1">{"1993_2002",#N/A,FALSE,"UnderlyingData"}</definedName>
    <definedName name="wrn.a11._.general._.government." localSheetId="41" hidden="1">{"a11 general government",#N/A,FALSE,"RED Tables"}</definedName>
    <definedName name="wrn.a11._.general._.government." hidden="1">{"a11 general government",#N/A,FALSE,"RED Tables"}</definedName>
    <definedName name="wrn.a12._.Federal._.Government." localSheetId="41" hidden="1">{"a12 Federal Government",#N/A,FALSE,"RED Tables"}</definedName>
    <definedName name="wrn.a12._.Federal._.Government." hidden="1">{"a12 Federal Government",#N/A,FALSE,"RED Tables"}</definedName>
    <definedName name="wrn.a13._.social._.security." localSheetId="41" hidden="1">{"a13 social security",#N/A,FALSE,"RED Tables"}</definedName>
    <definedName name="wrn.a13._.social._.security." hidden="1">{"a13 social security",#N/A,FALSE,"RED Tables"}</definedName>
    <definedName name="wrn.a14._.regions._.and._.communities." localSheetId="41" hidden="1">{"a14 regions and communities",#N/A,FALSE,"RED Tables"}</definedName>
    <definedName name="wrn.a14._.regions._.and._.communities." hidden="1">{"a14 regions and communities",#N/A,FALSE,"RED Tables"}</definedName>
    <definedName name="wrn.a15._.local._.governments." localSheetId="41" hidden="1">{"a15 local governments",#N/A,FALSE,"RED Tables"}</definedName>
    <definedName name="wrn.a15._.local._.governments." hidden="1">{"a15 local governments",#N/A,FALSE,"RED Tables"}</definedName>
    <definedName name="wrn.BOP_MIDTERM." localSheetId="41" hidden="1">{"BOP_TAB",#N/A,FALSE,"N";"MIDTERM_TAB",#N/A,FALSE,"O"}</definedName>
    <definedName name="wrn.BOP_MIDTERM." hidden="1">{"BOP_TAB",#N/A,FALSE,"N";"MIDTERM_TAB",#N/A,FALSE,"O"}</definedName>
    <definedName name="wrn.Input._.and._.output._.tables." localSheetId="41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41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4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41" hidden="1">{#N/A,#N/A,FALSE,"CB";#N/A,#N/A,FALSE,"CMB";#N/A,#N/A,FALSE,"NBFI"}</definedName>
    <definedName name="wrn.MIT." hidden="1">{#N/A,#N/A,FALSE,"CB";#N/A,#N/A,FALSE,"CMB";#N/A,#N/A,FALSE,"NBFI"}</definedName>
    <definedName name="wrn.MONA." localSheetId="41" hidden="1">{"MONA",#N/A,FALSE,"S"}</definedName>
    <definedName name="wrn.MONA." hidden="1">{"MONA",#N/A,FALSE,"S"}</definedName>
    <definedName name="wrn.Output._.tables." localSheetId="41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ogram." localSheetId="63" hidden="1">{"Tab1",#N/A,FALSE,"P";"Tab2",#N/A,FALSE,"P"}</definedName>
    <definedName name="wrn.Program." localSheetId="41" hidden="1">{"Tab1",#N/A,FALSE,"P";"Tab2",#N/A,FALSE,"P"}</definedName>
    <definedName name="wrn.Program." localSheetId="50" hidden="1">{"Tab1",#N/A,FALSE,"P";"Tab2",#N/A,FALSE,"P"}</definedName>
    <definedName name="wrn.Program." localSheetId="51" hidden="1">{"Tab1",#N/A,FALSE,"P";"Tab2",#N/A,FALSE,"P"}</definedName>
    <definedName name="wrn.Program." hidden="1">{"Tab1",#N/A,FALSE,"P";"Tab2",#N/A,FALSE,"P"}</definedName>
    <definedName name="wrn.Ques._.1." localSheetId="41" hidden="1">{"Ques 1",#N/A,FALSE,"NWEO138"}</definedName>
    <definedName name="wrn.Ques._.1." hidden="1">{"Ques 1",#N/A,FALSE,"NWEO138"}</definedName>
    <definedName name="wrn.Riqfin." localSheetId="63" hidden="1">{"Riqfin97",#N/A,FALSE,"Tran";"Riqfinpro",#N/A,FALSE,"Tran"}</definedName>
    <definedName name="wrn.Riqfin." localSheetId="41" hidden="1">{"Riqfin97",#N/A,FALSE,"Tran";"Riqfinpro",#N/A,FALSE,"Tran"}</definedName>
    <definedName name="wrn.Riqfin." localSheetId="50" hidden="1">{"Riqfin97",#N/A,FALSE,"Tran";"Riqfinpro",#N/A,FALSE,"Tran"}</definedName>
    <definedName name="wrn.Riqfin." localSheetId="51" hidden="1">{"Riqfin97",#N/A,FALSE,"Tran";"Riqfinpro",#N/A,FALSE,"Tran"}</definedName>
    <definedName name="wrn.Riqfin." hidden="1">{"Riqfin97",#N/A,FALSE,"Tran";"Riqfinpro",#N/A,FALSE,"Tran"}</definedName>
    <definedName name="wrn.Staff._.Report._.Tables." localSheetId="41" hidden="1">{#N/A,#N/A,FALSE,"SRFSYS";#N/A,#N/A,FALSE,"SRBSYS"}</definedName>
    <definedName name="wrn.Staff._.Report._.Tables." hidden="1">{#N/A,#N/A,FALSE,"SRFSYS";#N/A,#N/A,FALSE,"SRBSYS"}</definedName>
    <definedName name="wrn.WEO." localSheetId="41" hidden="1">{"WEO",#N/A,FALSE,"T"}</definedName>
    <definedName name="wrn.WEO." hidden="1">{"WEO",#N/A,FALSE,"T"}</definedName>
    <definedName name="ww" localSheetId="63" hidden="1">[66]M!#REF!</definedName>
    <definedName name="ww" localSheetId="1" hidden="1">[66]M!#REF!</definedName>
    <definedName name="ww" localSheetId="50" hidden="1">[66]M!#REF!</definedName>
    <definedName name="ww" localSheetId="51" hidden="1">[66]M!#REF!</definedName>
    <definedName name="ww" localSheetId="57" hidden="1">[66]M!#REF!</definedName>
    <definedName name="ww" localSheetId="59" hidden="1">[66]M!#REF!</definedName>
    <definedName name="ww" localSheetId="61" hidden="1">[66]M!#REF!</definedName>
    <definedName name="ww" localSheetId="60" hidden="1">[66]M!#REF!</definedName>
    <definedName name="ww" localSheetId="16" hidden="1">[66]M!#REF!</definedName>
    <definedName name="ww" hidden="1">[66]M!#REF!</definedName>
    <definedName name="www" localSheetId="63" hidden="1">{"Riqfin97",#N/A,FALSE,"Tran";"Riqfinpro",#N/A,FALSE,"Tran"}</definedName>
    <definedName name="www" localSheetId="41" hidden="1">{"Riqfin97",#N/A,FALSE,"Tran";"Riqfinpro",#N/A,FALSE,"Tran"}</definedName>
    <definedName name="www" localSheetId="50" hidden="1">{"Riqfin97",#N/A,FALSE,"Tran";"Riqfinpro",#N/A,FALSE,"Tran"}</definedName>
    <definedName name="www" localSheetId="51" hidden="1">{"Riqfin97",#N/A,FALSE,"Tran";"Riqfinpro",#N/A,FALSE,"Tran"}</definedName>
    <definedName name="www" hidden="1">{"Riqfin97",#N/A,FALSE,"Tran";"Riqfinpro",#N/A,FALSE,"Tran"}</definedName>
    <definedName name="XR" localSheetId="63">[5]REER!$AT$140:$BA$199</definedName>
    <definedName name="XR" localSheetId="51">[6]REER!$AT$140:$BA$199</definedName>
    <definedName name="XR">[24]REER!$AT$140:$BA$199</definedName>
    <definedName name="xx" localSheetId="63" hidden="1">{"Riqfin97",#N/A,FALSE,"Tran";"Riqfinpro",#N/A,FALSE,"Tran"}</definedName>
    <definedName name="xx" localSheetId="41" hidden="1">{"Riqfin97",#N/A,FALSE,"Tran";"Riqfinpro",#N/A,FALSE,"Tran"}</definedName>
    <definedName name="xx" localSheetId="50" hidden="1">{"Riqfin97",#N/A,FALSE,"Tran";"Riqfinpro",#N/A,FALSE,"Tran"}</definedName>
    <definedName name="xx" localSheetId="51" hidden="1">{"Riqfin97",#N/A,FALSE,"Tran";"Riqfinpro",#N/A,FALSE,"Tran"}</definedName>
    <definedName name="xx" hidden="1">{"Riqfin97",#N/A,FALSE,"Tran";"Riqfinpro",#N/A,FALSE,"Tran"}</definedName>
    <definedName name="xxWRS_1" localSheetId="63">#REF!</definedName>
    <definedName name="xxWRS_1" localSheetId="1">#REF!</definedName>
    <definedName name="xxWRS_1" localSheetId="57">#REF!</definedName>
    <definedName name="xxWRS_1" localSheetId="59">#REF!</definedName>
    <definedName name="xxWRS_1" localSheetId="61">#REF!</definedName>
    <definedName name="xxWRS_1" localSheetId="60">#REF!</definedName>
    <definedName name="xxWRS_1" localSheetId="16">#REF!</definedName>
    <definedName name="xxWRS_1">#REF!</definedName>
    <definedName name="xxWRS_10" localSheetId="63">#REF!</definedName>
    <definedName name="xxWRS_10" localSheetId="1">#REF!</definedName>
    <definedName name="xxWRS_10" localSheetId="57">#REF!</definedName>
    <definedName name="xxWRS_10" localSheetId="59">#REF!</definedName>
    <definedName name="xxWRS_10" localSheetId="61">#REF!</definedName>
    <definedName name="xxWRS_10" localSheetId="60">#REF!</definedName>
    <definedName name="xxWRS_10" localSheetId="16">#REF!</definedName>
    <definedName name="xxWRS_10">#REF!</definedName>
    <definedName name="xxWRS_11" localSheetId="63">#REF!</definedName>
    <definedName name="xxWRS_11" localSheetId="1">#REF!</definedName>
    <definedName name="xxWRS_11" localSheetId="57">#REF!</definedName>
    <definedName name="xxWRS_11" localSheetId="59">#REF!</definedName>
    <definedName name="xxWRS_11" localSheetId="61">#REF!</definedName>
    <definedName name="xxWRS_11" localSheetId="60">#REF!</definedName>
    <definedName name="xxWRS_11" localSheetId="16">#REF!</definedName>
    <definedName name="xxWRS_11">#REF!</definedName>
    <definedName name="xxWRS_12" localSheetId="63">#REF!</definedName>
    <definedName name="xxWRS_12" localSheetId="1">#REF!</definedName>
    <definedName name="xxWRS_12" localSheetId="57">#REF!</definedName>
    <definedName name="xxWRS_12" localSheetId="59">#REF!</definedName>
    <definedName name="xxWRS_12" localSheetId="61">#REF!</definedName>
    <definedName name="xxWRS_12" localSheetId="60">#REF!</definedName>
    <definedName name="xxWRS_12" localSheetId="16">#REF!</definedName>
    <definedName name="xxWRS_12">#REF!</definedName>
    <definedName name="xxWRS_2" localSheetId="63">#REF!</definedName>
    <definedName name="xxWRS_2" localSheetId="1">#REF!</definedName>
    <definedName name="xxWRS_2" localSheetId="57">#REF!</definedName>
    <definedName name="xxWRS_2" localSheetId="59">#REF!</definedName>
    <definedName name="xxWRS_2" localSheetId="61">#REF!</definedName>
    <definedName name="xxWRS_2" localSheetId="60">#REF!</definedName>
    <definedName name="xxWRS_2" localSheetId="16">#REF!</definedName>
    <definedName name="xxWRS_2">#REF!</definedName>
    <definedName name="xxWRS_6" localSheetId="63">#REF!</definedName>
    <definedName name="xxWRS_6" localSheetId="1">#REF!</definedName>
    <definedName name="xxWRS_6" localSheetId="57">#REF!</definedName>
    <definedName name="xxWRS_6" localSheetId="59">#REF!</definedName>
    <definedName name="xxWRS_6" localSheetId="61">#REF!</definedName>
    <definedName name="xxWRS_6" localSheetId="60">#REF!</definedName>
    <definedName name="xxWRS_6" localSheetId="16">#REF!</definedName>
    <definedName name="xxWRS_6">#REF!</definedName>
    <definedName name="xxWRS_7" localSheetId="63">#REF!</definedName>
    <definedName name="xxWRS_7" localSheetId="1">#REF!</definedName>
    <definedName name="xxWRS_7" localSheetId="57">#REF!</definedName>
    <definedName name="xxWRS_7" localSheetId="59">#REF!</definedName>
    <definedName name="xxWRS_7" localSheetId="61">#REF!</definedName>
    <definedName name="xxWRS_7" localSheetId="60">#REF!</definedName>
    <definedName name="xxWRS_7" localSheetId="16">#REF!</definedName>
    <definedName name="xxWRS_7">#REF!</definedName>
    <definedName name="xxWRS_8" localSheetId="63">#REF!</definedName>
    <definedName name="xxWRS_8" localSheetId="1">#REF!</definedName>
    <definedName name="xxWRS_8" localSheetId="57">#REF!</definedName>
    <definedName name="xxWRS_8" localSheetId="59">#REF!</definedName>
    <definedName name="xxWRS_8" localSheetId="61">#REF!</definedName>
    <definedName name="xxWRS_8" localSheetId="60">#REF!</definedName>
    <definedName name="xxWRS_8" localSheetId="16">#REF!</definedName>
    <definedName name="xxWRS_8">#REF!</definedName>
    <definedName name="xxWRS_9" localSheetId="63">#REF!</definedName>
    <definedName name="xxWRS_9" localSheetId="1">#REF!</definedName>
    <definedName name="xxWRS_9" localSheetId="57">#REF!</definedName>
    <definedName name="xxWRS_9" localSheetId="59">#REF!</definedName>
    <definedName name="xxWRS_9" localSheetId="61">#REF!</definedName>
    <definedName name="xxWRS_9" localSheetId="60">#REF!</definedName>
    <definedName name="xxWRS_9" localSheetId="16">#REF!</definedName>
    <definedName name="xxWRS_9">#REF!</definedName>
    <definedName name="xxxx" localSheetId="63" hidden="1">{"Riqfin97",#N/A,FALSE,"Tran";"Riqfinpro",#N/A,FALSE,"Tran"}</definedName>
    <definedName name="xxxx" localSheetId="41" hidden="1">{"Riqfin97",#N/A,FALSE,"Tran";"Riqfinpro",#N/A,FALSE,"Tran"}</definedName>
    <definedName name="xxxx" localSheetId="50" hidden="1">{"Riqfin97",#N/A,FALSE,"Tran";"Riqfinpro",#N/A,FALSE,"Tran"}</definedName>
    <definedName name="xxxx" localSheetId="51" hidden="1">{"Riqfin97",#N/A,FALSE,"Tran";"Riqfinpro",#N/A,FALSE,"Tran"}</definedName>
    <definedName name="xxxx" hidden="1">{"Riqfin97",#N/A,FALSE,"Tran";"Riqfinpro",#N/A,FALSE,"Tran"}</definedName>
    <definedName name="year" localSheetId="63">[32]Graf14_Graf15!#REF!</definedName>
    <definedName name="year" localSheetId="57">[32]Graf14_Graf15!#REF!</definedName>
    <definedName name="year" localSheetId="59">[32]Graf14_Graf15!#REF!</definedName>
    <definedName name="year" localSheetId="61">[32]Graf14_Graf15!#REF!</definedName>
    <definedName name="year" localSheetId="60">[32]Graf14_Graf15!#REF!</definedName>
    <definedName name="year" localSheetId="16">[32]Graf14_Graf15!#REF!</definedName>
    <definedName name="year">[32]Graf14_Graf15!#REF!</definedName>
    <definedName name="yy" localSheetId="63" hidden="1">{"Tab1",#N/A,FALSE,"P";"Tab2",#N/A,FALSE,"P"}</definedName>
    <definedName name="yy" localSheetId="41" hidden="1">{"Tab1",#N/A,FALSE,"P";"Tab2",#N/A,FALSE,"P"}</definedName>
    <definedName name="yy" localSheetId="50" hidden="1">{"Tab1",#N/A,FALSE,"P";"Tab2",#N/A,FALSE,"P"}</definedName>
    <definedName name="yy" localSheetId="51" hidden="1">{"Tab1",#N/A,FALSE,"P";"Tab2",#N/A,FALSE,"P"}</definedName>
    <definedName name="yy" hidden="1">{"Tab1",#N/A,FALSE,"P";"Tab2",#N/A,FALSE,"P"}</definedName>
    <definedName name="yyy" localSheetId="63" hidden="1">{"Tab1",#N/A,FALSE,"P";"Tab2",#N/A,FALSE,"P"}</definedName>
    <definedName name="yyy" localSheetId="41" hidden="1">{"Tab1",#N/A,FALSE,"P";"Tab2",#N/A,FALSE,"P"}</definedName>
    <definedName name="yyy" localSheetId="50" hidden="1">{"Tab1",#N/A,FALSE,"P";"Tab2",#N/A,FALSE,"P"}</definedName>
    <definedName name="yyy" localSheetId="51" hidden="1">{"Tab1",#N/A,FALSE,"P";"Tab2",#N/A,FALSE,"P"}</definedName>
    <definedName name="yyy" hidden="1">{"Tab1",#N/A,FALSE,"P";"Tab2",#N/A,FALSE,"P"}</definedName>
    <definedName name="yyyy" localSheetId="63" hidden="1">{"Riqfin97",#N/A,FALSE,"Tran";"Riqfinpro",#N/A,FALSE,"Tran"}</definedName>
    <definedName name="yyyy" localSheetId="41" hidden="1">{"Riqfin97",#N/A,FALSE,"Tran";"Riqfinpro",#N/A,FALSE,"Tran"}</definedName>
    <definedName name="yyyy" localSheetId="50" hidden="1">{"Riqfin97",#N/A,FALSE,"Tran";"Riqfinpro",#N/A,FALSE,"Tran"}</definedName>
    <definedName name="yyyy" localSheetId="51" hidden="1">{"Riqfin97",#N/A,FALSE,"Tran";"Riqfinpro",#N/A,FALSE,"Tran"}</definedName>
    <definedName name="yyyy" hidden="1">{"Riqfin97",#N/A,FALSE,"Tran";"Riqfinpro",#N/A,FALSE,"Tran"}</definedName>
    <definedName name="Z_1D44FD83_577F_412D_85CC_4CD8A3A1C2A3_.wvu.Cols" localSheetId="18" hidden="1">ESA2010_source!$C:$C</definedName>
    <definedName name="Z_95224721_0485_11D4_BFD1_00508B5F4DA4_.wvu.Cols" localSheetId="63" hidden="1">#REF!</definedName>
    <definedName name="Z_95224721_0485_11D4_BFD1_00508B5F4DA4_.wvu.Cols" localSheetId="1" hidden="1">#REF!</definedName>
    <definedName name="Z_95224721_0485_11D4_BFD1_00508B5F4DA4_.wvu.Cols" localSheetId="50" hidden="1">#REF!</definedName>
    <definedName name="Z_95224721_0485_11D4_BFD1_00508B5F4DA4_.wvu.Cols" localSheetId="51" hidden="1">#REF!</definedName>
    <definedName name="Z_95224721_0485_11D4_BFD1_00508B5F4DA4_.wvu.Cols" localSheetId="57" hidden="1">#REF!</definedName>
    <definedName name="Z_95224721_0485_11D4_BFD1_00508B5F4DA4_.wvu.Cols" localSheetId="59" hidden="1">#REF!</definedName>
    <definedName name="Z_95224721_0485_11D4_BFD1_00508B5F4DA4_.wvu.Cols" localSheetId="61" hidden="1">#REF!</definedName>
    <definedName name="Z_95224721_0485_11D4_BFD1_00508B5F4DA4_.wvu.Cols" localSheetId="60" hidden="1">#REF!</definedName>
    <definedName name="Z_95224721_0485_11D4_BFD1_00508B5F4DA4_.wvu.Cols" localSheetId="16" hidden="1">#REF!</definedName>
    <definedName name="Z_95224721_0485_11D4_BFD1_00508B5F4DA4_.wvu.Cols" hidden="1">#REF!</definedName>
    <definedName name="zac_kles" localSheetId="63">[32]Graf14_Graf15!#REF!</definedName>
    <definedName name="zac_kles" localSheetId="57">[32]Graf14_Graf15!#REF!</definedName>
    <definedName name="zac_kles" localSheetId="59">[32]Graf14_Graf15!#REF!</definedName>
    <definedName name="zac_kles" localSheetId="61">[32]Graf14_Graf15!#REF!</definedName>
    <definedName name="zac_kles" localSheetId="60">[32]Graf14_Graf15!#REF!</definedName>
    <definedName name="zac_kles" localSheetId="16">[32]Graf14_Graf15!#REF!</definedName>
    <definedName name="zac_kles">[32]Graf14_Graf15!#REF!</definedName>
    <definedName name="zac_kles_2" localSheetId="63">[32]Graf14_Graf15!#REF!</definedName>
    <definedName name="zac_kles_2" localSheetId="57">[32]Graf14_Graf15!#REF!</definedName>
    <definedName name="zac_kles_2" localSheetId="59">[32]Graf14_Graf15!#REF!</definedName>
    <definedName name="zac_kles_2" localSheetId="61">[32]Graf14_Graf15!#REF!</definedName>
    <definedName name="zac_kles_2" localSheetId="60">[32]Graf14_Graf15!#REF!</definedName>
    <definedName name="zac_kles_2" localSheetId="16">[32]Graf14_Graf15!#REF!</definedName>
    <definedName name="zac_kles_2">[32]Graf14_Graf15!#REF!</definedName>
    <definedName name="ZPee_2" localSheetId="63">[32]Graf14_Graf15!#REF!</definedName>
    <definedName name="ZPee_2" localSheetId="57">[32]Graf14_Graf15!#REF!</definedName>
    <definedName name="ZPee_2" localSheetId="59">[32]Graf14_Graf15!#REF!</definedName>
    <definedName name="ZPee_2" localSheetId="61">[32]Graf14_Graf15!#REF!</definedName>
    <definedName name="ZPee_2" localSheetId="60">[32]Graf14_Graf15!#REF!</definedName>
    <definedName name="ZPee_2" localSheetId="16">[32]Graf14_Graf15!#REF!</definedName>
    <definedName name="ZPee_2">[32]Graf14_Graf15!#REF!</definedName>
    <definedName name="ZPer_2" localSheetId="63">[32]Graf14_Graf15!#REF!</definedName>
    <definedName name="ZPer_2" localSheetId="57">[32]Graf14_Graf15!#REF!</definedName>
    <definedName name="ZPer_2" localSheetId="59">[32]Graf14_Graf15!#REF!</definedName>
    <definedName name="ZPer_2" localSheetId="61">[32]Graf14_Graf15!#REF!</definedName>
    <definedName name="ZPer_2" localSheetId="60">[32]Graf14_Graf15!#REF!</definedName>
    <definedName name="ZPer_2" localSheetId="16">[32]Graf14_Graf15!#REF!</definedName>
    <definedName name="ZPer_2">[32]Graf14_Graf15!#REF!</definedName>
    <definedName name="zpiz" localSheetId="63">[53]ZPIZ!$A:$F</definedName>
    <definedName name="zpiz">[53]ZPIZ!$A$1:$F$65536</definedName>
    <definedName name="zz" localSheetId="63" hidden="1">{"Tab1",#N/A,FALSE,"P";"Tab2",#N/A,FALSE,"P"}</definedName>
    <definedName name="zz" localSheetId="41" hidden="1">{"Tab1",#N/A,FALSE,"P";"Tab2",#N/A,FALSE,"P"}</definedName>
    <definedName name="zz" localSheetId="50" hidden="1">{"Tab1",#N/A,FALSE,"P";"Tab2",#N/A,FALSE,"P"}</definedName>
    <definedName name="zz" localSheetId="51" hidden="1">{"Tab1",#N/A,FALSE,"P";"Tab2",#N/A,FALSE,"P"}</definedName>
    <definedName name="zz" hidden="1">{"Tab1",#N/A,FALSE,"P";"Tab2",#N/A,FALSE,"P"}</definedName>
    <definedName name="zzzs" localSheetId="63">[53]ZZZS!$A:$E</definedName>
    <definedName name="zzzs">[53]ZZZS!$A$1:$E$65536</definedName>
  </definedNames>
  <calcPr calcId="152511"/>
</workbook>
</file>

<file path=xl/calcChain.xml><?xml version="1.0" encoding="utf-8"?>
<calcChain xmlns="http://schemas.openxmlformats.org/spreadsheetml/2006/main">
  <c r="R5" i="29" l="1"/>
  <c r="C25" i="28" l="1"/>
  <c r="D25" i="28"/>
  <c r="E25" i="28"/>
  <c r="F25" i="28"/>
  <c r="G25" i="28"/>
  <c r="B25" i="28"/>
  <c r="C24" i="28"/>
  <c r="D24" i="28"/>
  <c r="E24" i="28"/>
  <c r="F24" i="28"/>
  <c r="G24" i="28"/>
  <c r="B24" i="28"/>
  <c r="C12" i="28"/>
  <c r="B22" i="28" l="1"/>
  <c r="B11" i="28"/>
  <c r="L26" i="18" l="1"/>
  <c r="L27" i="18"/>
  <c r="L28" i="18"/>
  <c r="L29" i="18"/>
  <c r="L30" i="18"/>
  <c r="L31" i="18"/>
  <c r="L32" i="18"/>
  <c r="L33" i="18"/>
  <c r="L34" i="18"/>
  <c r="L35" i="18"/>
  <c r="L36" i="18"/>
  <c r="L37" i="18"/>
  <c r="L38" i="18"/>
  <c r="L39" i="18"/>
  <c r="L25" i="18"/>
  <c r="I7" i="24" l="1"/>
  <c r="H7" i="24"/>
  <c r="G7" i="24"/>
  <c r="G29" i="24" s="1"/>
  <c r="G58" i="24" s="1"/>
  <c r="F7" i="24"/>
  <c r="E7" i="24"/>
  <c r="D7" i="24"/>
  <c r="D36" i="24" s="1"/>
  <c r="I61" i="157"/>
  <c r="J61" i="157"/>
  <c r="K61" i="157"/>
  <c r="L61" i="157"/>
  <c r="M61" i="157"/>
  <c r="I62" i="157"/>
  <c r="J62" i="157"/>
  <c r="K62" i="157"/>
  <c r="L62" i="157"/>
  <c r="M62" i="157"/>
  <c r="I63" i="157"/>
  <c r="J63" i="157"/>
  <c r="K63" i="157"/>
  <c r="L63" i="157"/>
  <c r="M63" i="157"/>
  <c r="I64" i="157"/>
  <c r="J64" i="157"/>
  <c r="K64" i="157"/>
  <c r="L64" i="157"/>
  <c r="M64" i="157"/>
  <c r="H62" i="157"/>
  <c r="H63" i="157"/>
  <c r="H64" i="157"/>
  <c r="H61" i="157"/>
  <c r="O32" i="157"/>
  <c r="P32" i="157" s="1"/>
  <c r="N30" i="157"/>
  <c r="N31" i="157"/>
  <c r="N32" i="157"/>
  <c r="N64" i="157" s="1"/>
  <c r="N29" i="157"/>
  <c r="B57" i="157"/>
  <c r="C57" i="157"/>
  <c r="D57" i="157"/>
  <c r="E57" i="157"/>
  <c r="F57" i="157"/>
  <c r="G57" i="157"/>
  <c r="H57" i="157"/>
  <c r="I57" i="157"/>
  <c r="J57" i="157"/>
  <c r="K57" i="157"/>
  <c r="L57" i="157"/>
  <c r="M57" i="157"/>
  <c r="N57" i="157"/>
  <c r="O57" i="157"/>
  <c r="P57" i="157"/>
  <c r="Q57" i="157"/>
  <c r="B58" i="157"/>
  <c r="C58" i="157"/>
  <c r="D58" i="157"/>
  <c r="E58" i="157"/>
  <c r="F58" i="157"/>
  <c r="G58" i="157"/>
  <c r="H58" i="157"/>
  <c r="I58" i="157"/>
  <c r="J58" i="157"/>
  <c r="K58" i="157"/>
  <c r="L58" i="157"/>
  <c r="M58" i="157"/>
  <c r="N58" i="157"/>
  <c r="O58" i="157"/>
  <c r="P58" i="157"/>
  <c r="Q58" i="157"/>
  <c r="B59" i="157"/>
  <c r="C59" i="157"/>
  <c r="D59" i="157"/>
  <c r="E59" i="157"/>
  <c r="F59" i="157"/>
  <c r="G59" i="157"/>
  <c r="H59" i="157"/>
  <c r="I59" i="157"/>
  <c r="J59" i="157"/>
  <c r="K59" i="157"/>
  <c r="L59" i="157"/>
  <c r="M59" i="157"/>
  <c r="N59" i="157"/>
  <c r="O59" i="157"/>
  <c r="P59" i="157"/>
  <c r="Q59" i="157"/>
  <c r="B60" i="157"/>
  <c r="C60" i="157"/>
  <c r="D60" i="157"/>
  <c r="E60" i="157"/>
  <c r="F60" i="157"/>
  <c r="G60" i="157"/>
  <c r="H60" i="157"/>
  <c r="I60" i="157"/>
  <c r="J60" i="157"/>
  <c r="K60" i="157"/>
  <c r="L60" i="157"/>
  <c r="M60" i="157"/>
  <c r="N60" i="157"/>
  <c r="O60" i="157"/>
  <c r="P60" i="157"/>
  <c r="Q60" i="157"/>
  <c r="C56" i="157"/>
  <c r="D56" i="157"/>
  <c r="E56" i="157"/>
  <c r="F56" i="157"/>
  <c r="G56" i="157"/>
  <c r="H56" i="157"/>
  <c r="I56" i="157"/>
  <c r="J56" i="157"/>
  <c r="K56" i="157"/>
  <c r="L56" i="157"/>
  <c r="M56" i="157"/>
  <c r="N56" i="157"/>
  <c r="O56" i="157"/>
  <c r="P56" i="157"/>
  <c r="Q56" i="157"/>
  <c r="B56" i="157"/>
  <c r="B30" i="98"/>
  <c r="K23" i="94" s="1"/>
  <c r="K23" i="142" s="1"/>
  <c r="K47" i="142" s="1"/>
  <c r="C30" i="98"/>
  <c r="L23" i="94" s="1"/>
  <c r="L23" i="142"/>
  <c r="L47" i="142" s="1"/>
  <c r="D30" i="98"/>
  <c r="M23" i="94" s="1"/>
  <c r="M23" i="142" s="1"/>
  <c r="M47" i="142" s="1"/>
  <c r="E30" i="98"/>
  <c r="N23" i="94" s="1"/>
  <c r="N23" i="142"/>
  <c r="N47" i="142" s="1"/>
  <c r="F30" i="98"/>
  <c r="O23" i="94" s="1"/>
  <c r="O23" i="142" s="1"/>
  <c r="O47" i="142" s="1"/>
  <c r="G30" i="98"/>
  <c r="P23" i="94" s="1"/>
  <c r="P23" i="142"/>
  <c r="P47" i="142" s="1"/>
  <c r="K24" i="94"/>
  <c r="K24" i="142" s="1"/>
  <c r="K48" i="142"/>
  <c r="L24" i="94"/>
  <c r="L24" i="142" s="1"/>
  <c r="L48" i="142" s="1"/>
  <c r="M24" i="94"/>
  <c r="M24" i="142" s="1"/>
  <c r="M48" i="142" s="1"/>
  <c r="N24" i="94"/>
  <c r="N24" i="142"/>
  <c r="N48" i="142" s="1"/>
  <c r="O24" i="94"/>
  <c r="O24" i="142" s="1"/>
  <c r="O48" i="142" s="1"/>
  <c r="P24" i="94"/>
  <c r="P24" i="142" s="1"/>
  <c r="P48" i="142" s="1"/>
  <c r="X32" i="160"/>
  <c r="W32" i="160"/>
  <c r="V32" i="160"/>
  <c r="U32" i="160"/>
  <c r="T32" i="160"/>
  <c r="S32" i="160"/>
  <c r="R32" i="160"/>
  <c r="Q32" i="160"/>
  <c r="P32" i="160"/>
  <c r="O32" i="160"/>
  <c r="N32" i="160"/>
  <c r="M32" i="160"/>
  <c r="X12" i="160"/>
  <c r="W12" i="160"/>
  <c r="V12" i="160"/>
  <c r="U12" i="160"/>
  <c r="T12" i="160"/>
  <c r="S12" i="160"/>
  <c r="R12" i="160"/>
  <c r="Q12" i="160"/>
  <c r="P12" i="160"/>
  <c r="O12" i="160"/>
  <c r="N12" i="160"/>
  <c r="M12" i="160"/>
  <c r="B46" i="150"/>
  <c r="B48" i="150" s="1"/>
  <c r="B49" i="150" s="1"/>
  <c r="C46" i="150"/>
  <c r="C48" i="150" s="1"/>
  <c r="C42" i="150"/>
  <c r="C33" i="150"/>
  <c r="D46" i="150"/>
  <c r="D42" i="150"/>
  <c r="D33" i="150"/>
  <c r="E46" i="150"/>
  <c r="E42" i="150"/>
  <c r="E33" i="150"/>
  <c r="F46" i="150"/>
  <c r="F42" i="150"/>
  <c r="F33" i="150"/>
  <c r="G46" i="150"/>
  <c r="G42" i="150"/>
  <c r="G33" i="150"/>
  <c r="B5" i="158"/>
  <c r="B27" i="158" s="1"/>
  <c r="C5" i="158"/>
  <c r="D5" i="158"/>
  <c r="E5" i="158"/>
  <c r="E27" i="158" s="1"/>
  <c r="F5" i="158"/>
  <c r="F27" i="158" s="1"/>
  <c r="G5" i="158"/>
  <c r="B21" i="158"/>
  <c r="B43" i="158" s="1"/>
  <c r="C21" i="158"/>
  <c r="D21" i="158"/>
  <c r="D43" i="158" s="1"/>
  <c r="E21" i="158"/>
  <c r="F21" i="158"/>
  <c r="F43" i="158" s="1"/>
  <c r="G21" i="158"/>
  <c r="G43" i="158" s="1"/>
  <c r="B25" i="158"/>
  <c r="C25" i="158"/>
  <c r="D25" i="158"/>
  <c r="E25" i="158"/>
  <c r="F25" i="158"/>
  <c r="G25" i="158"/>
  <c r="B26" i="158"/>
  <c r="C27" i="158"/>
  <c r="D27" i="158"/>
  <c r="G27" i="158"/>
  <c r="B28" i="158"/>
  <c r="C28" i="158"/>
  <c r="D28" i="158"/>
  <c r="E28" i="158"/>
  <c r="F28" i="158"/>
  <c r="G28" i="158"/>
  <c r="B29" i="158"/>
  <c r="C29" i="158"/>
  <c r="D29" i="158"/>
  <c r="E29" i="158"/>
  <c r="F29" i="158"/>
  <c r="G29" i="158"/>
  <c r="B30" i="158"/>
  <c r="C30" i="158"/>
  <c r="D30" i="158"/>
  <c r="E30" i="158"/>
  <c r="F30" i="158"/>
  <c r="G30" i="158"/>
  <c r="B31" i="158"/>
  <c r="C31" i="158"/>
  <c r="D31" i="158"/>
  <c r="E31" i="158"/>
  <c r="F31" i="158"/>
  <c r="G31" i="158"/>
  <c r="B32" i="158"/>
  <c r="C32" i="158"/>
  <c r="D32" i="158"/>
  <c r="E32" i="158"/>
  <c r="F32" i="158"/>
  <c r="G32" i="158"/>
  <c r="B33" i="158"/>
  <c r="C33" i="158"/>
  <c r="D33" i="158"/>
  <c r="E33" i="158"/>
  <c r="F33" i="158"/>
  <c r="G33" i="158"/>
  <c r="B34" i="158"/>
  <c r="C34" i="158"/>
  <c r="D34" i="158"/>
  <c r="E34" i="158"/>
  <c r="F34" i="158"/>
  <c r="G34" i="158"/>
  <c r="B35" i="158"/>
  <c r="C35" i="158"/>
  <c r="D35" i="158"/>
  <c r="E35" i="158"/>
  <c r="F35" i="158"/>
  <c r="G35" i="158"/>
  <c r="B36" i="158"/>
  <c r="C36" i="158"/>
  <c r="D36" i="158"/>
  <c r="E36" i="158"/>
  <c r="F36" i="158"/>
  <c r="G36" i="158"/>
  <c r="B37" i="158"/>
  <c r="C37" i="158"/>
  <c r="D37" i="158"/>
  <c r="E37" i="158"/>
  <c r="F37" i="158"/>
  <c r="G37" i="158"/>
  <c r="B38" i="158"/>
  <c r="C38" i="158"/>
  <c r="D38" i="158"/>
  <c r="E38" i="158"/>
  <c r="F38" i="158"/>
  <c r="G38" i="158"/>
  <c r="E43" i="158"/>
  <c r="M37" i="20"/>
  <c r="K37" i="20"/>
  <c r="N37" i="20"/>
  <c r="K27" i="20"/>
  <c r="K28" i="20"/>
  <c r="K29" i="20"/>
  <c r="K30" i="20"/>
  <c r="K31" i="20"/>
  <c r="K32" i="20"/>
  <c r="K33" i="20"/>
  <c r="K34" i="20"/>
  <c r="K35" i="20"/>
  <c r="K36" i="20"/>
  <c r="K26" i="20"/>
  <c r="L26" i="20"/>
  <c r="O26" i="20"/>
  <c r="J27" i="4"/>
  <c r="J28" i="4"/>
  <c r="J29" i="4"/>
  <c r="J30" i="4"/>
  <c r="J31" i="4"/>
  <c r="J32" i="4"/>
  <c r="J34" i="4"/>
  <c r="J35" i="4"/>
  <c r="J36" i="4"/>
  <c r="J37" i="4"/>
  <c r="J38" i="4"/>
  <c r="J39" i="4"/>
  <c r="H27" i="4"/>
  <c r="H28" i="4"/>
  <c r="H29" i="4"/>
  <c r="H30" i="4"/>
  <c r="H31" i="4"/>
  <c r="H32" i="4"/>
  <c r="H34" i="4"/>
  <c r="H35" i="4"/>
  <c r="H36" i="4"/>
  <c r="H37" i="4"/>
  <c r="H38" i="4"/>
  <c r="H39" i="4"/>
  <c r="G27" i="4"/>
  <c r="G28" i="4"/>
  <c r="G29" i="4"/>
  <c r="G30" i="4"/>
  <c r="G31" i="4"/>
  <c r="G32" i="4"/>
  <c r="G34" i="4"/>
  <c r="G35" i="4"/>
  <c r="G36" i="4"/>
  <c r="G37" i="4"/>
  <c r="G38" i="4"/>
  <c r="G39" i="4"/>
  <c r="F27" i="4"/>
  <c r="F28" i="4"/>
  <c r="F29" i="4"/>
  <c r="F30" i="4"/>
  <c r="F31" i="4"/>
  <c r="F32" i="4"/>
  <c r="F34" i="4"/>
  <c r="F35" i="4"/>
  <c r="F36" i="4"/>
  <c r="F37" i="4"/>
  <c r="F18" i="4"/>
  <c r="F38" i="4"/>
  <c r="D27" i="4"/>
  <c r="D28" i="4"/>
  <c r="D29" i="4"/>
  <c r="D30" i="4"/>
  <c r="D31" i="4"/>
  <c r="D32" i="4"/>
  <c r="D34" i="4"/>
  <c r="D35" i="4"/>
  <c r="D36" i="4"/>
  <c r="D37" i="4"/>
  <c r="D38" i="4"/>
  <c r="C27" i="4"/>
  <c r="C28" i="4"/>
  <c r="C29" i="4"/>
  <c r="C30" i="4"/>
  <c r="C31" i="4"/>
  <c r="C32" i="4"/>
  <c r="C34" i="4"/>
  <c r="C35" i="4"/>
  <c r="C36" i="4"/>
  <c r="C37" i="4"/>
  <c r="C18" i="4"/>
  <c r="C38" i="4"/>
  <c r="AR27" i="153"/>
  <c r="AS27" i="153" s="1"/>
  <c r="AT27" i="153" s="1"/>
  <c r="AU27" i="153" s="1"/>
  <c r="AV27" i="153" s="1"/>
  <c r="AW27" i="153" s="1"/>
  <c r="AX27" i="153" s="1"/>
  <c r="AY27" i="153" s="1"/>
  <c r="AZ27" i="153" s="1"/>
  <c r="BA26" i="153" s="1"/>
  <c r="BA24" i="153"/>
  <c r="BA25" i="153"/>
  <c r="F22" i="150"/>
  <c r="C20" i="150"/>
  <c r="D20" i="150"/>
  <c r="E20" i="150"/>
  <c r="E22" i="150" s="1"/>
  <c r="F20" i="150"/>
  <c r="G20" i="150"/>
  <c r="B20" i="150"/>
  <c r="B22" i="150" s="1"/>
  <c r="B23" i="150" s="1"/>
  <c r="D16" i="150"/>
  <c r="E16" i="150"/>
  <c r="F16" i="150"/>
  <c r="G16" i="150"/>
  <c r="C16" i="150"/>
  <c r="C22" i="150" s="1"/>
  <c r="C23" i="150" s="1"/>
  <c r="C7" i="150"/>
  <c r="D7" i="150"/>
  <c r="E7" i="150"/>
  <c r="G7" i="150"/>
  <c r="G22" i="150" s="1"/>
  <c r="F7" i="150"/>
  <c r="M20" i="137"/>
  <c r="M32" i="137" s="1"/>
  <c r="L20" i="137"/>
  <c r="L32" i="137" s="1"/>
  <c r="L22" i="137"/>
  <c r="L34" i="137" s="1"/>
  <c r="D21" i="135"/>
  <c r="E21" i="135"/>
  <c r="F21" i="135"/>
  <c r="G21" i="135"/>
  <c r="D22" i="135"/>
  <c r="E22" i="135"/>
  <c r="F22" i="135"/>
  <c r="G22" i="135"/>
  <c r="D23" i="135"/>
  <c r="E23" i="135"/>
  <c r="F23" i="135"/>
  <c r="G23" i="135"/>
  <c r="D24" i="135"/>
  <c r="E24" i="135"/>
  <c r="F24" i="135"/>
  <c r="G24" i="135"/>
  <c r="D25" i="135"/>
  <c r="E25" i="135"/>
  <c r="F25" i="135"/>
  <c r="G25" i="135"/>
  <c r="D26" i="135"/>
  <c r="E26" i="135"/>
  <c r="F26" i="135"/>
  <c r="G26" i="135"/>
  <c r="D27" i="135"/>
  <c r="E27" i="135"/>
  <c r="F27" i="135"/>
  <c r="G27" i="135"/>
  <c r="D28" i="135"/>
  <c r="E28" i="135"/>
  <c r="F28" i="135"/>
  <c r="G28" i="135"/>
  <c r="D29" i="135"/>
  <c r="E29" i="135"/>
  <c r="F29" i="135"/>
  <c r="G29" i="135"/>
  <c r="D30" i="135"/>
  <c r="E30" i="135"/>
  <c r="F30" i="135"/>
  <c r="G30" i="135"/>
  <c r="E20" i="135"/>
  <c r="F20" i="135"/>
  <c r="G20" i="135"/>
  <c r="D20" i="135"/>
  <c r="E25" i="114"/>
  <c r="L19" i="97"/>
  <c r="M19" i="97"/>
  <c r="L20" i="97"/>
  <c r="M20" i="97"/>
  <c r="L21" i="97"/>
  <c r="M21" i="97"/>
  <c r="L22" i="97"/>
  <c r="M22" i="97"/>
  <c r="L23" i="97"/>
  <c r="M23" i="97"/>
  <c r="L24" i="97"/>
  <c r="M24" i="97"/>
  <c r="L25" i="97"/>
  <c r="M25" i="97"/>
  <c r="L26" i="97"/>
  <c r="M26" i="97"/>
  <c r="L27" i="97"/>
  <c r="M27" i="97"/>
  <c r="L28" i="97"/>
  <c r="M28" i="97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C24" i="91"/>
  <c r="C25" i="91"/>
  <c r="C26" i="91"/>
  <c r="C27" i="91"/>
  <c r="C28" i="91"/>
  <c r="C29" i="91"/>
  <c r="C30" i="91"/>
  <c r="C31" i="91"/>
  <c r="C32" i="91"/>
  <c r="C33" i="91"/>
  <c r="C34" i="91"/>
  <c r="C35" i="91"/>
  <c r="C36" i="91"/>
  <c r="C23" i="91"/>
  <c r="B24" i="91"/>
  <c r="B27" i="91"/>
  <c r="B29" i="91"/>
  <c r="B30" i="91"/>
  <c r="B33" i="91"/>
  <c r="B23" i="91"/>
  <c r="F13" i="113"/>
  <c r="F26" i="113" s="1"/>
  <c r="C19" i="113"/>
  <c r="D19" i="113"/>
  <c r="E19" i="113"/>
  <c r="F19" i="113"/>
  <c r="C20" i="113"/>
  <c r="D20" i="113"/>
  <c r="E20" i="113"/>
  <c r="F20" i="113"/>
  <c r="C21" i="113"/>
  <c r="D21" i="113"/>
  <c r="E21" i="113"/>
  <c r="F21" i="113"/>
  <c r="C22" i="113"/>
  <c r="D22" i="113"/>
  <c r="E22" i="113"/>
  <c r="F22" i="113"/>
  <c r="C23" i="113"/>
  <c r="D23" i="113"/>
  <c r="E23" i="113"/>
  <c r="F23" i="113"/>
  <c r="C24" i="113"/>
  <c r="D24" i="113"/>
  <c r="E24" i="113"/>
  <c r="F24" i="113"/>
  <c r="C25" i="113"/>
  <c r="D25" i="113"/>
  <c r="E25" i="113"/>
  <c r="F25" i="113"/>
  <c r="D18" i="113"/>
  <c r="E18" i="113"/>
  <c r="F18" i="113"/>
  <c r="C18" i="113"/>
  <c r="D17" i="113"/>
  <c r="E17" i="113"/>
  <c r="F17" i="113"/>
  <c r="C17" i="113"/>
  <c r="D13" i="113"/>
  <c r="D26" i="113" s="1"/>
  <c r="E13" i="113"/>
  <c r="E26" i="113" s="1"/>
  <c r="C13" i="113"/>
  <c r="C26" i="113" s="1"/>
  <c r="Z51" i="138"/>
  <c r="Y51" i="138"/>
  <c r="X51" i="138"/>
  <c r="W51" i="138"/>
  <c r="V51" i="138"/>
  <c r="U51" i="138"/>
  <c r="T51" i="138"/>
  <c r="S51" i="138"/>
  <c r="R51" i="138"/>
  <c r="Q51" i="138"/>
  <c r="P51" i="138"/>
  <c r="Z24" i="138"/>
  <c r="Y24" i="138"/>
  <c r="X24" i="138"/>
  <c r="W24" i="138"/>
  <c r="V24" i="138"/>
  <c r="U24" i="138"/>
  <c r="T24" i="138"/>
  <c r="S24" i="138"/>
  <c r="R24" i="138"/>
  <c r="Q24" i="138"/>
  <c r="P24" i="138"/>
  <c r="M51" i="138"/>
  <c r="L51" i="138"/>
  <c r="K51" i="138"/>
  <c r="J51" i="138"/>
  <c r="I51" i="138"/>
  <c r="H51" i="138"/>
  <c r="G51" i="138"/>
  <c r="F51" i="138"/>
  <c r="E51" i="138"/>
  <c r="D51" i="138"/>
  <c r="C51" i="138"/>
  <c r="M24" i="138"/>
  <c r="L24" i="138"/>
  <c r="K24" i="138"/>
  <c r="J24" i="138"/>
  <c r="I24" i="138"/>
  <c r="H24" i="138"/>
  <c r="G24" i="138"/>
  <c r="F24" i="138"/>
  <c r="E24" i="138"/>
  <c r="D24" i="138"/>
  <c r="C24" i="138"/>
  <c r="B48" i="142"/>
  <c r="C48" i="142"/>
  <c r="D48" i="142"/>
  <c r="E48" i="142"/>
  <c r="F48" i="142"/>
  <c r="G48" i="142"/>
  <c r="C20" i="142"/>
  <c r="C44" i="142" s="1"/>
  <c r="D20" i="142"/>
  <c r="D44" i="142" s="1"/>
  <c r="E20" i="142"/>
  <c r="E44" i="142" s="1"/>
  <c r="F20" i="142"/>
  <c r="F44" i="142" s="1"/>
  <c r="G20" i="142"/>
  <c r="G44" i="142" s="1"/>
  <c r="B23" i="142"/>
  <c r="B47" i="142" s="1"/>
  <c r="B20" i="142"/>
  <c r="B44" i="142" s="1"/>
  <c r="AM48" i="129"/>
  <c r="AM45" i="129"/>
  <c r="L41" i="143"/>
  <c r="L49" i="143" s="1"/>
  <c r="H15" i="30" s="1"/>
  <c r="V86" i="110"/>
  <c r="V82" i="110"/>
  <c r="V81" i="110"/>
  <c r="E22" i="25" s="1"/>
  <c r="E46" i="25" s="1"/>
  <c r="V73" i="110"/>
  <c r="V61" i="110"/>
  <c r="V57" i="110"/>
  <c r="V58" i="110"/>
  <c r="V49" i="110"/>
  <c r="V47" i="110"/>
  <c r="V37" i="110"/>
  <c r="V31" i="110"/>
  <c r="V30" i="110" s="1"/>
  <c r="V25" i="110"/>
  <c r="V24" i="110" s="1"/>
  <c r="E9" i="25" s="1"/>
  <c r="E33" i="25" s="1"/>
  <c r="V16" i="110"/>
  <c r="V9" i="110"/>
  <c r="E8" i="25" s="1"/>
  <c r="R86" i="110"/>
  <c r="R81" i="110" s="1"/>
  <c r="H22" i="25" s="1"/>
  <c r="R82" i="110"/>
  <c r="R73" i="110"/>
  <c r="R61" i="110"/>
  <c r="R58" i="110"/>
  <c r="R42" i="110" s="1"/>
  <c r="R57" i="110"/>
  <c r="R49" i="110"/>
  <c r="R47" i="110"/>
  <c r="R37" i="110"/>
  <c r="H11" i="25" s="1"/>
  <c r="R31" i="110"/>
  <c r="R30" i="110" s="1"/>
  <c r="R25" i="110"/>
  <c r="R24" i="110"/>
  <c r="R16" i="110"/>
  <c r="R9" i="110"/>
  <c r="C38" i="24"/>
  <c r="C39" i="24"/>
  <c r="C40" i="24"/>
  <c r="C42" i="24"/>
  <c r="C43" i="24"/>
  <c r="C44" i="24"/>
  <c r="C45" i="24"/>
  <c r="C48" i="24"/>
  <c r="C50" i="24"/>
  <c r="C52" i="24"/>
  <c r="C53" i="24"/>
  <c r="C54" i="24"/>
  <c r="C55" i="24"/>
  <c r="C56" i="24"/>
  <c r="C57" i="24"/>
  <c r="C37" i="24"/>
  <c r="D57" i="24"/>
  <c r="E57" i="24"/>
  <c r="F57" i="24"/>
  <c r="G57" i="24"/>
  <c r="H57" i="24"/>
  <c r="I57" i="24"/>
  <c r="E42" i="24"/>
  <c r="F42" i="24"/>
  <c r="G42" i="24"/>
  <c r="H42" i="24"/>
  <c r="I42" i="24"/>
  <c r="E44" i="24"/>
  <c r="F44" i="24"/>
  <c r="G44" i="24"/>
  <c r="H44" i="24"/>
  <c r="I44" i="24"/>
  <c r="E45" i="24"/>
  <c r="F45" i="24"/>
  <c r="G45" i="24"/>
  <c r="H45" i="24"/>
  <c r="I45" i="24"/>
  <c r="D44" i="24"/>
  <c r="D45" i="24"/>
  <c r="D42" i="24"/>
  <c r="T86" i="110"/>
  <c r="C25" i="25" s="1"/>
  <c r="U86" i="110"/>
  <c r="D25" i="25" s="1"/>
  <c r="T82" i="110"/>
  <c r="U82" i="110"/>
  <c r="T73" i="110"/>
  <c r="U73" i="110"/>
  <c r="T61" i="110"/>
  <c r="U61" i="110"/>
  <c r="T57" i="110"/>
  <c r="U57" i="110"/>
  <c r="T58" i="110"/>
  <c r="U58" i="110"/>
  <c r="T49" i="110"/>
  <c r="U49" i="110"/>
  <c r="T47" i="110"/>
  <c r="U47" i="110"/>
  <c r="T37" i="110"/>
  <c r="U37" i="110"/>
  <c r="T31" i="110"/>
  <c r="T30" i="110" s="1"/>
  <c r="U31" i="110"/>
  <c r="U30" i="110" s="1"/>
  <c r="T25" i="110"/>
  <c r="T24" i="110"/>
  <c r="U25" i="110"/>
  <c r="U24" i="110" s="1"/>
  <c r="T16" i="110"/>
  <c r="U16" i="110"/>
  <c r="T9" i="110"/>
  <c r="C8" i="25" s="1"/>
  <c r="C32" i="25" s="1"/>
  <c r="U9" i="110"/>
  <c r="P86" i="110"/>
  <c r="Q86" i="110"/>
  <c r="P82" i="110"/>
  <c r="Q82" i="110"/>
  <c r="P73" i="110"/>
  <c r="Q73" i="110"/>
  <c r="P61" i="110"/>
  <c r="F18" i="25" s="1"/>
  <c r="Q61" i="110"/>
  <c r="P58" i="110"/>
  <c r="Q58" i="110"/>
  <c r="P57" i="110"/>
  <c r="Q57" i="110"/>
  <c r="P49" i="110"/>
  <c r="Q49" i="110"/>
  <c r="P47" i="110"/>
  <c r="Q47" i="110"/>
  <c r="P37" i="110"/>
  <c r="Q37" i="110"/>
  <c r="P31" i="110"/>
  <c r="P30" i="110" s="1"/>
  <c r="F10" i="25" s="1"/>
  <c r="Q31" i="110"/>
  <c r="Q30" i="110" s="1"/>
  <c r="P25" i="110"/>
  <c r="P24" i="110" s="1"/>
  <c r="F9" i="25" s="1"/>
  <c r="F33" i="25" s="1"/>
  <c r="Q25" i="110"/>
  <c r="Q24" i="110" s="1"/>
  <c r="P16" i="110"/>
  <c r="Q16" i="110"/>
  <c r="P9" i="110"/>
  <c r="F8" i="25" s="1"/>
  <c r="Q9" i="110"/>
  <c r="M41" i="143"/>
  <c r="B58" i="100"/>
  <c r="D58" i="100" s="1"/>
  <c r="C58" i="100"/>
  <c r="E58" i="100"/>
  <c r="F58" i="100"/>
  <c r="G58" i="100"/>
  <c r="H58" i="100"/>
  <c r="I58" i="100"/>
  <c r="J58" i="100"/>
  <c r="K58" i="100"/>
  <c r="L58" i="100"/>
  <c r="M58" i="100"/>
  <c r="A58" i="100"/>
  <c r="C20" i="114"/>
  <c r="D20" i="114"/>
  <c r="E20" i="114"/>
  <c r="E21" i="114"/>
  <c r="C22" i="114"/>
  <c r="D22" i="114"/>
  <c r="E22" i="114"/>
  <c r="C23" i="114"/>
  <c r="D23" i="114"/>
  <c r="E23" i="114"/>
  <c r="C24" i="114"/>
  <c r="D24" i="114"/>
  <c r="E24" i="114"/>
  <c r="C25" i="114"/>
  <c r="D25" i="114"/>
  <c r="C26" i="114"/>
  <c r="C27" i="114"/>
  <c r="C28" i="114"/>
  <c r="D28" i="114"/>
  <c r="E28" i="114"/>
  <c r="C29" i="114"/>
  <c r="D29" i="114"/>
  <c r="E29" i="114"/>
  <c r="E30" i="114"/>
  <c r="D68" i="30"/>
  <c r="C68" i="30"/>
  <c r="D65" i="30"/>
  <c r="E65" i="30"/>
  <c r="F65" i="30"/>
  <c r="G65" i="30"/>
  <c r="H65" i="30"/>
  <c r="I65" i="30"/>
  <c r="J65" i="30"/>
  <c r="C65" i="30"/>
  <c r="D59" i="30"/>
  <c r="E59" i="30"/>
  <c r="F59" i="30"/>
  <c r="G59" i="30"/>
  <c r="H59" i="30"/>
  <c r="I59" i="30"/>
  <c r="J59" i="30"/>
  <c r="C59" i="30"/>
  <c r="B21" i="142"/>
  <c r="B45" i="142" s="1"/>
  <c r="C12" i="39"/>
  <c r="C28" i="39" s="1"/>
  <c r="C21" i="142"/>
  <c r="C45" i="142" s="1"/>
  <c r="V90" i="110"/>
  <c r="U90" i="110"/>
  <c r="T90" i="110"/>
  <c r="E37" i="24"/>
  <c r="F37" i="24"/>
  <c r="G37" i="24"/>
  <c r="H37" i="24"/>
  <c r="I37" i="24"/>
  <c r="E38" i="24"/>
  <c r="F38" i="24"/>
  <c r="G38" i="24"/>
  <c r="H38" i="24"/>
  <c r="I38" i="24"/>
  <c r="E39" i="24"/>
  <c r="F39" i="24"/>
  <c r="G39" i="24"/>
  <c r="H39" i="24"/>
  <c r="I39" i="24"/>
  <c r="D37" i="24"/>
  <c r="D38" i="24"/>
  <c r="D39" i="24"/>
  <c r="U7" i="110"/>
  <c r="U8" i="110"/>
  <c r="C58" i="30"/>
  <c r="C33" i="30"/>
  <c r="C43" i="30"/>
  <c r="C44" i="30"/>
  <c r="D44" i="30"/>
  <c r="C52" i="30"/>
  <c r="C53" i="30"/>
  <c r="C57" i="30"/>
  <c r="D57" i="30"/>
  <c r="E57" i="30"/>
  <c r="F57" i="30"/>
  <c r="G57" i="30"/>
  <c r="H57" i="30"/>
  <c r="I57" i="30"/>
  <c r="J57" i="30"/>
  <c r="D58" i="30"/>
  <c r="E58" i="30"/>
  <c r="F58" i="30"/>
  <c r="G58" i="30"/>
  <c r="H58" i="30"/>
  <c r="I58" i="30"/>
  <c r="J58" i="30"/>
  <c r="D33" i="30"/>
  <c r="E33" i="30"/>
  <c r="F33" i="30"/>
  <c r="G33" i="30"/>
  <c r="H33" i="30"/>
  <c r="I33" i="30"/>
  <c r="J33" i="30"/>
  <c r="L25" i="110"/>
  <c r="L24" i="110" s="1"/>
  <c r="N25" i="110"/>
  <c r="N24" i="110"/>
  <c r="L86" i="110"/>
  <c r="K86" i="110"/>
  <c r="J86" i="110"/>
  <c r="I86" i="110"/>
  <c r="H86" i="110"/>
  <c r="G86" i="110"/>
  <c r="G82" i="110"/>
  <c r="G81" i="110" s="1"/>
  <c r="M81" i="110"/>
  <c r="L81" i="110"/>
  <c r="K81" i="110"/>
  <c r="J81" i="110"/>
  <c r="I81" i="110"/>
  <c r="H81" i="110"/>
  <c r="M80" i="110"/>
  <c r="K80" i="110"/>
  <c r="M79" i="110"/>
  <c r="L79" i="110"/>
  <c r="K79" i="110"/>
  <c r="J79" i="110"/>
  <c r="I79" i="110"/>
  <c r="H79" i="110"/>
  <c r="J78" i="110"/>
  <c r="M74" i="110"/>
  <c r="K74" i="110"/>
  <c r="I74" i="110"/>
  <c r="H74" i="110"/>
  <c r="G74" i="110"/>
  <c r="M67" i="110"/>
  <c r="L67" i="110"/>
  <c r="K67" i="110"/>
  <c r="J67" i="110"/>
  <c r="I67" i="110"/>
  <c r="H67" i="110"/>
  <c r="G67" i="110"/>
  <c r="M65" i="110"/>
  <c r="L65" i="110"/>
  <c r="K65" i="110"/>
  <c r="J65" i="110"/>
  <c r="I65" i="110"/>
  <c r="M64" i="110"/>
  <c r="L64" i="110"/>
  <c r="K64" i="110"/>
  <c r="J64" i="110"/>
  <c r="I64" i="110"/>
  <c r="M56" i="110"/>
  <c r="L56" i="110"/>
  <c r="K56" i="110"/>
  <c r="J56" i="110"/>
  <c r="I56" i="110"/>
  <c r="H56" i="110"/>
  <c r="G56" i="110"/>
  <c r="L55" i="110"/>
  <c r="K55" i="110"/>
  <c r="J55" i="110"/>
  <c r="I55" i="110"/>
  <c r="H55" i="110"/>
  <c r="G55" i="110"/>
  <c r="L54" i="110"/>
  <c r="L57" i="110" s="1"/>
  <c r="K54" i="110"/>
  <c r="K57" i="110" s="1"/>
  <c r="J54" i="110"/>
  <c r="I54" i="110"/>
  <c r="H54" i="110"/>
  <c r="G54" i="110"/>
  <c r="M53" i="110"/>
  <c r="M57" i="110" s="1"/>
  <c r="J53" i="110"/>
  <c r="I53" i="110"/>
  <c r="H53" i="110"/>
  <c r="H57" i="110"/>
  <c r="G53" i="110"/>
  <c r="G57" i="110" s="1"/>
  <c r="M49" i="110"/>
  <c r="M44" i="110" s="1"/>
  <c r="M42" i="110" s="1"/>
  <c r="M43" i="110" s="1"/>
  <c r="L49" i="110"/>
  <c r="L44" i="110" s="1"/>
  <c r="L42" i="110" s="1"/>
  <c r="K49" i="110"/>
  <c r="K44" i="110" s="1"/>
  <c r="K42" i="110" s="1"/>
  <c r="J49" i="110"/>
  <c r="I49" i="110"/>
  <c r="I44" i="110" s="1"/>
  <c r="I42" i="110" s="1"/>
  <c r="I43" i="110" s="1"/>
  <c r="H49" i="110"/>
  <c r="H44" i="110"/>
  <c r="H42" i="110" s="1"/>
  <c r="H43" i="110" s="1"/>
  <c r="G49" i="110"/>
  <c r="G44" i="110"/>
  <c r="M41" i="110"/>
  <c r="M37" i="110" s="1"/>
  <c r="L41" i="110"/>
  <c r="L37" i="110"/>
  <c r="K41" i="110"/>
  <c r="K37" i="110" s="1"/>
  <c r="J41" i="110"/>
  <c r="I41" i="110"/>
  <c r="I37" i="110" s="1"/>
  <c r="H41" i="110"/>
  <c r="H37" i="110" s="1"/>
  <c r="G41" i="110"/>
  <c r="G37" i="110"/>
  <c r="J40" i="110"/>
  <c r="J37" i="110" s="1"/>
  <c r="L38" i="110"/>
  <c r="K38" i="110"/>
  <c r="J38" i="110"/>
  <c r="I38" i="110"/>
  <c r="H38" i="110"/>
  <c r="G38" i="110"/>
  <c r="K35" i="110"/>
  <c r="J35" i="110"/>
  <c r="M31" i="110"/>
  <c r="M30" i="110" s="1"/>
  <c r="L31" i="110"/>
  <c r="L30" i="110" s="1"/>
  <c r="K31" i="110"/>
  <c r="K30" i="110" s="1"/>
  <c r="J31" i="110"/>
  <c r="J30" i="110" s="1"/>
  <c r="I31" i="110"/>
  <c r="I30" i="110"/>
  <c r="H31" i="110"/>
  <c r="H30" i="110" s="1"/>
  <c r="G31" i="110"/>
  <c r="G30" i="110"/>
  <c r="L28" i="110"/>
  <c r="K28" i="110"/>
  <c r="K25" i="110"/>
  <c r="K24" i="110" s="1"/>
  <c r="J28" i="110"/>
  <c r="I28" i="110"/>
  <c r="H28" i="110"/>
  <c r="G28" i="110"/>
  <c r="I27" i="110"/>
  <c r="I25" i="110" s="1"/>
  <c r="I24" i="110" s="1"/>
  <c r="L26" i="110"/>
  <c r="K26" i="110"/>
  <c r="J26" i="110"/>
  <c r="J25" i="110"/>
  <c r="J24" i="110" s="1"/>
  <c r="I26" i="110"/>
  <c r="H26" i="110"/>
  <c r="G26" i="110"/>
  <c r="G25" i="110" s="1"/>
  <c r="G24" i="110" s="1"/>
  <c r="M25" i="110"/>
  <c r="M24" i="110"/>
  <c r="J21" i="110"/>
  <c r="I21" i="110"/>
  <c r="H21" i="110"/>
  <c r="L17" i="110"/>
  <c r="K17" i="110"/>
  <c r="L12" i="110"/>
  <c r="K12" i="110"/>
  <c r="J12" i="110"/>
  <c r="I12" i="110"/>
  <c r="H12" i="110"/>
  <c r="G12" i="110"/>
  <c r="M9" i="110"/>
  <c r="M7" i="110" s="1"/>
  <c r="L9" i="110"/>
  <c r="K9" i="110"/>
  <c r="J9" i="110"/>
  <c r="I9" i="110"/>
  <c r="H9" i="110"/>
  <c r="G9" i="110"/>
  <c r="O81" i="110"/>
  <c r="O61" i="110"/>
  <c r="B18" i="25" s="1"/>
  <c r="B42" i="25" s="1"/>
  <c r="O58" i="110"/>
  <c r="O57" i="110"/>
  <c r="O49" i="110"/>
  <c r="O48" i="110"/>
  <c r="O47" i="110"/>
  <c r="O37" i="110"/>
  <c r="B11" i="25" s="1"/>
  <c r="B35" i="25" s="1"/>
  <c r="O30" i="110"/>
  <c r="O24" i="110"/>
  <c r="O9" i="110"/>
  <c r="C46" i="30"/>
  <c r="D46" i="30"/>
  <c r="E46" i="30"/>
  <c r="F46" i="30"/>
  <c r="G46" i="30"/>
  <c r="H46" i="30"/>
  <c r="I46" i="30"/>
  <c r="J46" i="30"/>
  <c r="C47" i="30"/>
  <c r="D47" i="30"/>
  <c r="E47" i="30"/>
  <c r="F47" i="30"/>
  <c r="G47" i="30"/>
  <c r="H47" i="30"/>
  <c r="I47" i="30"/>
  <c r="J47" i="30"/>
  <c r="D45" i="30"/>
  <c r="E45" i="30"/>
  <c r="F45" i="30"/>
  <c r="G45" i="30"/>
  <c r="H45" i="30"/>
  <c r="I45" i="30"/>
  <c r="J45" i="30"/>
  <c r="C45" i="30"/>
  <c r="C40" i="30"/>
  <c r="D40" i="30"/>
  <c r="E40" i="30"/>
  <c r="C41" i="30"/>
  <c r="D41" i="30"/>
  <c r="E41" i="30"/>
  <c r="F41" i="30"/>
  <c r="G41" i="30"/>
  <c r="H41" i="30"/>
  <c r="I41" i="30"/>
  <c r="J41" i="30"/>
  <c r="C37" i="30"/>
  <c r="D37" i="30"/>
  <c r="E37" i="30"/>
  <c r="C38" i="30"/>
  <c r="D38" i="30"/>
  <c r="E38" i="30"/>
  <c r="F38" i="30"/>
  <c r="G38" i="30"/>
  <c r="H38" i="30"/>
  <c r="I38" i="30"/>
  <c r="J38" i="30"/>
  <c r="C39" i="30"/>
  <c r="D39" i="30"/>
  <c r="E39" i="30"/>
  <c r="F39" i="30"/>
  <c r="G39" i="30"/>
  <c r="H39" i="30"/>
  <c r="I39" i="30"/>
  <c r="J39" i="30"/>
  <c r="D36" i="30"/>
  <c r="E36" i="30"/>
  <c r="C36" i="30"/>
  <c r="J50" i="30"/>
  <c r="J55" i="30"/>
  <c r="H36" i="30"/>
  <c r="G37" i="30"/>
  <c r="G36" i="30"/>
  <c r="J37" i="30"/>
  <c r="F40" i="30"/>
  <c r="J36" i="30"/>
  <c r="F36" i="30"/>
  <c r="I37" i="30"/>
  <c r="F37" i="30"/>
  <c r="I36" i="30"/>
  <c r="H37" i="30"/>
  <c r="G7" i="110"/>
  <c r="H27" i="30"/>
  <c r="H56" i="30" s="1"/>
  <c r="I27" i="30"/>
  <c r="I56" i="30" s="1"/>
  <c r="J27" i="30"/>
  <c r="J56" i="30"/>
  <c r="G27" i="30"/>
  <c r="G56" i="30" s="1"/>
  <c r="D27" i="30"/>
  <c r="D56" i="30"/>
  <c r="E27" i="30"/>
  <c r="E56" i="30" s="1"/>
  <c r="F27" i="30"/>
  <c r="F56" i="30"/>
  <c r="H6" i="30"/>
  <c r="H35" i="30"/>
  <c r="I6" i="30"/>
  <c r="I35" i="30" s="1"/>
  <c r="J6" i="30"/>
  <c r="J35" i="30"/>
  <c r="G6" i="30"/>
  <c r="G35" i="30" s="1"/>
  <c r="D6" i="30"/>
  <c r="D35" i="30"/>
  <c r="E6" i="30"/>
  <c r="E35" i="30" s="1"/>
  <c r="F6" i="30"/>
  <c r="F5" i="30"/>
  <c r="F34" i="30"/>
  <c r="K5" i="29"/>
  <c r="K13" i="29" s="1"/>
  <c r="L5" i="29"/>
  <c r="M5" i="29"/>
  <c r="J5" i="29"/>
  <c r="J13" i="29" s="1"/>
  <c r="I5" i="29"/>
  <c r="I13" i="29" s="1"/>
  <c r="H5" i="29"/>
  <c r="I42" i="96"/>
  <c r="J42" i="96"/>
  <c r="J41" i="96"/>
  <c r="K41" i="96"/>
  <c r="I41" i="96"/>
  <c r="B42" i="96"/>
  <c r="C42" i="96"/>
  <c r="D42" i="96"/>
  <c r="C41" i="96"/>
  <c r="D41" i="96"/>
  <c r="B41" i="96"/>
  <c r="B40" i="96"/>
  <c r="J18" i="96"/>
  <c r="K18" i="96"/>
  <c r="I18" i="96"/>
  <c r="I40" i="96" s="1"/>
  <c r="C30" i="25"/>
  <c r="D30" i="25"/>
  <c r="E30" i="25"/>
  <c r="B30" i="25"/>
  <c r="B25" i="25"/>
  <c r="B49" i="25" s="1"/>
  <c r="B24" i="25"/>
  <c r="B48" i="25"/>
  <c r="B23" i="25"/>
  <c r="B47" i="25" s="1"/>
  <c r="B22" i="25"/>
  <c r="B46" i="25"/>
  <c r="B21" i="25"/>
  <c r="B45" i="25" s="1"/>
  <c r="B20" i="25"/>
  <c r="B44" i="25" s="1"/>
  <c r="B19" i="25"/>
  <c r="B43" i="25" s="1"/>
  <c r="B17" i="25"/>
  <c r="B41" i="25" s="1"/>
  <c r="B16" i="25"/>
  <c r="B40" i="25" s="1"/>
  <c r="B15" i="25"/>
  <c r="B39" i="25" s="1"/>
  <c r="B14" i="25"/>
  <c r="B38" i="25" s="1"/>
  <c r="B9" i="25"/>
  <c r="B33" i="25" s="1"/>
  <c r="B8" i="25"/>
  <c r="E23" i="25"/>
  <c r="E47" i="25" s="1"/>
  <c r="D24" i="25"/>
  <c r="D48" i="25"/>
  <c r="E24" i="25"/>
  <c r="E48" i="25" s="1"/>
  <c r="D49" i="25"/>
  <c r="E25" i="25"/>
  <c r="E49" i="25" s="1"/>
  <c r="C24" i="25"/>
  <c r="C48" i="25" s="1"/>
  <c r="C23" i="25"/>
  <c r="C47" i="25" s="1"/>
  <c r="D14" i="25"/>
  <c r="J14" i="25" s="1"/>
  <c r="J38" i="25" s="1"/>
  <c r="E14" i="25"/>
  <c r="E38" i="25" s="1"/>
  <c r="D15" i="25"/>
  <c r="D39" i="25"/>
  <c r="E15" i="25"/>
  <c r="E39" i="25" s="1"/>
  <c r="D16" i="25"/>
  <c r="D40" i="25"/>
  <c r="E16" i="25"/>
  <c r="E40" i="25" s="1"/>
  <c r="D17" i="25"/>
  <c r="D41" i="25" s="1"/>
  <c r="E17" i="25"/>
  <c r="E41" i="25" s="1"/>
  <c r="D18" i="25"/>
  <c r="D42" i="25"/>
  <c r="E18" i="25"/>
  <c r="E42" i="25" s="1"/>
  <c r="D19" i="25"/>
  <c r="D43" i="25" s="1"/>
  <c r="E19" i="25"/>
  <c r="E43" i="25" s="1"/>
  <c r="D20" i="25"/>
  <c r="D44" i="25" s="1"/>
  <c r="E20" i="25"/>
  <c r="E44" i="25" s="1"/>
  <c r="D21" i="25"/>
  <c r="D45" i="25" s="1"/>
  <c r="E21" i="25"/>
  <c r="C21" i="25"/>
  <c r="C45" i="25" s="1"/>
  <c r="C20" i="25"/>
  <c r="C44" i="25" s="1"/>
  <c r="C19" i="25"/>
  <c r="C43" i="25" s="1"/>
  <c r="C18" i="25"/>
  <c r="C42" i="25" s="1"/>
  <c r="C17" i="25"/>
  <c r="C41" i="25" s="1"/>
  <c r="C16" i="25"/>
  <c r="C40" i="25" s="1"/>
  <c r="C15" i="25"/>
  <c r="C39" i="25" s="1"/>
  <c r="C14" i="25"/>
  <c r="C38" i="25" s="1"/>
  <c r="G11" i="25"/>
  <c r="F11" i="25"/>
  <c r="F35" i="25" s="1"/>
  <c r="D11" i="25"/>
  <c r="D35" i="25" s="1"/>
  <c r="E11" i="25"/>
  <c r="E35" i="25" s="1"/>
  <c r="C11" i="25"/>
  <c r="G10" i="25"/>
  <c r="G34" i="25" s="1"/>
  <c r="H10" i="25"/>
  <c r="H34" i="25" s="1"/>
  <c r="D10" i="25"/>
  <c r="D34" i="25" s="1"/>
  <c r="E10" i="25"/>
  <c r="C10" i="25"/>
  <c r="C34" i="25" s="1"/>
  <c r="D9" i="25"/>
  <c r="D33" i="25" s="1"/>
  <c r="G9" i="25"/>
  <c r="G33" i="25" s="1"/>
  <c r="H9" i="25"/>
  <c r="D8" i="25"/>
  <c r="D32" i="25" s="1"/>
  <c r="H6" i="25"/>
  <c r="G6" i="25"/>
  <c r="G30" i="25" s="1"/>
  <c r="F6" i="25"/>
  <c r="F30" i="25" s="1"/>
  <c r="B48" i="94"/>
  <c r="C48" i="94"/>
  <c r="D48" i="94"/>
  <c r="E48" i="94"/>
  <c r="F48" i="94"/>
  <c r="G48" i="94"/>
  <c r="B23" i="94"/>
  <c r="B47" i="94" s="1"/>
  <c r="C21" i="94"/>
  <c r="C45" i="94" s="1"/>
  <c r="B21" i="94"/>
  <c r="B45" i="94" s="1"/>
  <c r="L20" i="94"/>
  <c r="L20" i="142" s="1"/>
  <c r="L44" i="142" s="1"/>
  <c r="D20" i="94"/>
  <c r="D44" i="94" s="1"/>
  <c r="E20" i="94"/>
  <c r="F20" i="94"/>
  <c r="F44" i="94" s="1"/>
  <c r="G20" i="94"/>
  <c r="P20" i="94" s="1"/>
  <c r="P20" i="142" s="1"/>
  <c r="P44" i="142" s="1"/>
  <c r="K20" i="94"/>
  <c r="I49" i="143"/>
  <c r="E15" i="30" s="1"/>
  <c r="J49" i="143"/>
  <c r="F15" i="30" s="1"/>
  <c r="K49" i="143"/>
  <c r="G15" i="30" s="1"/>
  <c r="M49" i="143"/>
  <c r="I15" i="30"/>
  <c r="I44" i="30" s="1"/>
  <c r="N49" i="143"/>
  <c r="J15" i="30" s="1"/>
  <c r="D49" i="143"/>
  <c r="E49" i="143"/>
  <c r="F49" i="143"/>
  <c r="G49" i="143"/>
  <c r="H49" i="143"/>
  <c r="C49" i="143"/>
  <c r="K48" i="94"/>
  <c r="F24" i="114"/>
  <c r="F22" i="114"/>
  <c r="G20" i="114"/>
  <c r="H20" i="114"/>
  <c r="I20" i="114"/>
  <c r="J20" i="114"/>
  <c r="F20" i="114"/>
  <c r="C35" i="25"/>
  <c r="N32" i="110"/>
  <c r="N31" i="110"/>
  <c r="N30" i="110" s="1"/>
  <c r="N37" i="110"/>
  <c r="N45" i="110"/>
  <c r="N46" i="110"/>
  <c r="N47" i="110" s="1"/>
  <c r="N48" i="110"/>
  <c r="N49" i="110"/>
  <c r="N57" i="110"/>
  <c r="N58" i="110"/>
  <c r="N61" i="110"/>
  <c r="N73" i="110"/>
  <c r="N78" i="110"/>
  <c r="N82" i="110"/>
  <c r="N86" i="110"/>
  <c r="N81" i="110" s="1"/>
  <c r="N16" i="110"/>
  <c r="N9" i="110"/>
  <c r="R43" i="110"/>
  <c r="H12" i="25" s="1"/>
  <c r="J5" i="30"/>
  <c r="J34" i="30" s="1"/>
  <c r="H8" i="78"/>
  <c r="H11" i="78"/>
  <c r="H16" i="78"/>
  <c r="H20" i="78"/>
  <c r="H21" i="78"/>
  <c r="H22" i="78"/>
  <c r="H23" i="78"/>
  <c r="H24" i="78"/>
  <c r="H28" i="78"/>
  <c r="H29" i="78"/>
  <c r="H30" i="78"/>
  <c r="H31" i="78"/>
  <c r="H32" i="78"/>
  <c r="B38" i="24"/>
  <c r="B39" i="24"/>
  <c r="B40" i="24"/>
  <c r="M11" i="29"/>
  <c r="F9" i="29"/>
  <c r="F17" i="29" s="1"/>
  <c r="E9" i="29"/>
  <c r="D9" i="29"/>
  <c r="D17" i="29" s="1"/>
  <c r="E12" i="29"/>
  <c r="B11" i="29"/>
  <c r="C11" i="29"/>
  <c r="D11" i="29"/>
  <c r="E11" i="29"/>
  <c r="F11" i="29"/>
  <c r="G11" i="29"/>
  <c r="H11" i="29"/>
  <c r="I11" i="29"/>
  <c r="J11" i="29"/>
  <c r="K11" i="29"/>
  <c r="L11" i="29"/>
  <c r="B12" i="29"/>
  <c r="C12" i="29"/>
  <c r="D12" i="29"/>
  <c r="F12" i="29"/>
  <c r="B16" i="29"/>
  <c r="C16" i="29"/>
  <c r="D16" i="29"/>
  <c r="E16" i="29"/>
  <c r="F16" i="29"/>
  <c r="B17" i="29"/>
  <c r="B23" i="28"/>
  <c r="B17" i="28"/>
  <c r="C17" i="28"/>
  <c r="D17" i="28"/>
  <c r="E17" i="28"/>
  <c r="F17" i="28"/>
  <c r="G17" i="28"/>
  <c r="G20" i="28"/>
  <c r="B20" i="28"/>
  <c r="C20" i="28"/>
  <c r="F20" i="28"/>
  <c r="B18" i="28"/>
  <c r="C18" i="28"/>
  <c r="B5" i="29"/>
  <c r="B6" i="29" s="1"/>
  <c r="B14" i="29" s="1"/>
  <c r="C5" i="29"/>
  <c r="D5" i="29"/>
  <c r="D6" i="29" s="1"/>
  <c r="D14" i="29" s="1"/>
  <c r="E5" i="29"/>
  <c r="E6" i="29" s="1"/>
  <c r="F5" i="29"/>
  <c r="F6" i="29" s="1"/>
  <c r="F14" i="29" s="1"/>
  <c r="F13" i="29"/>
  <c r="G5" i="29"/>
  <c r="G13" i="29" s="1"/>
  <c r="H13" i="29"/>
  <c r="C9" i="29"/>
  <c r="C17" i="29" s="1"/>
  <c r="E17" i="29"/>
  <c r="B13" i="29"/>
  <c r="B15" i="29"/>
  <c r="R10" i="29"/>
  <c r="S10" i="29"/>
  <c r="T10" i="29"/>
  <c r="U10" i="29"/>
  <c r="V10" i="29"/>
  <c r="Q10" i="29"/>
  <c r="C12" i="22"/>
  <c r="C24" i="22" s="1"/>
  <c r="E11" i="22"/>
  <c r="E23" i="22"/>
  <c r="D11" i="22"/>
  <c r="C11" i="22"/>
  <c r="C23" i="22" s="1"/>
  <c r="D10" i="22"/>
  <c r="D22" i="22" s="1"/>
  <c r="C10" i="22"/>
  <c r="C22" i="22" s="1"/>
  <c r="B11" i="22"/>
  <c r="B23" i="22" s="1"/>
  <c r="C18" i="22"/>
  <c r="D18" i="22"/>
  <c r="E18" i="22"/>
  <c r="F18" i="22"/>
  <c r="G18" i="22"/>
  <c r="B18" i="22"/>
  <c r="D12" i="22"/>
  <c r="D24" i="22" s="1"/>
  <c r="E12" i="22"/>
  <c r="E24" i="22" s="1"/>
  <c r="E22" i="22"/>
  <c r="F22" i="22"/>
  <c r="B19" i="22"/>
  <c r="C19" i="22"/>
  <c r="D19" i="22"/>
  <c r="E19" i="22"/>
  <c r="F19" i="22"/>
  <c r="G19" i="22"/>
  <c r="B20" i="22"/>
  <c r="C20" i="22"/>
  <c r="D20" i="22"/>
  <c r="E20" i="22"/>
  <c r="F20" i="22"/>
  <c r="G20" i="22"/>
  <c r="C21" i="22"/>
  <c r="D21" i="22"/>
  <c r="G22" i="22"/>
  <c r="F23" i="22"/>
  <c r="G23" i="22"/>
  <c r="G24" i="22"/>
  <c r="C17" i="22"/>
  <c r="D17" i="22"/>
  <c r="E17" i="22"/>
  <c r="F17" i="22"/>
  <c r="G17" i="22"/>
  <c r="B17" i="22"/>
  <c r="E21" i="22"/>
  <c r="D23" i="22"/>
  <c r="D9" i="39"/>
  <c r="D25" i="39" s="1"/>
  <c r="E9" i="39"/>
  <c r="E25" i="39" s="1"/>
  <c r="F9" i="39"/>
  <c r="C9" i="39"/>
  <c r="L6" i="7"/>
  <c r="L24" i="7" s="1"/>
  <c r="M6" i="7"/>
  <c r="N6" i="7"/>
  <c r="N24" i="7" s="1"/>
  <c r="O6" i="7"/>
  <c r="P6" i="7"/>
  <c r="P24" i="7" s="1"/>
  <c r="Q6" i="7"/>
  <c r="K6" i="7"/>
  <c r="K24" i="7" s="1"/>
  <c r="AJ35" i="134"/>
  <c r="AK31" i="134" s="1"/>
  <c r="AK4" i="134"/>
  <c r="AK32" i="134"/>
  <c r="AK28" i="134"/>
  <c r="AK30" i="134"/>
  <c r="AK9" i="134"/>
  <c r="AK16" i="134"/>
  <c r="AK12" i="134"/>
  <c r="AK21" i="134"/>
  <c r="AK5" i="134"/>
  <c r="AK26" i="134"/>
  <c r="AK17" i="134"/>
  <c r="AK13" i="134"/>
  <c r="AK22" i="134"/>
  <c r="AK33" i="134"/>
  <c r="AK15" i="134"/>
  <c r="AK19" i="134"/>
  <c r="AK11" i="134"/>
  <c r="AC33" i="134"/>
  <c r="AD23" i="134" s="1"/>
  <c r="S33" i="134"/>
  <c r="T25" i="134"/>
  <c r="AD19" i="134"/>
  <c r="AD8" i="134"/>
  <c r="T18" i="134"/>
  <c r="AD16" i="134"/>
  <c r="AD6" i="134"/>
  <c r="AD31" i="134"/>
  <c r="AD20" i="134"/>
  <c r="AD17" i="134"/>
  <c r="AD9" i="134"/>
  <c r="K29" i="84"/>
  <c r="L29" i="84"/>
  <c r="M29" i="84"/>
  <c r="N29" i="84"/>
  <c r="O29" i="84"/>
  <c r="K30" i="84"/>
  <c r="L30" i="84"/>
  <c r="M30" i="84"/>
  <c r="N30" i="84"/>
  <c r="O30" i="84"/>
  <c r="K31" i="84"/>
  <c r="L31" i="84"/>
  <c r="M31" i="84"/>
  <c r="N31" i="84"/>
  <c r="O31" i="84"/>
  <c r="K32" i="84"/>
  <c r="L32" i="84"/>
  <c r="M32" i="84"/>
  <c r="N32" i="84"/>
  <c r="O32" i="84"/>
  <c r="K33" i="84"/>
  <c r="L33" i="84"/>
  <c r="M33" i="84"/>
  <c r="N33" i="84"/>
  <c r="O33" i="84"/>
  <c r="K34" i="84"/>
  <c r="L34" i="84"/>
  <c r="M34" i="84"/>
  <c r="N34" i="84"/>
  <c r="O34" i="84"/>
  <c r="J30" i="84"/>
  <c r="J31" i="84"/>
  <c r="J32" i="84"/>
  <c r="J33" i="84"/>
  <c r="J34" i="84"/>
  <c r="J29" i="84"/>
  <c r="L13" i="144"/>
  <c r="L31" i="144" s="1"/>
  <c r="M13" i="144"/>
  <c r="M31" i="144"/>
  <c r="N13" i="144"/>
  <c r="N31" i="144" s="1"/>
  <c r="O13" i="144"/>
  <c r="O31" i="144"/>
  <c r="P13" i="144"/>
  <c r="P31" i="144" s="1"/>
  <c r="Q13" i="144"/>
  <c r="Q31" i="144" s="1"/>
  <c r="R13" i="144"/>
  <c r="R31" i="144"/>
  <c r="S13" i="144"/>
  <c r="S31" i="144" s="1"/>
  <c r="K13" i="144"/>
  <c r="K36" i="144"/>
  <c r="L36" i="144"/>
  <c r="M36" i="144"/>
  <c r="N36" i="144"/>
  <c r="O36" i="144"/>
  <c r="P36" i="144"/>
  <c r="Q36" i="144"/>
  <c r="R36" i="144"/>
  <c r="S36" i="144"/>
  <c r="L32" i="144"/>
  <c r="M32" i="144"/>
  <c r="N32" i="144"/>
  <c r="O32" i="144"/>
  <c r="P32" i="144"/>
  <c r="Q32" i="144"/>
  <c r="R32" i="144"/>
  <c r="S32" i="144"/>
  <c r="L33" i="144"/>
  <c r="M33" i="144"/>
  <c r="N33" i="144"/>
  <c r="O33" i="144"/>
  <c r="P33" i="144"/>
  <c r="Q33" i="144"/>
  <c r="R33" i="144"/>
  <c r="S33" i="144"/>
  <c r="L34" i="144"/>
  <c r="M34" i="144"/>
  <c r="N34" i="144"/>
  <c r="O34" i="144"/>
  <c r="P34" i="144"/>
  <c r="Q34" i="144"/>
  <c r="R34" i="144"/>
  <c r="S34" i="144"/>
  <c r="L35" i="144"/>
  <c r="M35" i="144"/>
  <c r="N35" i="144"/>
  <c r="O35" i="144"/>
  <c r="P35" i="144"/>
  <c r="Q35" i="144"/>
  <c r="R35" i="144"/>
  <c r="S35" i="144"/>
  <c r="K35" i="144"/>
  <c r="K34" i="144"/>
  <c r="K32" i="144"/>
  <c r="K31" i="144"/>
  <c r="K33" i="144"/>
  <c r="E29" i="141"/>
  <c r="F29" i="141"/>
  <c r="G29" i="141"/>
  <c r="H29" i="141"/>
  <c r="I29" i="141"/>
  <c r="J29" i="141"/>
  <c r="D29" i="141"/>
  <c r="R35" i="7"/>
  <c r="Q35" i="7"/>
  <c r="P35" i="7"/>
  <c r="O35" i="7"/>
  <c r="N35" i="7"/>
  <c r="M35" i="7"/>
  <c r="L35" i="7"/>
  <c r="K35" i="7"/>
  <c r="R34" i="7"/>
  <c r="Q34" i="7"/>
  <c r="P34" i="7"/>
  <c r="O34" i="7"/>
  <c r="N34" i="7"/>
  <c r="M34" i="7"/>
  <c r="L34" i="7"/>
  <c r="K34" i="7"/>
  <c r="R32" i="7"/>
  <c r="Q32" i="7"/>
  <c r="P32" i="7"/>
  <c r="O32" i="7"/>
  <c r="N32" i="7"/>
  <c r="M32" i="7"/>
  <c r="L32" i="7"/>
  <c r="K32" i="7"/>
  <c r="L31" i="7"/>
  <c r="M31" i="7"/>
  <c r="N31" i="7"/>
  <c r="O31" i="7"/>
  <c r="P31" i="7"/>
  <c r="Q31" i="7"/>
  <c r="R31" i="7"/>
  <c r="K31" i="7"/>
  <c r="L30" i="7"/>
  <c r="M30" i="7"/>
  <c r="N30" i="7"/>
  <c r="O30" i="7"/>
  <c r="P30" i="7"/>
  <c r="Q30" i="7"/>
  <c r="R30" i="7"/>
  <c r="K30" i="7"/>
  <c r="K25" i="7"/>
  <c r="L25" i="7"/>
  <c r="M25" i="7"/>
  <c r="N25" i="7"/>
  <c r="O25" i="7"/>
  <c r="P25" i="7"/>
  <c r="K26" i="7"/>
  <c r="L26" i="7"/>
  <c r="M26" i="7"/>
  <c r="N26" i="7"/>
  <c r="O26" i="7"/>
  <c r="P26" i="7"/>
  <c r="K27" i="7"/>
  <c r="L27" i="7"/>
  <c r="M27" i="7"/>
  <c r="N27" i="7"/>
  <c r="O27" i="7"/>
  <c r="P27" i="7"/>
  <c r="K28" i="7"/>
  <c r="L28" i="7"/>
  <c r="M28" i="7"/>
  <c r="N28" i="7"/>
  <c r="O28" i="7"/>
  <c r="P28" i="7"/>
  <c r="L21" i="7"/>
  <c r="M21" i="7"/>
  <c r="N21" i="7"/>
  <c r="O21" i="7"/>
  <c r="P21" i="7"/>
  <c r="K21" i="7"/>
  <c r="N22" i="7"/>
  <c r="O22" i="7"/>
  <c r="P22" i="7"/>
  <c r="M22" i="7"/>
  <c r="M24" i="7"/>
  <c r="O24" i="7"/>
  <c r="K22" i="7"/>
  <c r="L22" i="7"/>
  <c r="F15" i="25"/>
  <c r="F39" i="25" s="1"/>
  <c r="G15" i="25"/>
  <c r="J15" i="25" s="1"/>
  <c r="J39" i="25" s="1"/>
  <c r="G39" i="25"/>
  <c r="H15" i="25"/>
  <c r="H39" i="25" s="1"/>
  <c r="F16" i="25"/>
  <c r="I16" i="25" s="1"/>
  <c r="I40" i="25" s="1"/>
  <c r="G16" i="25"/>
  <c r="G40" i="25" s="1"/>
  <c r="H16" i="25"/>
  <c r="H40" i="25"/>
  <c r="F17" i="25"/>
  <c r="F41" i="25" s="1"/>
  <c r="G17" i="25"/>
  <c r="G41" i="25"/>
  <c r="H17" i="25"/>
  <c r="H41" i="25" s="1"/>
  <c r="F19" i="25"/>
  <c r="F43" i="25"/>
  <c r="G19" i="25"/>
  <c r="G43" i="25" s="1"/>
  <c r="H19" i="25"/>
  <c r="K19" i="25" s="1"/>
  <c r="K43" i="25" s="1"/>
  <c r="F20" i="25"/>
  <c r="F44" i="25" s="1"/>
  <c r="G20" i="25"/>
  <c r="J20" i="25" s="1"/>
  <c r="J44" i="25" s="1"/>
  <c r="G44" i="25"/>
  <c r="H20" i="25"/>
  <c r="H44" i="25" s="1"/>
  <c r="F24" i="25"/>
  <c r="F48" i="25"/>
  <c r="G24" i="25"/>
  <c r="G48" i="25" s="1"/>
  <c r="H24" i="25"/>
  <c r="H48" i="25"/>
  <c r="K20" i="25"/>
  <c r="K44" i="25" s="1"/>
  <c r="J19" i="25"/>
  <c r="J43" i="25" s="1"/>
  <c r="I17" i="25"/>
  <c r="I41" i="25" s="1"/>
  <c r="K15" i="25"/>
  <c r="K39" i="25"/>
  <c r="J24" i="25"/>
  <c r="J48" i="25" s="1"/>
  <c r="I20" i="25"/>
  <c r="I44" i="25" s="1"/>
  <c r="K17" i="25"/>
  <c r="K41" i="25" s="1"/>
  <c r="J16" i="25"/>
  <c r="J40" i="25" s="1"/>
  <c r="I24" i="25"/>
  <c r="I48" i="25" s="1"/>
  <c r="J17" i="25"/>
  <c r="J41" i="25"/>
  <c r="G19" i="37"/>
  <c r="G20" i="37"/>
  <c r="G21" i="37"/>
  <c r="G18" i="37"/>
  <c r="I39" i="11"/>
  <c r="H39" i="11"/>
  <c r="G39" i="11"/>
  <c r="F39" i="11"/>
  <c r="E39" i="11"/>
  <c r="D39" i="11"/>
  <c r="I38" i="11"/>
  <c r="H38" i="11"/>
  <c r="G38" i="11"/>
  <c r="F38" i="11"/>
  <c r="E38" i="11"/>
  <c r="D38" i="11"/>
  <c r="I37" i="11"/>
  <c r="H37" i="11"/>
  <c r="G37" i="11"/>
  <c r="F37" i="11"/>
  <c r="E37" i="11"/>
  <c r="D37" i="11"/>
  <c r="I36" i="11"/>
  <c r="H36" i="11"/>
  <c r="G36" i="11"/>
  <c r="F36" i="11"/>
  <c r="E36" i="11"/>
  <c r="D36" i="11"/>
  <c r="I35" i="11"/>
  <c r="H35" i="11"/>
  <c r="G35" i="11"/>
  <c r="F35" i="11"/>
  <c r="E35" i="11"/>
  <c r="D35" i="11"/>
  <c r="I34" i="11"/>
  <c r="H34" i="11"/>
  <c r="G34" i="11"/>
  <c r="F34" i="11"/>
  <c r="E34" i="11"/>
  <c r="D34" i="11"/>
  <c r="I33" i="11"/>
  <c r="H33" i="11"/>
  <c r="G33" i="11"/>
  <c r="F33" i="11"/>
  <c r="E33" i="11"/>
  <c r="D33" i="11"/>
  <c r="I32" i="11"/>
  <c r="H32" i="11"/>
  <c r="G32" i="11"/>
  <c r="F32" i="11"/>
  <c r="E32" i="11"/>
  <c r="D32" i="11"/>
  <c r="I31" i="11"/>
  <c r="H31" i="11"/>
  <c r="G31" i="11"/>
  <c r="F31" i="11"/>
  <c r="E31" i="11"/>
  <c r="D31" i="11"/>
  <c r="I30" i="11"/>
  <c r="H30" i="11"/>
  <c r="G30" i="11"/>
  <c r="F30" i="11"/>
  <c r="E30" i="11"/>
  <c r="D30" i="11"/>
  <c r="I29" i="11"/>
  <c r="H29" i="11"/>
  <c r="G29" i="11"/>
  <c r="F29" i="11"/>
  <c r="E29" i="11"/>
  <c r="D29" i="11"/>
  <c r="I28" i="11"/>
  <c r="H28" i="11"/>
  <c r="G28" i="11"/>
  <c r="F28" i="11"/>
  <c r="E28" i="11"/>
  <c r="D28" i="11"/>
  <c r="I27" i="11"/>
  <c r="H27" i="11"/>
  <c r="G27" i="11"/>
  <c r="F27" i="11"/>
  <c r="E27" i="11"/>
  <c r="D27" i="11"/>
  <c r="I26" i="11"/>
  <c r="H26" i="11"/>
  <c r="G26" i="11"/>
  <c r="F26" i="11"/>
  <c r="E26" i="11"/>
  <c r="D26" i="11"/>
  <c r="E25" i="11"/>
  <c r="F25" i="11"/>
  <c r="G25" i="11"/>
  <c r="H25" i="11"/>
  <c r="I25" i="11"/>
  <c r="D25" i="11"/>
  <c r="H57" i="139"/>
  <c r="G57" i="139"/>
  <c r="F57" i="139"/>
  <c r="E57" i="139"/>
  <c r="D57" i="139"/>
  <c r="C57" i="139"/>
  <c r="C29" i="139"/>
  <c r="D29" i="139"/>
  <c r="H29" i="139"/>
  <c r="G29" i="139"/>
  <c r="E29" i="139"/>
  <c r="F29" i="139"/>
  <c r="C45" i="112"/>
  <c r="C21" i="112"/>
  <c r="K38" i="137"/>
  <c r="K37" i="137"/>
  <c r="K36" i="137"/>
  <c r="K35" i="137"/>
  <c r="K34" i="137"/>
  <c r="K33" i="137"/>
  <c r="K32" i="137"/>
  <c r="K31" i="137"/>
  <c r="K30" i="137"/>
  <c r="K29" i="137"/>
  <c r="L25" i="137"/>
  <c r="L37" i="137" s="1"/>
  <c r="L17" i="137"/>
  <c r="L29" i="137" s="1"/>
  <c r="L19" i="137"/>
  <c r="L31" i="137" s="1"/>
  <c r="L21" i="137"/>
  <c r="L33" i="137" s="1"/>
  <c r="L23" i="137"/>
  <c r="L35" i="137" s="1"/>
  <c r="M17" i="137"/>
  <c r="M29" i="137" s="1"/>
  <c r="M25" i="137"/>
  <c r="M37" i="137" s="1"/>
  <c r="M21" i="137"/>
  <c r="M33" i="137" s="1"/>
  <c r="M23" i="137"/>
  <c r="M35" i="137" s="1"/>
  <c r="M19" i="137"/>
  <c r="M31" i="137" s="1"/>
  <c r="M22" i="137"/>
  <c r="M34" i="137" s="1"/>
  <c r="L24" i="137"/>
  <c r="L36" i="137" s="1"/>
  <c r="M24" i="137"/>
  <c r="M36" i="137" s="1"/>
  <c r="L18" i="137"/>
  <c r="L30" i="137" s="1"/>
  <c r="L26" i="137"/>
  <c r="L38" i="137" s="1"/>
  <c r="M18" i="137"/>
  <c r="M30" i="137" s="1"/>
  <c r="M26" i="137"/>
  <c r="M38" i="137" s="1"/>
  <c r="C27" i="30"/>
  <c r="C56" i="30" s="1"/>
  <c r="C6" i="30"/>
  <c r="C35" i="30" s="1"/>
  <c r="G25" i="25"/>
  <c r="F25" i="25"/>
  <c r="F49" i="25" s="1"/>
  <c r="F86" i="110"/>
  <c r="E86" i="110"/>
  <c r="D86" i="110"/>
  <c r="D81" i="110" s="1"/>
  <c r="H23" i="25"/>
  <c r="G23" i="25"/>
  <c r="G47" i="25"/>
  <c r="F23" i="25"/>
  <c r="F82" i="110"/>
  <c r="F81" i="110" s="1"/>
  <c r="E82" i="110"/>
  <c r="D82" i="110"/>
  <c r="H21" i="25"/>
  <c r="H45" i="25" s="1"/>
  <c r="G21" i="25"/>
  <c r="G45" i="25"/>
  <c r="F21" i="25"/>
  <c r="F74" i="110"/>
  <c r="E74" i="110"/>
  <c r="D74" i="110"/>
  <c r="F67" i="110"/>
  <c r="E67" i="110"/>
  <c r="D67" i="110"/>
  <c r="H18" i="25"/>
  <c r="H42" i="25" s="1"/>
  <c r="G18" i="25"/>
  <c r="G42" i="25" s="1"/>
  <c r="F56" i="110"/>
  <c r="E56" i="110"/>
  <c r="D56" i="110"/>
  <c r="F55" i="110"/>
  <c r="E55" i="110"/>
  <c r="D55" i="110"/>
  <c r="F54" i="110"/>
  <c r="E54" i="110"/>
  <c r="D54" i="110"/>
  <c r="D57" i="110" s="1"/>
  <c r="F53" i="110"/>
  <c r="F57" i="110" s="1"/>
  <c r="E53" i="110"/>
  <c r="D53" i="110"/>
  <c r="F49" i="110"/>
  <c r="F44" i="110"/>
  <c r="E49" i="110"/>
  <c r="E44" i="110" s="1"/>
  <c r="D49" i="110"/>
  <c r="D44" i="110"/>
  <c r="H14" i="25"/>
  <c r="H38" i="25" s="1"/>
  <c r="G14" i="25"/>
  <c r="G38" i="25" s="1"/>
  <c r="F14" i="25"/>
  <c r="E41" i="110"/>
  <c r="E37" i="110" s="1"/>
  <c r="D41" i="110"/>
  <c r="D37" i="110" s="1"/>
  <c r="F38" i="110"/>
  <c r="E38" i="110"/>
  <c r="D38" i="110"/>
  <c r="F37" i="110"/>
  <c r="F31" i="110"/>
  <c r="F30" i="110"/>
  <c r="E31" i="110"/>
  <c r="E30" i="110" s="1"/>
  <c r="D31" i="110"/>
  <c r="D30" i="110"/>
  <c r="F28" i="110"/>
  <c r="E28" i="110"/>
  <c r="D28" i="110"/>
  <c r="F26" i="110"/>
  <c r="E26" i="110"/>
  <c r="E25" i="110" s="1"/>
  <c r="E24" i="110" s="1"/>
  <c r="D26" i="110"/>
  <c r="D18" i="110"/>
  <c r="D17" i="110"/>
  <c r="F12" i="110"/>
  <c r="E12" i="110"/>
  <c r="D12" i="110"/>
  <c r="H8" i="25"/>
  <c r="G8" i="25"/>
  <c r="F9" i="110"/>
  <c r="E9" i="110"/>
  <c r="D9" i="110"/>
  <c r="J21" i="25"/>
  <c r="J45" i="25" s="1"/>
  <c r="J18" i="25"/>
  <c r="J42" i="25" s="1"/>
  <c r="K14" i="25"/>
  <c r="K38" i="25" s="1"/>
  <c r="K18" i="25"/>
  <c r="K42" i="25" s="1"/>
  <c r="D25" i="110"/>
  <c r="D24" i="110"/>
  <c r="E57" i="110"/>
  <c r="P25" i="18"/>
  <c r="M25" i="18"/>
  <c r="M26" i="18" s="1"/>
  <c r="M27" i="18" s="1"/>
  <c r="K40" i="96"/>
  <c r="J40" i="96"/>
  <c r="C40" i="96"/>
  <c r="D40" i="96"/>
  <c r="B17" i="26"/>
  <c r="D17" i="26"/>
  <c r="C13" i="26"/>
  <c r="D13" i="26"/>
  <c r="B13" i="26"/>
  <c r="C29" i="78"/>
  <c r="D29" i="78"/>
  <c r="E29" i="78"/>
  <c r="E33" i="78" s="1"/>
  <c r="F29" i="78"/>
  <c r="G29" i="78"/>
  <c r="C30" i="78"/>
  <c r="D30" i="78"/>
  <c r="D33" i="78" s="1"/>
  <c r="E30" i="78"/>
  <c r="F30" i="78"/>
  <c r="G30" i="78"/>
  <c r="D31" i="78"/>
  <c r="E31" i="78"/>
  <c r="F31" i="78"/>
  <c r="G31" i="78"/>
  <c r="C32" i="78"/>
  <c r="D32" i="78"/>
  <c r="E32" i="78"/>
  <c r="F32" i="78"/>
  <c r="F33" i="78" s="1"/>
  <c r="G32" i="78"/>
  <c r="B30" i="78"/>
  <c r="B31" i="78"/>
  <c r="B32" i="78"/>
  <c r="B29" i="78"/>
  <c r="C21" i="78"/>
  <c r="D21" i="78"/>
  <c r="E21" i="78"/>
  <c r="F21" i="78"/>
  <c r="F25" i="78" s="1"/>
  <c r="G21" i="78"/>
  <c r="C22" i="78"/>
  <c r="D22" i="78"/>
  <c r="E22" i="78"/>
  <c r="F22" i="78"/>
  <c r="G22" i="78"/>
  <c r="C23" i="78"/>
  <c r="D23" i="78"/>
  <c r="E23" i="78"/>
  <c r="F23" i="78"/>
  <c r="G23" i="78"/>
  <c r="C24" i="78"/>
  <c r="D24" i="78"/>
  <c r="E24" i="78"/>
  <c r="F24" i="78"/>
  <c r="G24" i="78"/>
  <c r="B22" i="78"/>
  <c r="B23" i="78"/>
  <c r="B24" i="78"/>
  <c r="B21" i="78"/>
  <c r="B25" i="78" s="1"/>
  <c r="A13" i="78"/>
  <c r="A14" i="78"/>
  <c r="A15" i="78"/>
  <c r="A12" i="78"/>
  <c r="C8" i="78"/>
  <c r="B8" i="78"/>
  <c r="C28" i="78"/>
  <c r="D28" i="78"/>
  <c r="E28" i="78"/>
  <c r="F28" i="78"/>
  <c r="G28" i="78"/>
  <c r="B28" i="78"/>
  <c r="C20" i="78"/>
  <c r="D20" i="78"/>
  <c r="E20" i="78"/>
  <c r="F20" i="78"/>
  <c r="G20" i="78"/>
  <c r="B20" i="78"/>
  <c r="C11" i="78"/>
  <c r="D11" i="78"/>
  <c r="E11" i="78"/>
  <c r="F11" i="78"/>
  <c r="G11" i="78"/>
  <c r="B11" i="78"/>
  <c r="G29" i="39"/>
  <c r="C23" i="39"/>
  <c r="D23" i="39"/>
  <c r="E23" i="39"/>
  <c r="F23" i="39"/>
  <c r="G23" i="39"/>
  <c r="C24" i="39"/>
  <c r="D24" i="39"/>
  <c r="E24" i="39"/>
  <c r="F24" i="39"/>
  <c r="G24" i="39"/>
  <c r="C25" i="39"/>
  <c r="F25" i="39"/>
  <c r="G25" i="39"/>
  <c r="C27" i="39"/>
  <c r="D27" i="39"/>
  <c r="E27" i="39"/>
  <c r="F27" i="39"/>
  <c r="G27" i="39"/>
  <c r="C31" i="39"/>
  <c r="D31" i="39"/>
  <c r="E31" i="39"/>
  <c r="F31" i="39"/>
  <c r="G31" i="39"/>
  <c r="G33" i="39"/>
  <c r="D21" i="39"/>
  <c r="E21" i="39"/>
  <c r="F21" i="39"/>
  <c r="G21" i="39"/>
  <c r="C21" i="39"/>
  <c r="B57" i="24"/>
  <c r="B58" i="24"/>
  <c r="F34" i="24"/>
  <c r="H34" i="24"/>
  <c r="D34" i="24"/>
  <c r="B37" i="24"/>
  <c r="B48" i="24"/>
  <c r="B50" i="24"/>
  <c r="B52" i="24"/>
  <c r="B53" i="24"/>
  <c r="B55" i="24"/>
  <c r="B56" i="24"/>
  <c r="C58" i="24"/>
  <c r="F39" i="100"/>
  <c r="M57" i="100"/>
  <c r="L57" i="100"/>
  <c r="K57" i="100"/>
  <c r="J57" i="100"/>
  <c r="I57" i="100"/>
  <c r="H57" i="100"/>
  <c r="G57" i="100"/>
  <c r="F57" i="100"/>
  <c r="E57" i="100"/>
  <c r="C57" i="100"/>
  <c r="B57" i="100"/>
  <c r="D57" i="100" s="1"/>
  <c r="A57" i="100"/>
  <c r="M56" i="100"/>
  <c r="L56" i="100"/>
  <c r="K56" i="100"/>
  <c r="J56" i="100"/>
  <c r="I56" i="100"/>
  <c r="H56" i="100"/>
  <c r="G56" i="100"/>
  <c r="F56" i="100"/>
  <c r="E56" i="100"/>
  <c r="C56" i="100"/>
  <c r="B56" i="100"/>
  <c r="D56" i="100" s="1"/>
  <c r="A56" i="100"/>
  <c r="M55" i="100"/>
  <c r="L55" i="100"/>
  <c r="K55" i="100"/>
  <c r="J55" i="100"/>
  <c r="I55" i="100"/>
  <c r="H55" i="100"/>
  <c r="G55" i="100"/>
  <c r="F55" i="100"/>
  <c r="E55" i="100"/>
  <c r="C55" i="100"/>
  <c r="B55" i="100"/>
  <c r="A55" i="100"/>
  <c r="M54" i="100"/>
  <c r="L54" i="100"/>
  <c r="K54" i="100"/>
  <c r="J54" i="100"/>
  <c r="I54" i="100"/>
  <c r="H54" i="100"/>
  <c r="G54" i="100"/>
  <c r="F54" i="100"/>
  <c r="E54" i="100"/>
  <c r="C54" i="100"/>
  <c r="B54" i="100"/>
  <c r="A54" i="100"/>
  <c r="M53" i="100"/>
  <c r="L53" i="100"/>
  <c r="K53" i="100"/>
  <c r="J53" i="100"/>
  <c r="I53" i="100"/>
  <c r="H53" i="100"/>
  <c r="G53" i="100"/>
  <c r="F53" i="100"/>
  <c r="E53" i="100"/>
  <c r="C53" i="100"/>
  <c r="B53" i="100"/>
  <c r="D53" i="100" s="1"/>
  <c r="A53" i="100"/>
  <c r="M52" i="100"/>
  <c r="L52" i="100"/>
  <c r="K52" i="100"/>
  <c r="J52" i="100"/>
  <c r="I52" i="100"/>
  <c r="H52" i="100"/>
  <c r="G52" i="100"/>
  <c r="F52" i="100"/>
  <c r="E52" i="100"/>
  <c r="C52" i="100"/>
  <c r="B52" i="100"/>
  <c r="A52" i="100"/>
  <c r="M51" i="100"/>
  <c r="L51" i="100"/>
  <c r="K51" i="100"/>
  <c r="J51" i="100"/>
  <c r="I51" i="100"/>
  <c r="H51" i="100"/>
  <c r="G51" i="100"/>
  <c r="F51" i="100"/>
  <c r="E51" i="100"/>
  <c r="C51" i="100"/>
  <c r="D51" i="100" s="1"/>
  <c r="B51" i="100"/>
  <c r="A51" i="100"/>
  <c r="M50" i="100"/>
  <c r="L50" i="100"/>
  <c r="K50" i="100"/>
  <c r="J50" i="100"/>
  <c r="I50" i="100"/>
  <c r="H50" i="100"/>
  <c r="G50" i="100"/>
  <c r="F50" i="100"/>
  <c r="E50" i="100"/>
  <c r="C50" i="100"/>
  <c r="D50" i="100" s="1"/>
  <c r="B50" i="100"/>
  <c r="A50" i="100"/>
  <c r="M49" i="100"/>
  <c r="L49" i="100"/>
  <c r="K49" i="100"/>
  <c r="J49" i="100"/>
  <c r="I49" i="100"/>
  <c r="H49" i="100"/>
  <c r="G49" i="100"/>
  <c r="F49" i="100"/>
  <c r="E49" i="100"/>
  <c r="C49" i="100"/>
  <c r="B49" i="100"/>
  <c r="A49" i="100"/>
  <c r="M48" i="100"/>
  <c r="L48" i="100"/>
  <c r="K48" i="100"/>
  <c r="J48" i="100"/>
  <c r="I48" i="100"/>
  <c r="H48" i="100"/>
  <c r="G48" i="100"/>
  <c r="F48" i="100"/>
  <c r="E48" i="100"/>
  <c r="C48" i="100"/>
  <c r="B48" i="100"/>
  <c r="D48" i="100" s="1"/>
  <c r="A48" i="100"/>
  <c r="M47" i="100"/>
  <c r="L47" i="100"/>
  <c r="K47" i="100"/>
  <c r="J47" i="100"/>
  <c r="I47" i="100"/>
  <c r="H47" i="100"/>
  <c r="G47" i="100"/>
  <c r="F47" i="100"/>
  <c r="E47" i="100"/>
  <c r="C47" i="100"/>
  <c r="B47" i="100"/>
  <c r="D47" i="100" s="1"/>
  <c r="A47" i="100"/>
  <c r="M46" i="100"/>
  <c r="L46" i="100"/>
  <c r="K46" i="100"/>
  <c r="J46" i="100"/>
  <c r="I46" i="100"/>
  <c r="H46" i="100"/>
  <c r="G46" i="100"/>
  <c r="F46" i="100"/>
  <c r="E46" i="100"/>
  <c r="C46" i="100"/>
  <c r="B46" i="100"/>
  <c r="D46" i="100" s="1"/>
  <c r="A46" i="100"/>
  <c r="M45" i="100"/>
  <c r="L45" i="100"/>
  <c r="K45" i="100"/>
  <c r="J45" i="100"/>
  <c r="I45" i="100"/>
  <c r="H45" i="100"/>
  <c r="G45" i="100"/>
  <c r="F45" i="100"/>
  <c r="E45" i="100"/>
  <c r="C45" i="100"/>
  <c r="B45" i="100"/>
  <c r="A45" i="100"/>
  <c r="M44" i="100"/>
  <c r="L44" i="100"/>
  <c r="K44" i="100"/>
  <c r="J44" i="100"/>
  <c r="I44" i="100"/>
  <c r="H44" i="100"/>
  <c r="G44" i="100"/>
  <c r="F44" i="100"/>
  <c r="E44" i="100"/>
  <c r="C44" i="100"/>
  <c r="B44" i="100"/>
  <c r="D44" i="100" s="1"/>
  <c r="A44" i="100"/>
  <c r="M43" i="100"/>
  <c r="L43" i="100"/>
  <c r="K43" i="100"/>
  <c r="J43" i="100"/>
  <c r="I43" i="100"/>
  <c r="H43" i="100"/>
  <c r="G43" i="100"/>
  <c r="F43" i="100"/>
  <c r="E43" i="100"/>
  <c r="C43" i="100"/>
  <c r="B43" i="100"/>
  <c r="A43" i="100"/>
  <c r="M42" i="100"/>
  <c r="L42" i="100"/>
  <c r="K42" i="100"/>
  <c r="J42" i="100"/>
  <c r="I42" i="100"/>
  <c r="H42" i="100"/>
  <c r="G42" i="100"/>
  <c r="F42" i="100"/>
  <c r="E42" i="100"/>
  <c r="C42" i="100"/>
  <c r="B42" i="100"/>
  <c r="A42" i="100"/>
  <c r="M41" i="100"/>
  <c r="L41" i="100"/>
  <c r="K41" i="100"/>
  <c r="J41" i="100"/>
  <c r="I41" i="100"/>
  <c r="H41" i="100"/>
  <c r="G41" i="100"/>
  <c r="F41" i="100"/>
  <c r="E41" i="100"/>
  <c r="C41" i="100"/>
  <c r="B41" i="100"/>
  <c r="A41" i="100"/>
  <c r="M40" i="100"/>
  <c r="L40" i="100"/>
  <c r="K40" i="100"/>
  <c r="J40" i="100"/>
  <c r="I40" i="100"/>
  <c r="H40" i="100"/>
  <c r="G40" i="100"/>
  <c r="F40" i="100"/>
  <c r="E40" i="100"/>
  <c r="C40" i="100"/>
  <c r="B40" i="100"/>
  <c r="A40" i="100"/>
  <c r="M39" i="100"/>
  <c r="L39" i="100"/>
  <c r="K39" i="100"/>
  <c r="J39" i="100"/>
  <c r="I39" i="100"/>
  <c r="H39" i="100"/>
  <c r="G39" i="100"/>
  <c r="E39" i="100"/>
  <c r="C39" i="100"/>
  <c r="D39" i="100" s="1"/>
  <c r="B39" i="100"/>
  <c r="A39" i="100"/>
  <c r="M38" i="100"/>
  <c r="L38" i="100"/>
  <c r="K38" i="100"/>
  <c r="J38" i="100"/>
  <c r="I38" i="100"/>
  <c r="H38" i="100"/>
  <c r="G38" i="100"/>
  <c r="F38" i="100"/>
  <c r="E38" i="100"/>
  <c r="C38" i="100"/>
  <c r="D38" i="100" s="1"/>
  <c r="B38" i="100"/>
  <c r="A38" i="100"/>
  <c r="M37" i="100"/>
  <c r="L37" i="100"/>
  <c r="K37" i="100"/>
  <c r="J37" i="100"/>
  <c r="I37" i="100"/>
  <c r="H37" i="100"/>
  <c r="G37" i="100"/>
  <c r="F37" i="100"/>
  <c r="E37" i="100"/>
  <c r="C37" i="100"/>
  <c r="D37" i="100" s="1"/>
  <c r="B37" i="100"/>
  <c r="A37" i="100"/>
  <c r="M36" i="100"/>
  <c r="L36" i="100"/>
  <c r="K36" i="100"/>
  <c r="J36" i="100"/>
  <c r="I36" i="100"/>
  <c r="H36" i="100"/>
  <c r="G36" i="100"/>
  <c r="F36" i="100"/>
  <c r="E36" i="100"/>
  <c r="C36" i="100"/>
  <c r="B36" i="100"/>
  <c r="A36" i="100"/>
  <c r="M35" i="100"/>
  <c r="L35" i="100"/>
  <c r="K35" i="100"/>
  <c r="J35" i="100"/>
  <c r="I35" i="100"/>
  <c r="H35" i="100"/>
  <c r="G35" i="100"/>
  <c r="F35" i="100"/>
  <c r="E35" i="100"/>
  <c r="C35" i="100"/>
  <c r="D35" i="100" s="1"/>
  <c r="B35" i="100"/>
  <c r="A35" i="100"/>
  <c r="D36" i="100"/>
  <c r="D42" i="100"/>
  <c r="D55" i="100"/>
  <c r="D43" i="100"/>
  <c r="D40" i="100"/>
  <c r="D41" i="100"/>
  <c r="K31" i="98"/>
  <c r="L21" i="98"/>
  <c r="M21" i="98"/>
  <c r="N21" i="98"/>
  <c r="O21" i="98"/>
  <c r="P21" i="98"/>
  <c r="K21" i="98"/>
  <c r="N21" i="97"/>
  <c r="O21" i="97"/>
  <c r="P21" i="97"/>
  <c r="Q21" i="97"/>
  <c r="R21" i="97"/>
  <c r="S21" i="97"/>
  <c r="O19" i="97"/>
  <c r="P19" i="97"/>
  <c r="Q19" i="97"/>
  <c r="R19" i="97"/>
  <c r="S19" i="97"/>
  <c r="N19" i="97"/>
  <c r="N28" i="97"/>
  <c r="N25" i="97"/>
  <c r="N23" i="97"/>
  <c r="N24" i="97"/>
  <c r="N22" i="97"/>
  <c r="N20" i="97"/>
  <c r="K25" i="98"/>
  <c r="K26" i="98"/>
  <c r="K28" i="98"/>
  <c r="K27" i="98"/>
  <c r="A18" i="38"/>
  <c r="B18" i="38"/>
  <c r="C18" i="38"/>
  <c r="D18" i="38"/>
  <c r="E18" i="38"/>
  <c r="F18" i="38"/>
  <c r="G18" i="38"/>
  <c r="H18" i="38"/>
  <c r="I18" i="38"/>
  <c r="A19" i="38"/>
  <c r="B19" i="38"/>
  <c r="C19" i="38"/>
  <c r="D19" i="38"/>
  <c r="E19" i="38"/>
  <c r="F19" i="38"/>
  <c r="G19" i="38"/>
  <c r="H19" i="38"/>
  <c r="I19" i="38"/>
  <c r="A20" i="38"/>
  <c r="B20" i="38"/>
  <c r="C20" i="38"/>
  <c r="D20" i="38"/>
  <c r="E20" i="38"/>
  <c r="F20" i="38"/>
  <c r="G20" i="38"/>
  <c r="H20" i="38"/>
  <c r="I20" i="38"/>
  <c r="B17" i="38"/>
  <c r="C17" i="38"/>
  <c r="D17" i="38"/>
  <c r="E17" i="38"/>
  <c r="F17" i="38"/>
  <c r="G17" i="38"/>
  <c r="H17" i="38"/>
  <c r="I17" i="38"/>
  <c r="A17" i="38"/>
  <c r="A19" i="37"/>
  <c r="B19" i="37"/>
  <c r="C19" i="37"/>
  <c r="D19" i="37"/>
  <c r="E19" i="37"/>
  <c r="F19" i="37"/>
  <c r="H19" i="37"/>
  <c r="I19" i="37"/>
  <c r="A20" i="37"/>
  <c r="B20" i="37"/>
  <c r="C20" i="37"/>
  <c r="D20" i="37"/>
  <c r="E20" i="37"/>
  <c r="F20" i="37"/>
  <c r="H20" i="37"/>
  <c r="I20" i="37"/>
  <c r="A21" i="37"/>
  <c r="B21" i="37"/>
  <c r="C21" i="37"/>
  <c r="D21" i="37"/>
  <c r="E21" i="37"/>
  <c r="F21" i="37"/>
  <c r="H21" i="37"/>
  <c r="I21" i="37"/>
  <c r="B18" i="37"/>
  <c r="C18" i="37"/>
  <c r="D18" i="37"/>
  <c r="E18" i="37"/>
  <c r="F18" i="37"/>
  <c r="H18" i="37"/>
  <c r="I18" i="37"/>
  <c r="A18" i="37"/>
  <c r="F18" i="36"/>
  <c r="F21" i="36"/>
  <c r="E19" i="36"/>
  <c r="E18" i="36"/>
  <c r="D20" i="36"/>
  <c r="D19" i="36"/>
  <c r="C20" i="36"/>
  <c r="B18" i="36"/>
  <c r="B21" i="36"/>
  <c r="A19" i="36"/>
  <c r="B19" i="36"/>
  <c r="F19" i="36"/>
  <c r="G19" i="36"/>
  <c r="H19" i="36"/>
  <c r="I19" i="36"/>
  <c r="A20" i="36"/>
  <c r="B20" i="36"/>
  <c r="E20" i="36"/>
  <c r="F20" i="36"/>
  <c r="G20" i="36"/>
  <c r="H20" i="36"/>
  <c r="I20" i="36"/>
  <c r="A21" i="36"/>
  <c r="G21" i="36"/>
  <c r="H21" i="36"/>
  <c r="I21" i="36"/>
  <c r="G18" i="36"/>
  <c r="H18" i="36"/>
  <c r="I18" i="36"/>
  <c r="A18" i="36"/>
  <c r="C21" i="36"/>
  <c r="C18" i="36"/>
  <c r="D21" i="36"/>
  <c r="C19" i="36"/>
  <c r="D18" i="36"/>
  <c r="E21" i="36"/>
  <c r="L6" i="84"/>
  <c r="M6" i="84"/>
  <c r="N6" i="84"/>
  <c r="O6" i="84"/>
  <c r="J6" i="84"/>
  <c r="K6" i="84"/>
  <c r="L15" i="7"/>
  <c r="L33" i="7" s="1"/>
  <c r="M15" i="7"/>
  <c r="M33" i="7" s="1"/>
  <c r="N15" i="7"/>
  <c r="N33" i="7" s="1"/>
  <c r="O15" i="7"/>
  <c r="O33" i="7" s="1"/>
  <c r="P15" i="7"/>
  <c r="P33" i="7" s="1"/>
  <c r="Q15" i="7"/>
  <c r="Q33" i="7" s="1"/>
  <c r="R15" i="7"/>
  <c r="R33" i="7" s="1"/>
  <c r="K15" i="7"/>
  <c r="K33" i="7" s="1"/>
  <c r="C26" i="20"/>
  <c r="C27" i="20" s="1"/>
  <c r="F26" i="20"/>
  <c r="G25" i="18"/>
  <c r="D25" i="18"/>
  <c r="D39" i="18" s="1"/>
  <c r="G39" i="18" s="1"/>
  <c r="D16" i="78"/>
  <c r="G16" i="78"/>
  <c r="F16" i="78"/>
  <c r="E16" i="78"/>
  <c r="G8" i="78"/>
  <c r="E8" i="78"/>
  <c r="D8" i="78"/>
  <c r="F8" i="78"/>
  <c r="B16" i="78"/>
  <c r="L13" i="29"/>
  <c r="M13" i="29"/>
  <c r="C23" i="28"/>
  <c r="D23" i="28"/>
  <c r="E23" i="28"/>
  <c r="F23" i="28"/>
  <c r="G23" i="28"/>
  <c r="D40" i="24"/>
  <c r="F40" i="24"/>
  <c r="E36" i="24"/>
  <c r="E40" i="24"/>
  <c r="H40" i="24"/>
  <c r="F36" i="24"/>
  <c r="G40" i="24"/>
  <c r="H36" i="24"/>
  <c r="I36" i="24"/>
  <c r="I40" i="24"/>
  <c r="E51" i="24"/>
  <c r="D51" i="24"/>
  <c r="G51" i="24"/>
  <c r="F51" i="24"/>
  <c r="I51" i="24"/>
  <c r="H51" i="24"/>
  <c r="E49" i="24"/>
  <c r="D49" i="24"/>
  <c r="G49" i="24"/>
  <c r="F49" i="24"/>
  <c r="I49" i="24"/>
  <c r="H49" i="24"/>
  <c r="I54" i="24"/>
  <c r="H54" i="24"/>
  <c r="E56" i="24"/>
  <c r="D56" i="24"/>
  <c r="G53" i="24"/>
  <c r="F53" i="24"/>
  <c r="E55" i="24"/>
  <c r="D55" i="24"/>
  <c r="H48" i="24"/>
  <c r="G52" i="24"/>
  <c r="F52" i="24"/>
  <c r="I52" i="24"/>
  <c r="H52" i="24"/>
  <c r="E54" i="24"/>
  <c r="D54" i="24"/>
  <c r="D53" i="24"/>
  <c r="G54" i="24"/>
  <c r="F54" i="24"/>
  <c r="I55" i="24"/>
  <c r="H55" i="24"/>
  <c r="I53" i="24"/>
  <c r="H53" i="24"/>
  <c r="E52" i="24"/>
  <c r="D52" i="24"/>
  <c r="G50" i="24"/>
  <c r="F50" i="24"/>
  <c r="I48" i="24"/>
  <c r="E50" i="24"/>
  <c r="D50" i="24"/>
  <c r="G55" i="24"/>
  <c r="F55" i="24"/>
  <c r="E53" i="24"/>
  <c r="H50" i="24"/>
  <c r="G56" i="24"/>
  <c r="F56" i="24"/>
  <c r="I50" i="24"/>
  <c r="I56" i="24"/>
  <c r="H56" i="24"/>
  <c r="D48" i="24"/>
  <c r="D18" i="24"/>
  <c r="F48" i="24"/>
  <c r="E48" i="24"/>
  <c r="E18" i="24"/>
  <c r="E47" i="24" s="1"/>
  <c r="G48" i="24"/>
  <c r="G18" i="24"/>
  <c r="G47" i="24" s="1"/>
  <c r="F18" i="24"/>
  <c r="F47" i="24" s="1"/>
  <c r="H18" i="24"/>
  <c r="E29" i="24"/>
  <c r="E58" i="24" s="1"/>
  <c r="D47" i="24"/>
  <c r="D29" i="24"/>
  <c r="D58" i="24" s="1"/>
  <c r="I18" i="24"/>
  <c r="H47" i="24"/>
  <c r="I47" i="24"/>
  <c r="I29" i="24"/>
  <c r="I58" i="24" s="1"/>
  <c r="D43" i="24"/>
  <c r="F43" i="24"/>
  <c r="H43" i="24"/>
  <c r="E43" i="24"/>
  <c r="G43" i="24"/>
  <c r="I43" i="24"/>
  <c r="D46" i="24"/>
  <c r="E46" i="24"/>
  <c r="G46" i="24"/>
  <c r="F46" i="24"/>
  <c r="H46" i="24"/>
  <c r="I46" i="24"/>
  <c r="H54" i="30"/>
  <c r="C54" i="30"/>
  <c r="G54" i="30"/>
  <c r="F54" i="30"/>
  <c r="D54" i="30"/>
  <c r="E54" i="30"/>
  <c r="J54" i="30"/>
  <c r="I54" i="30"/>
  <c r="E21" i="142"/>
  <c r="E45" i="142" s="1"/>
  <c r="E12" i="39"/>
  <c r="E28" i="39" s="1"/>
  <c r="E21" i="94"/>
  <c r="E45" i="94"/>
  <c r="E18" i="28"/>
  <c r="J9" i="29"/>
  <c r="J17" i="29" s="1"/>
  <c r="K9" i="29"/>
  <c r="K17" i="29" s="1"/>
  <c r="M16" i="29"/>
  <c r="T6" i="29"/>
  <c r="T12" i="29" s="1"/>
  <c r="G9" i="29"/>
  <c r="G17" i="29" s="1"/>
  <c r="G16" i="29"/>
  <c r="S6" i="29"/>
  <c r="S12" i="29"/>
  <c r="J16" i="29"/>
  <c r="R6" i="29"/>
  <c r="R12" i="29" s="1"/>
  <c r="L16" i="29"/>
  <c r="L9" i="29"/>
  <c r="L17" i="29" s="1"/>
  <c r="U6" i="29"/>
  <c r="U12" i="29" s="1"/>
  <c r="H9" i="29"/>
  <c r="H17" i="29" s="1"/>
  <c r="H16" i="29"/>
  <c r="Q6" i="29"/>
  <c r="Q12" i="29" s="1"/>
  <c r="G19" i="28"/>
  <c r="D19" i="28"/>
  <c r="E19" i="28"/>
  <c r="F19" i="28"/>
  <c r="B8" i="28"/>
  <c r="B19" i="28"/>
  <c r="C8" i="28"/>
  <c r="I4" i="29" s="1"/>
  <c r="C22" i="142"/>
  <c r="C46" i="142" s="1"/>
  <c r="C19" i="28"/>
  <c r="C21" i="28"/>
  <c r="B22" i="94"/>
  <c r="B46" i="94" s="1"/>
  <c r="B21" i="28"/>
  <c r="G21" i="142"/>
  <c r="G45" i="142" s="1"/>
  <c r="G12" i="39"/>
  <c r="G28" i="39" s="1"/>
  <c r="G21" i="94"/>
  <c r="G45" i="94"/>
  <c r="G18" i="28"/>
  <c r="G8" i="28"/>
  <c r="G12" i="28" s="1"/>
  <c r="F21" i="142"/>
  <c r="F45" i="142"/>
  <c r="F12" i="39"/>
  <c r="F13" i="39" s="1"/>
  <c r="F29" i="39" s="1"/>
  <c r="F21" i="94"/>
  <c r="F45" i="94"/>
  <c r="F18" i="28"/>
  <c r="F8" i="28"/>
  <c r="F22" i="142" s="1"/>
  <c r="C55" i="30"/>
  <c r="F55" i="30"/>
  <c r="E55" i="30"/>
  <c r="D20" i="28"/>
  <c r="C50" i="30"/>
  <c r="D55" i="30"/>
  <c r="G55" i="30"/>
  <c r="H40" i="30"/>
  <c r="E20" i="28"/>
  <c r="E8" i="28"/>
  <c r="I55" i="30"/>
  <c r="E50" i="30"/>
  <c r="F50" i="30"/>
  <c r="G50" i="30"/>
  <c r="H55" i="30"/>
  <c r="D21" i="142"/>
  <c r="D45" i="142" s="1"/>
  <c r="G12" i="29"/>
  <c r="D50" i="30"/>
  <c r="I50" i="30"/>
  <c r="G6" i="29"/>
  <c r="G14" i="29" s="1"/>
  <c r="I40" i="30"/>
  <c r="D12" i="39"/>
  <c r="D28" i="39" s="1"/>
  <c r="D21" i="94"/>
  <c r="D45" i="94" s="1"/>
  <c r="D18" i="28"/>
  <c r="G40" i="30"/>
  <c r="C48" i="30"/>
  <c r="C20" i="30"/>
  <c r="C22" i="30" s="1"/>
  <c r="C51" i="30" s="1"/>
  <c r="J40" i="30"/>
  <c r="H50" i="30"/>
  <c r="F28" i="114"/>
  <c r="F29" i="114"/>
  <c r="F23" i="114"/>
  <c r="H25" i="114"/>
  <c r="I25" i="114"/>
  <c r="J25" i="114"/>
  <c r="J28" i="114"/>
  <c r="J29" i="114"/>
  <c r="S24" i="97"/>
  <c r="J26" i="114"/>
  <c r="P25" i="98"/>
  <c r="Q24" i="97"/>
  <c r="P24" i="97"/>
  <c r="O24" i="97"/>
  <c r="N26" i="97"/>
  <c r="E26" i="114"/>
  <c r="F26" i="114"/>
  <c r="R24" i="97"/>
  <c r="G25" i="114"/>
  <c r="G26" i="114"/>
  <c r="D26" i="114"/>
  <c r="I26" i="114"/>
  <c r="H26" i="114"/>
  <c r="F25" i="114"/>
  <c r="D27" i="114"/>
  <c r="E27" i="114"/>
  <c r="F27" i="114"/>
  <c r="N27" i="97"/>
  <c r="O26" i="97"/>
  <c r="O25" i="97"/>
  <c r="C21" i="114"/>
  <c r="O23" i="97"/>
  <c r="D21" i="114"/>
  <c r="O27" i="97"/>
  <c r="D30" i="114"/>
  <c r="C30" i="114"/>
  <c r="L25" i="98"/>
  <c r="M25" i="98"/>
  <c r="L26" i="98"/>
  <c r="M26" i="98"/>
  <c r="N25" i="98"/>
  <c r="N26" i="98"/>
  <c r="O25" i="98"/>
  <c r="O26" i="98"/>
  <c r="K24" i="98"/>
  <c r="P26" i="98"/>
  <c r="K47" i="94"/>
  <c r="K30" i="98"/>
  <c r="K23" i="98"/>
  <c r="L24" i="98"/>
  <c r="M24" i="98"/>
  <c r="M47" i="94"/>
  <c r="M30" i="98"/>
  <c r="N24" i="98"/>
  <c r="L47" i="94"/>
  <c r="L30" i="98"/>
  <c r="N30" i="98"/>
  <c r="N47" i="94"/>
  <c r="O24" i="98"/>
  <c r="O47" i="94"/>
  <c r="O30" i="98"/>
  <c r="P24" i="98"/>
  <c r="P47" i="94"/>
  <c r="P30" i="98"/>
  <c r="H29" i="114"/>
  <c r="P22" i="97"/>
  <c r="G22" i="114"/>
  <c r="Q22" i="97"/>
  <c r="H22" i="114"/>
  <c r="I28" i="114"/>
  <c r="H28" i="114"/>
  <c r="G28" i="114"/>
  <c r="I29" i="114"/>
  <c r="G29" i="114"/>
  <c r="R22" i="97"/>
  <c r="J22" i="114"/>
  <c r="S22" i="97"/>
  <c r="I22" i="114"/>
  <c r="O22" i="97"/>
  <c r="J24" i="114"/>
  <c r="I24" i="114"/>
  <c r="J23" i="114"/>
  <c r="I23" i="114"/>
  <c r="H24" i="114"/>
  <c r="J27" i="114"/>
  <c r="H23" i="114"/>
  <c r="I27" i="114"/>
  <c r="G24" i="114"/>
  <c r="L31" i="98"/>
  <c r="G23" i="114"/>
  <c r="H27" i="114"/>
  <c r="G27" i="114"/>
  <c r="M31" i="98"/>
  <c r="N31" i="98"/>
  <c r="O31" i="98"/>
  <c r="P31" i="98"/>
  <c r="L27" i="98"/>
  <c r="L23" i="98"/>
  <c r="P25" i="97"/>
  <c r="O20" i="97"/>
  <c r="P26" i="97"/>
  <c r="O28" i="97"/>
  <c r="M23" i="98"/>
  <c r="P23" i="97"/>
  <c r="P27" i="97"/>
  <c r="F21" i="114"/>
  <c r="Q25" i="97"/>
  <c r="P20" i="97"/>
  <c r="Q26" i="97"/>
  <c r="M27" i="98"/>
  <c r="L48" i="94"/>
  <c r="L28" i="98"/>
  <c r="F30" i="114"/>
  <c r="Q23" i="97"/>
  <c r="P28" i="97"/>
  <c r="N23" i="98"/>
  <c r="Q27" i="97"/>
  <c r="G21" i="114"/>
  <c r="R26" i="97"/>
  <c r="Q20" i="97"/>
  <c r="R25" i="97"/>
  <c r="N27" i="98"/>
  <c r="R20" i="97"/>
  <c r="M48" i="94"/>
  <c r="M28" i="98"/>
  <c r="G30" i="114"/>
  <c r="Q28" i="97"/>
  <c r="R23" i="97"/>
  <c r="O23" i="98"/>
  <c r="R27" i="97"/>
  <c r="O27" i="98"/>
  <c r="S25" i="97"/>
  <c r="S26" i="97"/>
  <c r="H21" i="114"/>
  <c r="P23" i="98"/>
  <c r="S20" i="97"/>
  <c r="R28" i="97"/>
  <c r="S27" i="97"/>
  <c r="S23" i="97"/>
  <c r="N48" i="94"/>
  <c r="N28" i="98"/>
  <c r="H30" i="114"/>
  <c r="P27" i="98"/>
  <c r="S28" i="97"/>
  <c r="I21" i="114"/>
  <c r="O48" i="94"/>
  <c r="O28" i="98"/>
  <c r="I30" i="114"/>
  <c r="J21" i="114"/>
  <c r="J30" i="114"/>
  <c r="P48" i="94"/>
  <c r="P28" i="98"/>
  <c r="M20" i="94" l="1"/>
  <c r="B44" i="94"/>
  <c r="C13" i="39"/>
  <c r="C29" i="39" s="1"/>
  <c r="D13" i="39"/>
  <c r="D29" i="39" s="1"/>
  <c r="H44" i="30"/>
  <c r="H68" i="30"/>
  <c r="K22" i="25"/>
  <c r="K46" i="25" s="1"/>
  <c r="H46" i="25"/>
  <c r="I6" i="29"/>
  <c r="I14" i="29" s="1"/>
  <c r="I12" i="29"/>
  <c r="E32" i="25"/>
  <c r="E7" i="25"/>
  <c r="F29" i="24"/>
  <c r="F58" i="24" s="1"/>
  <c r="N44" i="110"/>
  <c r="O29" i="157"/>
  <c r="N61" i="157"/>
  <c r="F28" i="39"/>
  <c r="C22" i="94"/>
  <c r="C46" i="94" s="1"/>
  <c r="E34" i="25"/>
  <c r="K10" i="25"/>
  <c r="K34" i="25" s="1"/>
  <c r="G42" i="110"/>
  <c r="G43" i="110" s="1"/>
  <c r="D48" i="150"/>
  <c r="G36" i="24"/>
  <c r="J8" i="25"/>
  <c r="J32" i="25" s="1"/>
  <c r="G7" i="25"/>
  <c r="G31" i="25" s="1"/>
  <c r="G32" i="25"/>
  <c r="F38" i="25"/>
  <c r="I14" i="25"/>
  <c r="I38" i="25" s="1"/>
  <c r="F45" i="25"/>
  <c r="I21" i="25"/>
  <c r="I45" i="25" s="1"/>
  <c r="F21" i="28"/>
  <c r="H29" i="24"/>
  <c r="H58" i="24" s="1"/>
  <c r="D54" i="100"/>
  <c r="F25" i="110"/>
  <c r="F24" i="110" s="1"/>
  <c r="F7" i="110" s="1"/>
  <c r="E81" i="110"/>
  <c r="E42" i="110" s="1"/>
  <c r="E43" i="110" s="1"/>
  <c r="I15" i="25"/>
  <c r="I39" i="25" s="1"/>
  <c r="K24" i="25"/>
  <c r="K48" i="25" s="1"/>
  <c r="H43" i="25"/>
  <c r="I19" i="25"/>
  <c r="I43" i="25" s="1"/>
  <c r="F40" i="25"/>
  <c r="D13" i="29"/>
  <c r="J10" i="25"/>
  <c r="J34" i="25" s="1"/>
  <c r="G35" i="25"/>
  <c r="J11" i="25"/>
  <c r="J35" i="25" s="1"/>
  <c r="D38" i="25"/>
  <c r="L7" i="110"/>
  <c r="J57" i="110"/>
  <c r="Q44" i="110"/>
  <c r="G13" i="25" s="1"/>
  <c r="G37" i="25" s="1"/>
  <c r="T44" i="110"/>
  <c r="C13" i="25" s="1"/>
  <c r="C37" i="25" s="1"/>
  <c r="C49" i="25"/>
  <c r="I25" i="25"/>
  <c r="I49" i="25" s="1"/>
  <c r="B17" i="158"/>
  <c r="B39" i="158" s="1"/>
  <c r="E45" i="25"/>
  <c r="K21" i="25"/>
  <c r="K45" i="25" s="1"/>
  <c r="F35" i="30"/>
  <c r="F13" i="30"/>
  <c r="F42" i="30" s="1"/>
  <c r="G8" i="110"/>
  <c r="G88" i="110"/>
  <c r="G89" i="110" s="1"/>
  <c r="C49" i="30"/>
  <c r="F47" i="25"/>
  <c r="I23" i="25"/>
  <c r="I47" i="25" s="1"/>
  <c r="G49" i="25"/>
  <c r="J25" i="25"/>
  <c r="J49" i="25" s="1"/>
  <c r="K16" i="25"/>
  <c r="K40" i="25" s="1"/>
  <c r="V7" i="110"/>
  <c r="V8" i="110" s="1"/>
  <c r="C49" i="150"/>
  <c r="D49" i="150" s="1"/>
  <c r="J13" i="30"/>
  <c r="J42" i="30" s="1"/>
  <c r="H25" i="25"/>
  <c r="D7" i="25"/>
  <c r="D31" i="25" s="1"/>
  <c r="H30" i="25"/>
  <c r="K6" i="25"/>
  <c r="K30" i="25" s="1"/>
  <c r="F42" i="25"/>
  <c r="I18" i="25"/>
  <c r="I42" i="25" s="1"/>
  <c r="R7" i="110"/>
  <c r="C43" i="158"/>
  <c r="C14" i="78"/>
  <c r="D49" i="100"/>
  <c r="D52" i="100"/>
  <c r="E25" i="78"/>
  <c r="D7" i="110"/>
  <c r="K23" i="25"/>
  <c r="K47" i="25" s="1"/>
  <c r="AK25" i="134"/>
  <c r="AK24" i="134"/>
  <c r="AK14" i="134"/>
  <c r="AK29" i="134"/>
  <c r="AK20" i="134"/>
  <c r="B12" i="22"/>
  <c r="B24" i="22" s="1"/>
  <c r="H25" i="78"/>
  <c r="O20" i="94"/>
  <c r="O20" i="142" s="1"/>
  <c r="O44" i="142" s="1"/>
  <c r="J44" i="110"/>
  <c r="J42" i="110" s="1"/>
  <c r="Q81" i="110"/>
  <c r="T81" i="110"/>
  <c r="C22" i="25" s="1"/>
  <c r="C46" i="25" s="1"/>
  <c r="G48" i="150"/>
  <c r="D25" i="78"/>
  <c r="B33" i="78"/>
  <c r="E13" i="29"/>
  <c r="I6" i="25"/>
  <c r="I30" i="25" s="1"/>
  <c r="H25" i="110"/>
  <c r="H24" i="110" s="1"/>
  <c r="H7" i="110" s="1"/>
  <c r="I57" i="110"/>
  <c r="P44" i="110"/>
  <c r="F13" i="25" s="1"/>
  <c r="R44" i="110"/>
  <c r="H13" i="25" s="1"/>
  <c r="H37" i="25" s="1"/>
  <c r="G7" i="29"/>
  <c r="G15" i="29" s="1"/>
  <c r="F7" i="29"/>
  <c r="F15" i="29" s="1"/>
  <c r="F9" i="28"/>
  <c r="F22" i="28" s="1"/>
  <c r="G9" i="28"/>
  <c r="G22" i="28" s="1"/>
  <c r="F11" i="28"/>
  <c r="K4" i="29"/>
  <c r="E21" i="28"/>
  <c r="E12" i="28"/>
  <c r="E22" i="142"/>
  <c r="F23" i="142" s="1"/>
  <c r="F47" i="142" s="1"/>
  <c r="E22" i="94"/>
  <c r="E11" i="28"/>
  <c r="C28" i="20"/>
  <c r="D28" i="20"/>
  <c r="E28" i="20" s="1"/>
  <c r="F46" i="142"/>
  <c r="F8" i="110"/>
  <c r="E13" i="39"/>
  <c r="E29" i="39" s="1"/>
  <c r="N28" i="18"/>
  <c r="O28" i="18" s="1"/>
  <c r="D8" i="110"/>
  <c r="G11" i="28"/>
  <c r="G21" i="28"/>
  <c r="H4" i="29"/>
  <c r="I16" i="29"/>
  <c r="D8" i="28"/>
  <c r="E9" i="28" s="1"/>
  <c r="E22" i="28" s="1"/>
  <c r="L4" i="29"/>
  <c r="M4" i="29"/>
  <c r="G22" i="94"/>
  <c r="G22" i="142"/>
  <c r="C23" i="94"/>
  <c r="C47" i="94" s="1"/>
  <c r="C9" i="28"/>
  <c r="B22" i="142"/>
  <c r="K16" i="29"/>
  <c r="V6" i="29"/>
  <c r="V12" i="29" s="1"/>
  <c r="D26" i="18"/>
  <c r="D45" i="100"/>
  <c r="G25" i="78"/>
  <c r="G33" i="78"/>
  <c r="M28" i="18"/>
  <c r="M39" i="18"/>
  <c r="P39" i="18" s="1"/>
  <c r="N26" i="18"/>
  <c r="O26" i="18" s="1"/>
  <c r="H36" i="25"/>
  <c r="F7" i="25"/>
  <c r="I8" i="25"/>
  <c r="F32" i="25"/>
  <c r="H49" i="25"/>
  <c r="K25" i="25"/>
  <c r="K49" i="25" s="1"/>
  <c r="E31" i="25"/>
  <c r="T7" i="110"/>
  <c r="C9" i="25"/>
  <c r="F12" i="28"/>
  <c r="F22" i="94"/>
  <c r="I9" i="29"/>
  <c r="I17" i="29" s="1"/>
  <c r="M9" i="29"/>
  <c r="M17" i="29" s="1"/>
  <c r="E26" i="18"/>
  <c r="C25" i="78"/>
  <c r="N27" i="18"/>
  <c r="O27" i="18" s="1"/>
  <c r="E7" i="110"/>
  <c r="F42" i="110"/>
  <c r="F43" i="110" s="1"/>
  <c r="T5" i="134"/>
  <c r="T16" i="134"/>
  <c r="T26" i="134"/>
  <c r="T13" i="134"/>
  <c r="T28" i="134"/>
  <c r="T6" i="134"/>
  <c r="T31" i="134"/>
  <c r="T15" i="134"/>
  <c r="T10" i="134"/>
  <c r="T21" i="134"/>
  <c r="T4" i="134"/>
  <c r="T24" i="134"/>
  <c r="T17" i="134"/>
  <c r="T23" i="134"/>
  <c r="T7" i="134"/>
  <c r="T20" i="134"/>
  <c r="T29" i="134"/>
  <c r="T11" i="134"/>
  <c r="T9" i="134"/>
  <c r="T30" i="134"/>
  <c r="T8" i="134"/>
  <c r="T22" i="134"/>
  <c r="T27" i="134"/>
  <c r="T14" i="134"/>
  <c r="T12" i="134"/>
  <c r="T19" i="134"/>
  <c r="G68" i="30"/>
  <c r="G44" i="30"/>
  <c r="B32" i="25"/>
  <c r="D27" i="20"/>
  <c r="E27" i="20" s="1"/>
  <c r="C37" i="20"/>
  <c r="H32" i="25"/>
  <c r="K8" i="25"/>
  <c r="H7" i="25"/>
  <c r="D42" i="110"/>
  <c r="D43" i="110" s="1"/>
  <c r="F34" i="25"/>
  <c r="I10" i="25"/>
  <c r="I34" i="25" s="1"/>
  <c r="H47" i="25"/>
  <c r="AD25" i="134"/>
  <c r="AD27" i="134"/>
  <c r="AD12" i="134"/>
  <c r="AD30" i="134"/>
  <c r="N7" i="110"/>
  <c r="N42" i="110"/>
  <c r="N43" i="110" s="1"/>
  <c r="I68" i="30"/>
  <c r="P44" i="94"/>
  <c r="K11" i="25"/>
  <c r="K35" i="25" s="1"/>
  <c r="H35" i="25"/>
  <c r="M8" i="110"/>
  <c r="M88" i="110"/>
  <c r="M89" i="110" s="1"/>
  <c r="I7" i="110"/>
  <c r="AD10" i="134"/>
  <c r="E7" i="29"/>
  <c r="E15" i="29" s="1"/>
  <c r="E14" i="29"/>
  <c r="E68" i="30"/>
  <c r="E44" i="30"/>
  <c r="E44" i="94"/>
  <c r="N20" i="94"/>
  <c r="M20" i="142"/>
  <c r="M44" i="142" s="1"/>
  <c r="M44" i="94"/>
  <c r="L44" i="94"/>
  <c r="O7" i="110"/>
  <c r="B10" i="25"/>
  <c r="B34" i="25" s="1"/>
  <c r="AD24" i="134"/>
  <c r="AD28" i="134"/>
  <c r="AD7" i="134"/>
  <c r="AD22" i="134"/>
  <c r="AD15" i="134"/>
  <c r="AD21" i="134"/>
  <c r="AD5" i="134"/>
  <c r="AD14" i="134"/>
  <c r="AD18" i="134"/>
  <c r="AD4" i="134"/>
  <c r="AD11" i="134"/>
  <c r="AD26" i="134"/>
  <c r="AD29" i="134"/>
  <c r="AD13" i="134"/>
  <c r="C13" i="29"/>
  <c r="C6" i="29"/>
  <c r="H33" i="78"/>
  <c r="F68" i="30"/>
  <c r="F44" i="30"/>
  <c r="K20" i="142"/>
  <c r="K44" i="142" s="1"/>
  <c r="K44" i="94"/>
  <c r="K9" i="25"/>
  <c r="K33" i="25" s="1"/>
  <c r="H33" i="25"/>
  <c r="O61" i="157"/>
  <c r="P29" i="157"/>
  <c r="B10" i="22"/>
  <c r="B22" i="22" s="1"/>
  <c r="I11" i="25"/>
  <c r="I35" i="25" s="1"/>
  <c r="J68" i="30"/>
  <c r="J44" i="30"/>
  <c r="G44" i="94"/>
  <c r="C44" i="94"/>
  <c r="O44" i="110"/>
  <c r="B13" i="25" s="1"/>
  <c r="B37" i="25" s="1"/>
  <c r="O42" i="110"/>
  <c r="K7" i="110"/>
  <c r="P7" i="110"/>
  <c r="AK8" i="134"/>
  <c r="AK23" i="134"/>
  <c r="AK7" i="134"/>
  <c r="AK27" i="134"/>
  <c r="AK10" i="134"/>
  <c r="AK18" i="134"/>
  <c r="AK6" i="134"/>
  <c r="B21" i="22"/>
  <c r="J9" i="25"/>
  <c r="J6" i="25"/>
  <c r="J30" i="25" s="1"/>
  <c r="D5" i="30"/>
  <c r="K43" i="110"/>
  <c r="J7" i="110"/>
  <c r="L43" i="110"/>
  <c r="E5" i="30"/>
  <c r="U42" i="110"/>
  <c r="U43" i="110" s="1"/>
  <c r="D12" i="25" s="1"/>
  <c r="U44" i="110"/>
  <c r="D13" i="25" s="1"/>
  <c r="U81" i="110"/>
  <c r="D22" i="25" s="1"/>
  <c r="D23" i="25"/>
  <c r="V44" i="110"/>
  <c r="E13" i="25" s="1"/>
  <c r="V42" i="110"/>
  <c r="P81" i="110"/>
  <c r="D22" i="150"/>
  <c r="D23" i="150" s="1"/>
  <c r="E23" i="150" s="1"/>
  <c r="F23" i="150" s="1"/>
  <c r="G23" i="150" s="1"/>
  <c r="E48" i="150"/>
  <c r="E49" i="150" s="1"/>
  <c r="P64" i="157"/>
  <c r="Q32" i="157"/>
  <c r="Q64" i="157" s="1"/>
  <c r="Q7" i="110"/>
  <c r="F48" i="150"/>
  <c r="B18" i="158"/>
  <c r="O31" i="157"/>
  <c r="N63" i="157"/>
  <c r="O64" i="157"/>
  <c r="L27" i="20"/>
  <c r="M27" i="20"/>
  <c r="N27" i="20" s="1"/>
  <c r="N62" i="157"/>
  <c r="O30" i="157"/>
  <c r="O44" i="94" l="1"/>
  <c r="Q42" i="110"/>
  <c r="G22" i="25"/>
  <c r="G46" i="25" s="1"/>
  <c r="C31" i="78"/>
  <c r="C33" i="78" s="1"/>
  <c r="C16" i="78"/>
  <c r="R11" i="29"/>
  <c r="H8" i="110"/>
  <c r="H88" i="110"/>
  <c r="H89" i="110" s="1"/>
  <c r="J43" i="110"/>
  <c r="C5" i="30"/>
  <c r="R8" i="110"/>
  <c r="R88" i="110"/>
  <c r="R89" i="110" s="1"/>
  <c r="F49" i="150"/>
  <c r="G49" i="150" s="1"/>
  <c r="F37" i="25"/>
  <c r="I13" i="25"/>
  <c r="I37" i="25" s="1"/>
  <c r="T42" i="110"/>
  <c r="T43" i="110" s="1"/>
  <c r="C12" i="25" s="1"/>
  <c r="C36" i="25" s="1"/>
  <c r="L88" i="110"/>
  <c r="L89" i="110" s="1"/>
  <c r="L8" i="110"/>
  <c r="P28" i="18"/>
  <c r="P26" i="18"/>
  <c r="C22" i="28"/>
  <c r="C11" i="28"/>
  <c r="D36" i="25"/>
  <c r="D26" i="25"/>
  <c r="J7" i="25"/>
  <c r="J33" i="25"/>
  <c r="K32" i="25"/>
  <c r="K7" i="25"/>
  <c r="I32" i="25"/>
  <c r="G23" i="94"/>
  <c r="G47" i="94" s="1"/>
  <c r="G46" i="94"/>
  <c r="P8" i="110"/>
  <c r="F31" i="25"/>
  <c r="M12" i="29"/>
  <c r="M6" i="29"/>
  <c r="H12" i="29"/>
  <c r="H6" i="29"/>
  <c r="P31" i="157"/>
  <c r="O63" i="157"/>
  <c r="G26" i="18"/>
  <c r="F26" i="18"/>
  <c r="D27" i="18"/>
  <c r="E27" i="18"/>
  <c r="F27" i="18" s="1"/>
  <c r="D29" i="20"/>
  <c r="E29" i="20" s="1"/>
  <c r="C29" i="20"/>
  <c r="O62" i="157"/>
  <c r="P30" i="157"/>
  <c r="C17" i="158"/>
  <c r="C26" i="158"/>
  <c r="D47" i="25"/>
  <c r="J23" i="25"/>
  <c r="J47" i="25" s="1"/>
  <c r="D34" i="30"/>
  <c r="D13" i="30"/>
  <c r="P42" i="110"/>
  <c r="F22" i="25"/>
  <c r="D46" i="25"/>
  <c r="J22" i="25"/>
  <c r="J46" i="25" s="1"/>
  <c r="K8" i="110"/>
  <c r="K88" i="110"/>
  <c r="K89" i="110" s="1"/>
  <c r="U88" i="110"/>
  <c r="U89" i="110" s="1"/>
  <c r="C14" i="29"/>
  <c r="D7" i="29"/>
  <c r="D15" i="29" s="1"/>
  <c r="C7" i="29"/>
  <c r="C15" i="29" s="1"/>
  <c r="I8" i="110"/>
  <c r="I88" i="110"/>
  <c r="I89" i="110" s="1"/>
  <c r="N88" i="110"/>
  <c r="N89" i="110" s="1"/>
  <c r="N8" i="110"/>
  <c r="L37" i="20"/>
  <c r="F37" i="20"/>
  <c r="O37" i="20" s="1"/>
  <c r="B7" i="25"/>
  <c r="P27" i="18"/>
  <c r="C33" i="25"/>
  <c r="I9" i="25"/>
  <c r="I33" i="25" s="1"/>
  <c r="C7" i="25"/>
  <c r="L12" i="29"/>
  <c r="L6" i="29"/>
  <c r="D88" i="110"/>
  <c r="D89" i="110" s="1"/>
  <c r="F88" i="110"/>
  <c r="F89" i="110" s="1"/>
  <c r="E37" i="25"/>
  <c r="K13" i="25"/>
  <c r="K37" i="25" s="1"/>
  <c r="E8" i="110"/>
  <c r="E88" i="110"/>
  <c r="E89" i="110" s="1"/>
  <c r="F46" i="94"/>
  <c r="F23" i="94"/>
  <c r="F47" i="94" s="1"/>
  <c r="E46" i="142"/>
  <c r="L28" i="20"/>
  <c r="M28" i="20"/>
  <c r="N28" i="20" s="1"/>
  <c r="O28" i="20"/>
  <c r="Q88" i="110"/>
  <c r="Q89" i="110" s="1"/>
  <c r="Q8" i="110"/>
  <c r="E34" i="30"/>
  <c r="E13" i="30"/>
  <c r="O27" i="20"/>
  <c r="B22" i="98"/>
  <c r="B40" i="158"/>
  <c r="V43" i="110"/>
  <c r="E12" i="25" s="1"/>
  <c r="V88" i="110"/>
  <c r="V89" i="110" s="1"/>
  <c r="D37" i="25"/>
  <c r="J13" i="25"/>
  <c r="J37" i="25" s="1"/>
  <c r="J8" i="110"/>
  <c r="J88" i="110"/>
  <c r="J89" i="110" s="1"/>
  <c r="O43" i="110"/>
  <c r="B12" i="25" s="1"/>
  <c r="B36" i="25" s="1"/>
  <c r="G5" i="30"/>
  <c r="Q29" i="157"/>
  <c r="Q61" i="157" s="1"/>
  <c r="P61" i="157"/>
  <c r="O88" i="110"/>
  <c r="O89" i="110" s="1"/>
  <c r="O8" i="110"/>
  <c r="N20" i="142"/>
  <c r="N44" i="142" s="1"/>
  <c r="N44" i="94"/>
  <c r="H26" i="25"/>
  <c r="H50" i="25" s="1"/>
  <c r="H31" i="25"/>
  <c r="F27" i="20"/>
  <c r="T88" i="110"/>
  <c r="T89" i="110" s="1"/>
  <c r="T8" i="110"/>
  <c r="N29" i="18"/>
  <c r="O29" i="18" s="1"/>
  <c r="M29" i="18"/>
  <c r="C23" i="142"/>
  <c r="C47" i="142" s="1"/>
  <c r="B46" i="142"/>
  <c r="G46" i="142"/>
  <c r="G23" i="142"/>
  <c r="G47" i="142" s="1"/>
  <c r="D22" i="142"/>
  <c r="D9" i="28"/>
  <c r="D22" i="28" s="1"/>
  <c r="J4" i="29"/>
  <c r="D22" i="94"/>
  <c r="E23" i="94" s="1"/>
  <c r="E47" i="94" s="1"/>
  <c r="D21" i="28"/>
  <c r="F28" i="20"/>
  <c r="E46" i="94"/>
  <c r="K12" i="29"/>
  <c r="K6" i="29"/>
  <c r="D6" i="26" l="1"/>
  <c r="D14" i="26" s="1"/>
  <c r="G9" i="22"/>
  <c r="G21" i="22" s="1"/>
  <c r="C13" i="30"/>
  <c r="C42" i="30" s="1"/>
  <c r="C34" i="30"/>
  <c r="Q43" i="110"/>
  <c r="G12" i="25" s="1"/>
  <c r="I5" i="30"/>
  <c r="D11" i="28"/>
  <c r="D12" i="28" s="1"/>
  <c r="D46" i="142"/>
  <c r="D23" i="142"/>
  <c r="D47" i="142" s="1"/>
  <c r="N30" i="18"/>
  <c r="O30" i="18" s="1"/>
  <c r="M30" i="18"/>
  <c r="C6" i="26"/>
  <c r="F9" i="22"/>
  <c r="E23" i="142"/>
  <c r="E47" i="142" s="1"/>
  <c r="U5" i="29"/>
  <c r="U11" i="29" s="1"/>
  <c r="L7" i="29"/>
  <c r="L15" i="29" s="1"/>
  <c r="L14" i="29"/>
  <c r="C31" i="25"/>
  <c r="C26" i="25"/>
  <c r="B26" i="25"/>
  <c r="B50" i="25" s="1"/>
  <c r="B31" i="25"/>
  <c r="H5" i="30"/>
  <c r="P43" i="110"/>
  <c r="F12" i="25" s="1"/>
  <c r="P88" i="110"/>
  <c r="P89" i="110" s="1"/>
  <c r="B6" i="26" s="1"/>
  <c r="J6" i="29"/>
  <c r="K7" i="29" s="1"/>
  <c r="K15" i="29" s="1"/>
  <c r="J12" i="29"/>
  <c r="E14" i="30"/>
  <c r="E42" i="30"/>
  <c r="F14" i="30"/>
  <c r="D42" i="30"/>
  <c r="D14" i="30"/>
  <c r="C30" i="20"/>
  <c r="D30" i="20"/>
  <c r="E30" i="20" s="1"/>
  <c r="F30" i="20"/>
  <c r="E28" i="18"/>
  <c r="F28" i="18" s="1"/>
  <c r="D28" i="18"/>
  <c r="M7" i="29"/>
  <c r="M15" i="29" s="1"/>
  <c r="V5" i="29"/>
  <c r="V11" i="29" s="1"/>
  <c r="M14" i="29"/>
  <c r="I7" i="25"/>
  <c r="J31" i="25"/>
  <c r="T5" i="29"/>
  <c r="T11" i="29" s="1"/>
  <c r="K14" i="29"/>
  <c r="D46" i="94"/>
  <c r="D23" i="94"/>
  <c r="D47" i="94" s="1"/>
  <c r="P29" i="18"/>
  <c r="G34" i="30"/>
  <c r="G13" i="30"/>
  <c r="C39" i="158"/>
  <c r="C18" i="158"/>
  <c r="F29" i="20"/>
  <c r="G27" i="18"/>
  <c r="P63" i="157"/>
  <c r="Q31" i="157"/>
  <c r="Q63" i="157" s="1"/>
  <c r="K31" i="25"/>
  <c r="C7" i="26"/>
  <c r="C15" i="26" s="1"/>
  <c r="D50" i="25"/>
  <c r="E36" i="25"/>
  <c r="E26" i="25"/>
  <c r="K12" i="25"/>
  <c r="K36" i="25" s="1"/>
  <c r="B29" i="98"/>
  <c r="K21" i="94"/>
  <c r="K22" i="98"/>
  <c r="L29" i="20"/>
  <c r="M29" i="20"/>
  <c r="N29" i="20" s="1"/>
  <c r="I22" i="25"/>
  <c r="I46" i="25" s="1"/>
  <c r="F46" i="25"/>
  <c r="Q30" i="157"/>
  <c r="Q62" i="157" s="1"/>
  <c r="P62" i="157"/>
  <c r="Q5" i="29"/>
  <c r="Q11" i="29" s="1"/>
  <c r="H14" i="29"/>
  <c r="H7" i="29"/>
  <c r="H15" i="29" s="1"/>
  <c r="I7" i="29"/>
  <c r="I15" i="29" s="1"/>
  <c r="G28" i="18" l="1"/>
  <c r="K26" i="25"/>
  <c r="K50" i="25" s="1"/>
  <c r="I34" i="30"/>
  <c r="I13" i="30"/>
  <c r="G26" i="25"/>
  <c r="G50" i="25" s="1"/>
  <c r="J12" i="25"/>
  <c r="G36" i="25"/>
  <c r="D7" i="26"/>
  <c r="E50" i="25"/>
  <c r="D26" i="158"/>
  <c r="D17" i="158"/>
  <c r="E19" i="30"/>
  <c r="E43" i="30"/>
  <c r="C50" i="25"/>
  <c r="B7" i="26"/>
  <c r="B15" i="26" s="1"/>
  <c r="O29" i="20"/>
  <c r="C31" i="20"/>
  <c r="D31" i="20"/>
  <c r="E31" i="20" s="1"/>
  <c r="B8" i="26"/>
  <c r="B16" i="26" s="1"/>
  <c r="B14" i="26"/>
  <c r="C8" i="26"/>
  <c r="C14" i="26"/>
  <c r="I12" i="25"/>
  <c r="I36" i="25" s="1"/>
  <c r="F36" i="25"/>
  <c r="F26" i="25"/>
  <c r="F50" i="25" s="1"/>
  <c r="N31" i="18"/>
  <c r="O31" i="18" s="1"/>
  <c r="M31" i="18"/>
  <c r="H34" i="30"/>
  <c r="H13" i="30"/>
  <c r="G14" i="30"/>
  <c r="G42" i="30"/>
  <c r="D19" i="30"/>
  <c r="D43" i="30"/>
  <c r="K21" i="142"/>
  <c r="K45" i="142" s="1"/>
  <c r="K45" i="94"/>
  <c r="L30" i="20"/>
  <c r="M30" i="20"/>
  <c r="N30" i="20" s="1"/>
  <c r="K22" i="94"/>
  <c r="K29" i="98"/>
  <c r="C22" i="98"/>
  <c r="C40" i="158"/>
  <c r="C16" i="39"/>
  <c r="I31" i="25"/>
  <c r="G29" i="18"/>
  <c r="E29" i="18"/>
  <c r="F29" i="18" s="1"/>
  <c r="D29" i="18"/>
  <c r="F19" i="30"/>
  <c r="F43" i="30"/>
  <c r="S5" i="29"/>
  <c r="S11" i="29" s="1"/>
  <c r="J14" i="29"/>
  <c r="J7" i="29"/>
  <c r="J15" i="29" s="1"/>
  <c r="F21" i="22"/>
  <c r="F12" i="22"/>
  <c r="F24" i="22" s="1"/>
  <c r="P30" i="18"/>
  <c r="J14" i="30" l="1"/>
  <c r="I42" i="30"/>
  <c r="J36" i="25"/>
  <c r="J26" i="25"/>
  <c r="J50" i="25" s="1"/>
  <c r="I26" i="25"/>
  <c r="I50" i="25" s="1"/>
  <c r="F48" i="30"/>
  <c r="F20" i="30"/>
  <c r="C29" i="98"/>
  <c r="L21" i="94"/>
  <c r="L22" i="98"/>
  <c r="L31" i="20"/>
  <c r="M31" i="20"/>
  <c r="N31" i="20" s="1"/>
  <c r="N32" i="18"/>
  <c r="O32" i="18" s="1"/>
  <c r="M32" i="18"/>
  <c r="D32" i="20"/>
  <c r="E32" i="20" s="1"/>
  <c r="C32" i="20"/>
  <c r="C17" i="39"/>
  <c r="C33" i="39" s="1"/>
  <c r="C32" i="39"/>
  <c r="K22" i="142"/>
  <c r="K46" i="142" s="1"/>
  <c r="K46" i="94"/>
  <c r="P31" i="18"/>
  <c r="F31" i="20"/>
  <c r="D18" i="158"/>
  <c r="D39" i="158"/>
  <c r="G19" i="30"/>
  <c r="G43" i="30"/>
  <c r="C9" i="26"/>
  <c r="C17" i="26" s="1"/>
  <c r="C16" i="26"/>
  <c r="H14" i="30"/>
  <c r="H42" i="30"/>
  <c r="I14" i="30"/>
  <c r="E30" i="18"/>
  <c r="F30" i="18" s="1"/>
  <c r="D30" i="18"/>
  <c r="G30" i="18"/>
  <c r="O30" i="20"/>
  <c r="D48" i="30"/>
  <c r="D20" i="30"/>
  <c r="E48" i="30"/>
  <c r="E20" i="30"/>
  <c r="D15" i="26"/>
  <c r="D8" i="26"/>
  <c r="D16" i="26" s="1"/>
  <c r="J43" i="30" l="1"/>
  <c r="J19" i="30"/>
  <c r="E17" i="158"/>
  <c r="E26" i="158"/>
  <c r="N33" i="18"/>
  <c r="O33" i="18" s="1"/>
  <c r="M33" i="18"/>
  <c r="E49" i="30"/>
  <c r="E22" i="30"/>
  <c r="I19" i="30"/>
  <c r="I43" i="30"/>
  <c r="G20" i="30"/>
  <c r="G48" i="30"/>
  <c r="O31" i="20"/>
  <c r="L21" i="142"/>
  <c r="L45" i="142" s="1"/>
  <c r="L45" i="94"/>
  <c r="D49" i="30"/>
  <c r="D22" i="30"/>
  <c r="C33" i="20"/>
  <c r="D33" i="20"/>
  <c r="E33" i="20" s="1"/>
  <c r="L32" i="20"/>
  <c r="M32" i="20"/>
  <c r="N32" i="20" s="1"/>
  <c r="F22" i="30"/>
  <c r="F49" i="30"/>
  <c r="L22" i="94"/>
  <c r="L29" i="98"/>
  <c r="D31" i="18"/>
  <c r="E31" i="18"/>
  <c r="F31" i="18" s="1"/>
  <c r="H19" i="30"/>
  <c r="H43" i="30"/>
  <c r="D40" i="158"/>
  <c r="D22" i="98"/>
  <c r="D16" i="39"/>
  <c r="F32" i="20"/>
  <c r="P32" i="18"/>
  <c r="J20" i="30" l="1"/>
  <c r="J48" i="30"/>
  <c r="O32" i="20"/>
  <c r="D17" i="39"/>
  <c r="D33" i="39" s="1"/>
  <c r="D32" i="39"/>
  <c r="D23" i="30"/>
  <c r="D51" i="30"/>
  <c r="I20" i="30"/>
  <c r="I48" i="30"/>
  <c r="H48" i="30"/>
  <c r="H20" i="30"/>
  <c r="M21" i="94"/>
  <c r="D29" i="98"/>
  <c r="M22" i="98"/>
  <c r="G31" i="18"/>
  <c r="L22" i="142"/>
  <c r="L46" i="142" s="1"/>
  <c r="L46" i="94"/>
  <c r="D34" i="20"/>
  <c r="E34" i="20" s="1"/>
  <c r="C34" i="20"/>
  <c r="E51" i="30"/>
  <c r="E23" i="30"/>
  <c r="P33" i="18"/>
  <c r="M33" i="20"/>
  <c r="N33" i="20" s="1"/>
  <c r="L33" i="20"/>
  <c r="G49" i="30"/>
  <c r="G22" i="30"/>
  <c r="E32" i="18"/>
  <c r="F32" i="18" s="1"/>
  <c r="D32" i="18"/>
  <c r="F23" i="30"/>
  <c r="F51" i="30"/>
  <c r="F33" i="20"/>
  <c r="N34" i="18"/>
  <c r="O34" i="18" s="1"/>
  <c r="M34" i="18"/>
  <c r="E18" i="158"/>
  <c r="E39" i="158"/>
  <c r="O33" i="20" l="1"/>
  <c r="J49" i="30"/>
  <c r="J22" i="30"/>
  <c r="G23" i="30"/>
  <c r="G24" i="30" s="1"/>
  <c r="G53" i="30" s="1"/>
  <c r="G51" i="30"/>
  <c r="N35" i="18"/>
  <c r="O35" i="18" s="1"/>
  <c r="M35" i="18"/>
  <c r="C35" i="20"/>
  <c r="D35" i="20"/>
  <c r="E35" i="20" s="1"/>
  <c r="H22" i="30"/>
  <c r="H49" i="30"/>
  <c r="F17" i="158"/>
  <c r="F26" i="158"/>
  <c r="E24" i="30"/>
  <c r="E53" i="30" s="1"/>
  <c r="D52" i="30"/>
  <c r="D24" i="30"/>
  <c r="D53" i="30" s="1"/>
  <c r="P34" i="18"/>
  <c r="G32" i="18"/>
  <c r="L34" i="20"/>
  <c r="M34" i="20"/>
  <c r="N34" i="20" s="1"/>
  <c r="M22" i="94"/>
  <c r="M29" i="98"/>
  <c r="F52" i="30"/>
  <c r="F24" i="30"/>
  <c r="F53" i="30" s="1"/>
  <c r="E52" i="30"/>
  <c r="E40" i="158"/>
  <c r="E22" i="98"/>
  <c r="E16" i="39"/>
  <c r="D33" i="18"/>
  <c r="E33" i="18"/>
  <c r="F33" i="18" s="1"/>
  <c r="F34" i="20"/>
  <c r="M21" i="142"/>
  <c r="M45" i="142" s="1"/>
  <c r="M45" i="94"/>
  <c r="I22" i="30"/>
  <c r="I49" i="30"/>
  <c r="J51" i="30" l="1"/>
  <c r="J23" i="30"/>
  <c r="J52" i="30" s="1"/>
  <c r="P35" i="18"/>
  <c r="E29" i="98"/>
  <c r="N21" i="94"/>
  <c r="N22" i="98"/>
  <c r="F35" i="20"/>
  <c r="I23" i="30"/>
  <c r="I51" i="30"/>
  <c r="G33" i="18"/>
  <c r="F18" i="158"/>
  <c r="F39" i="158"/>
  <c r="D34" i="18"/>
  <c r="E34" i="18"/>
  <c r="F34" i="18" s="1"/>
  <c r="O34" i="20"/>
  <c r="D36" i="20"/>
  <c r="E36" i="20" s="1"/>
  <c r="C36" i="20"/>
  <c r="L35" i="20"/>
  <c r="M35" i="20"/>
  <c r="N35" i="20" s="1"/>
  <c r="E17" i="39"/>
  <c r="E33" i="39" s="1"/>
  <c r="E32" i="39"/>
  <c r="M22" i="142"/>
  <c r="M46" i="142" s="1"/>
  <c r="M46" i="94"/>
  <c r="H23" i="30"/>
  <c r="H51" i="30"/>
  <c r="N36" i="18"/>
  <c r="O36" i="18" s="1"/>
  <c r="M36" i="18"/>
  <c r="G52" i="30"/>
  <c r="H24" i="30"/>
  <c r="H53" i="30" s="1"/>
  <c r="G34" i="18" l="1"/>
  <c r="P36" i="18"/>
  <c r="O35" i="20"/>
  <c r="F36" i="20"/>
  <c r="E35" i="18"/>
  <c r="F35" i="18" s="1"/>
  <c r="D35" i="18"/>
  <c r="F22" i="98"/>
  <c r="F40" i="158"/>
  <c r="F16" i="39"/>
  <c r="M36" i="20"/>
  <c r="N36" i="20" s="1"/>
  <c r="L36" i="20"/>
  <c r="O36" i="20"/>
  <c r="G26" i="158"/>
  <c r="G17" i="158"/>
  <c r="N21" i="142"/>
  <c r="N45" i="142" s="1"/>
  <c r="N45" i="94"/>
  <c r="N37" i="18"/>
  <c r="O37" i="18" s="1"/>
  <c r="M37" i="18"/>
  <c r="H52" i="30"/>
  <c r="I24" i="30"/>
  <c r="I53" i="30" s="1"/>
  <c r="I52" i="30"/>
  <c r="J24" i="30"/>
  <c r="J53" i="30" s="1"/>
  <c r="N22" i="94"/>
  <c r="N29" i="98"/>
  <c r="P37" i="18" l="1"/>
  <c r="G35" i="18"/>
  <c r="F32" i="39"/>
  <c r="F17" i="39"/>
  <c r="F33" i="39" s="1"/>
  <c r="N22" i="142"/>
  <c r="N46" i="142" s="1"/>
  <c r="N46" i="94"/>
  <c r="F29" i="98"/>
  <c r="O21" i="94"/>
  <c r="O22" i="98"/>
  <c r="N38" i="18"/>
  <c r="O38" i="18" s="1"/>
  <c r="M38" i="18"/>
  <c r="G39" i="158"/>
  <c r="G18" i="158"/>
  <c r="D36" i="18"/>
  <c r="E36" i="18"/>
  <c r="F36" i="18" s="1"/>
  <c r="G36" i="18"/>
  <c r="O21" i="142" l="1"/>
  <c r="O45" i="142" s="1"/>
  <c r="O45" i="94"/>
  <c r="O22" i="94"/>
  <c r="O29" i="98"/>
  <c r="D37" i="18"/>
  <c r="E37" i="18"/>
  <c r="F37" i="18" s="1"/>
  <c r="G22" i="98"/>
  <c r="G40" i="158"/>
  <c r="G16" i="39"/>
  <c r="G32" i="39" s="1"/>
  <c r="P38" i="18"/>
  <c r="O22" i="142" l="1"/>
  <c r="O46" i="142" s="1"/>
  <c r="O46" i="94"/>
  <c r="G29" i="98"/>
  <c r="P21" i="94"/>
  <c r="P22" i="98"/>
  <c r="G37" i="18"/>
  <c r="D38" i="18"/>
  <c r="E38" i="18"/>
  <c r="F38" i="18" s="1"/>
  <c r="G38" i="18" l="1"/>
  <c r="P21" i="142"/>
  <c r="P45" i="142" s="1"/>
  <c r="P45" i="94"/>
  <c r="P22" i="94"/>
  <c r="P29" i="98"/>
  <c r="P22" i="142" l="1"/>
  <c r="P46" i="142" s="1"/>
  <c r="P46" i="94"/>
</calcChain>
</file>

<file path=xl/comments1.xml><?xml version="1.0" encoding="utf-8"?>
<comments xmlns="http://schemas.openxmlformats.org/spreadsheetml/2006/main">
  <authors>
    <author>Autor</author>
  </authors>
  <commentList>
    <comment ref="K137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as of 3.4.2017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A24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38,5 tis je štátna služba a 60  je OSVS, teda odhad zákonníka práce v centrálnej vláde</t>
        </r>
      </text>
    </comment>
    <comment ref="BA25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VZ v rozpočtovkách + VZ v príspevkvovkách  všetko štátu + nepedagogickí na VŠ
- pedagogickí v štátnej správe - to sú školy zriaden´=e okresnými úradmi, teda pod MIn Vnútra (z platovej inventúry tabuľka vs15s, podľa prílohy 4) počet 8,9 tis)</t>
        </r>
      </text>
    </comment>
  </commentList>
</comments>
</file>

<file path=xl/sharedStrings.xml><?xml version="1.0" encoding="utf-8"?>
<sst xmlns="http://schemas.openxmlformats.org/spreadsheetml/2006/main" count="2980" uniqueCount="1767">
  <si>
    <t>1. Saldo verejnej správy</t>
  </si>
  <si>
    <t>2. Cyklická zložka</t>
  </si>
  <si>
    <t>3. Jednorazové efekty</t>
  </si>
  <si>
    <t>MFSR</t>
  </si>
  <si>
    <t>EK</t>
  </si>
  <si>
    <t>Ekonomický rast</t>
  </si>
  <si>
    <t>EÚ</t>
  </si>
  <si>
    <t>Eurozóna</t>
  </si>
  <si>
    <t>Nemecko</t>
  </si>
  <si>
    <t>Česká republika</t>
  </si>
  <si>
    <t>Poľsko</t>
  </si>
  <si>
    <t>Maďarsko</t>
  </si>
  <si>
    <t xml:space="preserve">Dlhodobé úrokové miery (10r.) </t>
  </si>
  <si>
    <t xml:space="preserve">          Nemecko </t>
  </si>
  <si>
    <t>-</t>
  </si>
  <si>
    <t>Základná sadzba ECB</t>
  </si>
  <si>
    <t>Kurz (USD/EUR)</t>
  </si>
  <si>
    <t>Cena ropy (Brent, USD/barel)</t>
  </si>
  <si>
    <t>p.m. Ekonomický rast Slovenska</t>
  </si>
  <si>
    <t>Zdroj: MF SR</t>
  </si>
  <si>
    <t>P.č.</t>
  </si>
  <si>
    <t>Ukazovateľ</t>
  </si>
  <si>
    <t>Skutočnosť</t>
  </si>
  <si>
    <t>Prognóza</t>
  </si>
  <si>
    <t>m.j.</t>
  </si>
  <si>
    <t>HDP, bežné ceny</t>
  </si>
  <si>
    <t>mld. eur</t>
  </si>
  <si>
    <t>HDP, stále ceny</t>
  </si>
  <si>
    <t>%</t>
  </si>
  <si>
    <t xml:space="preserve">     Konečná spotreba domácností a NISD[1]</t>
  </si>
  <si>
    <t xml:space="preserve">     Konečná spotreba verejnej správy </t>
  </si>
  <si>
    <t xml:space="preserve">     Tvorba hrubého fixného kapitálu </t>
  </si>
  <si>
    <t xml:space="preserve">     Export tovarov a služieb </t>
  </si>
  <si>
    <t xml:space="preserve">     Import tovarov a služieb </t>
  </si>
  <si>
    <t>Produkčná medzera (podiel na potenciálnom produkte)</t>
  </si>
  <si>
    <t>Priem. mesačná mzda za hospodárstvo (nominálny rast)</t>
  </si>
  <si>
    <t>Priemerný rast zamestnanosti, podľa VZPS</t>
  </si>
  <si>
    <t>Priemerný rast zamestnanosti, podľa ESA95</t>
  </si>
  <si>
    <t>Priemerná miera nezamestnanosti, podľa VZPS</t>
  </si>
  <si>
    <t>Priemerná evidovaná miera nezamestnanosti</t>
  </si>
  <si>
    <t>Harmonizovaný index spotrebiteľských cien (HICP)</t>
  </si>
  <si>
    <t>Reálny rast HDP (%)</t>
  </si>
  <si>
    <t>Makrovýbor (medián)</t>
  </si>
  <si>
    <t>NBS</t>
  </si>
  <si>
    <t>OECD</t>
  </si>
  <si>
    <t>MMF</t>
  </si>
  <si>
    <t>HICP  (%)</t>
  </si>
  <si>
    <t>Bežný účet (% HDP)</t>
  </si>
  <si>
    <t>mil. eur</t>
  </si>
  <si>
    <t>% HDP</t>
  </si>
  <si>
    <t>v % HDP</t>
  </si>
  <si>
    <t>Spolu</t>
  </si>
  <si>
    <t>OS</t>
  </si>
  <si>
    <t>NPC scenár</t>
  </si>
  <si>
    <t>2. Výdavky spolu</t>
  </si>
  <si>
    <t xml:space="preserve">  Bežné výdavky</t>
  </si>
  <si>
    <t xml:space="preserve">    Kompenzácie zamestnancov</t>
  </si>
  <si>
    <t xml:space="preserve">    Medzispotreba</t>
  </si>
  <si>
    <t xml:space="preserve">    Subvencie</t>
  </si>
  <si>
    <t xml:space="preserve">    Úrokové náklady</t>
  </si>
  <si>
    <t xml:space="preserve">    Celkové sociálne transfery</t>
  </si>
  <si>
    <t xml:space="preserve">     - Naturálne sociálne transfery</t>
  </si>
  <si>
    <t xml:space="preserve">    Ostatné bežné transfery</t>
  </si>
  <si>
    <t xml:space="preserve"> Kapitálové výdavky</t>
  </si>
  <si>
    <t xml:space="preserve">    Kapitálové investície</t>
  </si>
  <si>
    <t xml:space="preserve">      - Tvorba hrubého fixného kapitálu</t>
  </si>
  <si>
    <t xml:space="preserve">    Kapitálové transfery</t>
  </si>
  <si>
    <t>3. Čisté pôžičky poskytnuté / prijaté</t>
  </si>
  <si>
    <t xml:space="preserve"> - medziročná zmena</t>
  </si>
  <si>
    <t>1.   Celkové výdavky</t>
  </si>
  <si>
    <t>2.   Úrokové náklady</t>
  </si>
  <si>
    <t>6.   Cyklické výdavky na dávky v nezamestnanosti</t>
  </si>
  <si>
    <t xml:space="preserve">7.   Výdavky plne kryté automatickým zvýšením príjmov </t>
  </si>
  <si>
    <t>10. Zmena v príjmoch z titulu diskrečných príjmových opatrení</t>
  </si>
  <si>
    <t xml:space="preserve">12. Reálny rast agregátu výdavkov očisteného o príjmové opatrenia </t>
  </si>
  <si>
    <t>13. Výdavkové pravidlo (znížená referenčná miera pot. rastu HDP)</t>
  </si>
  <si>
    <t>p.b.</t>
  </si>
  <si>
    <t>15. Odchýlka od výdavkového pravidla</t>
  </si>
  <si>
    <t>16. Dvojročná odchýlka od výdavkového pravidla</t>
  </si>
  <si>
    <t>Hrubý dlh verejnej správy</t>
  </si>
  <si>
    <t xml:space="preserve">  - štátny dlh (bez vplyvu medzinár. záväzkov)</t>
  </si>
  <si>
    <t xml:space="preserve">  - podiel SR na dlhu EFSF</t>
  </si>
  <si>
    <t xml:space="preserve">  - vklad do ESM</t>
  </si>
  <si>
    <t xml:space="preserve">  - dlh ostatných zložiek verejnej správy</t>
  </si>
  <si>
    <t>p.m. zmena hrubého dlhu</t>
  </si>
  <si>
    <t>p.m. čistý dlh</t>
  </si>
  <si>
    <t>A. Hrubý dlh verejnej správy (k 1.1.)</t>
  </si>
  <si>
    <t>B. Celková medziročná zmena hrubého dlhu VS</t>
  </si>
  <si>
    <t xml:space="preserve"> - prostriedky ŠP využité pre financovanie potrieb štátu</t>
  </si>
  <si>
    <t xml:space="preserve"> - emisný diskont</t>
  </si>
  <si>
    <t xml:space="preserve"> - diskont pri splatnosti</t>
  </si>
  <si>
    <t>z toho: NDS</t>
  </si>
  <si>
    <t>z toho: Dopravné podniky obcí</t>
  </si>
  <si>
    <t xml:space="preserve"> - ostatné</t>
  </si>
  <si>
    <t>C. Hrubý dlh verejnej správy (k 31.12.) (A+B)</t>
  </si>
  <si>
    <t>Pozn.: Plusové položky zvyšujú dlh verejnej správy k 31.12. príslušného roku, mínusové položky dlh znižujú.</t>
  </si>
  <si>
    <t>Kumulatívna zmena hodnoty jednotlivých premenných oproti základnému scenáru je v p. b.</t>
  </si>
  <si>
    <t>Spotreba domácností</t>
  </si>
  <si>
    <t>Hrubé fixné investície</t>
  </si>
  <si>
    <t>HDP</t>
  </si>
  <si>
    <t>Miera nezamestnanosti</t>
  </si>
  <si>
    <t>CPI</t>
  </si>
  <si>
    <t>(% HDP)</t>
  </si>
  <si>
    <t xml:space="preserve">ESA kód </t>
  </si>
  <si>
    <t>Predchádzajúca aktualizácia*</t>
  </si>
  <si>
    <t>Skutočnosť a súčasná aktualizácia</t>
  </si>
  <si>
    <t>Rozdiel</t>
  </si>
  <si>
    <t>Saldo verejnej správy (% HDP)</t>
  </si>
  <si>
    <t>EDP B.9</t>
  </si>
  <si>
    <t>Hrubý dlh verejnej správy (% HDP)</t>
  </si>
  <si>
    <t>Opatrenie</t>
  </si>
  <si>
    <t xml:space="preserve">ESA2010 </t>
  </si>
  <si>
    <t>mil. eur</t>
  </si>
  <si>
    <t>% HDP</t>
  </si>
  <si>
    <t>P.2</t>
  </si>
  <si>
    <t>Investície</t>
  </si>
  <si>
    <t xml:space="preserve"> - nižší odvod do EÚ rozpočtu</t>
  </si>
  <si>
    <t>Popis</t>
  </si>
  <si>
    <t>Zmeny v daňovom odpisovaní majetku</t>
  </si>
  <si>
    <t>Zavedenie pravidiel nízkej kapitalizácie</t>
  </si>
  <si>
    <t>Odpočet výdavkov na vedu a výskum od základu dane</t>
  </si>
  <si>
    <t>Audit daňových výdavkov a iné</t>
  </si>
  <si>
    <t>Otvorenie II. piliera - bežný vplyv</t>
  </si>
  <si>
    <t>Zmeny v zaťažení odvodov</t>
  </si>
  <si>
    <t>EFSF + ESM</t>
  </si>
  <si>
    <t>Hrubý dlh (očistený o ESM a EFSF)</t>
  </si>
  <si>
    <t>Saldo verejnej správy</t>
  </si>
  <si>
    <t>Štrukturálne saldo</t>
  </si>
  <si>
    <t>Konsolidačné úsilie podľa EK</t>
  </si>
  <si>
    <t>Čistý dlh</t>
  </si>
  <si>
    <t>Zmena hrubého dlhu verejnej správy</t>
  </si>
  <si>
    <t>Príspevky k zmene hrubého dlhu verejnej správy:</t>
  </si>
  <si>
    <t>Primárne saldo</t>
  </si>
  <si>
    <t>Snehová guľa</t>
  </si>
  <si>
    <t>Úroky</t>
  </si>
  <si>
    <t>Rast nominálneho HDP</t>
  </si>
  <si>
    <t>Zosúladenie deficitu a dlhu</t>
  </si>
  <si>
    <t xml:space="preserve"> - príjmy z predaja telekomunikačných licencií (digitálna dividenda)</t>
  </si>
  <si>
    <t xml:space="preserve"> - pokuta protimonopolného úradu za stavebný kartel </t>
  </si>
  <si>
    <t>-  jednorazové vyplatenie starobných dôchodkov silovým zložkám</t>
  </si>
  <si>
    <t>Saldo VS</t>
  </si>
  <si>
    <t xml:space="preserve">Jednorazové vplyvy  (ESA2010, mil. eur) </t>
  </si>
  <si>
    <t xml:space="preserve">Jednorazové vplyvy  (ESA2010, % HDP) </t>
  </si>
  <si>
    <t>Nominálne HDP</t>
  </si>
  <si>
    <t>p. m. deflátor HDP</t>
  </si>
  <si>
    <t>14. Odchýlka od výdavkového pravidla (13-12)</t>
  </si>
  <si>
    <t>Slovensko</t>
  </si>
  <si>
    <t>BCOM Index</t>
  </si>
  <si>
    <t>S&amp;P 500</t>
  </si>
  <si>
    <t>Eurostoxx 50</t>
  </si>
  <si>
    <t xml:space="preserve">DAX </t>
  </si>
  <si>
    <t>Shanghai Composite</t>
  </si>
  <si>
    <t>Španielsko</t>
  </si>
  <si>
    <t>Česká Republika</t>
  </si>
  <si>
    <t>Spotreba</t>
  </si>
  <si>
    <t>Zásoby a diskrepancia</t>
  </si>
  <si>
    <t>Čistý export</t>
  </si>
  <si>
    <t>Poľnohospodárstvo</t>
  </si>
  <si>
    <t>Priemysel</t>
  </si>
  <si>
    <t>Trhové služby</t>
  </si>
  <si>
    <t>Verejný sektor</t>
  </si>
  <si>
    <t>Stavebníctvo</t>
  </si>
  <si>
    <t>Hospodárstvo spolu</t>
  </si>
  <si>
    <t>Bežný účet</t>
  </si>
  <si>
    <t>Tovary</t>
  </si>
  <si>
    <t>Služby</t>
  </si>
  <si>
    <t>Celková inflácia</t>
  </si>
  <si>
    <t>Čistá inflácia</t>
  </si>
  <si>
    <t>Ceny potravín</t>
  </si>
  <si>
    <t>Regulované ceny</t>
  </si>
  <si>
    <t>Bilancia bežného účtu (podiel na HDP)</t>
  </si>
  <si>
    <t>Tržby (mil. eur)</t>
  </si>
  <si>
    <t xml:space="preserve">Počet vyrobených automobilov </t>
  </si>
  <si>
    <t>Model 1</t>
  </si>
  <si>
    <t>Model 2</t>
  </si>
  <si>
    <t>Počet pracovných miest u dodávateľov</t>
  </si>
  <si>
    <t xml:space="preserve">Dovozná náročnosť vývozu </t>
  </si>
  <si>
    <t>2017F</t>
  </si>
  <si>
    <t>2018F</t>
  </si>
  <si>
    <t>2019F</t>
  </si>
  <si>
    <t>BÚ PB</t>
  </si>
  <si>
    <t>Pot. HDP (rast, %)</t>
  </si>
  <si>
    <t>Zásoba kapitálu</t>
  </si>
  <si>
    <t>Práca</t>
  </si>
  <si>
    <t>* celková produktivita výrobných faktorov</t>
  </si>
  <si>
    <t>Zdroj: MF SR</t>
  </si>
  <si>
    <t>zamestnanosť</t>
  </si>
  <si>
    <t>zásoba kapitálu</t>
  </si>
  <si>
    <t>TFP</t>
  </si>
  <si>
    <t>pot. produkt</t>
  </si>
  <si>
    <t>Prod. Medzera</t>
  </si>
  <si>
    <t>(reál. rast, %)</t>
  </si>
  <si>
    <t>(% pot. HDP)</t>
  </si>
  <si>
    <t xml:space="preserve">Zdroj: MF SR                                                                                                       </t>
  </si>
  <si>
    <t>produkčná medzera</t>
  </si>
  <si>
    <r>
      <t>TFP</t>
    </r>
    <r>
      <rPr>
        <b/>
        <vertAlign val="superscript"/>
        <sz val="9"/>
        <color rgb="FF000000"/>
        <rFont val="Arial Narrow"/>
        <family val="2"/>
        <charset val="238"/>
      </rPr>
      <t>*</t>
    </r>
  </si>
  <si>
    <t>p.m. konvergenčná doložka (convergence margin)</t>
  </si>
  <si>
    <t>Spolu (objem konsolidácie/stimulu oproti NPC)</t>
  </si>
  <si>
    <t xml:space="preserve"> </t>
  </si>
  <si>
    <t>1. Saldo verejnej správy - Fiškálne ciele</t>
  </si>
  <si>
    <t>p.m. požadovaná konsolidácia podľa EK</t>
  </si>
  <si>
    <r>
      <t xml:space="preserve">Bilancia BÚ          </t>
    </r>
    <r>
      <rPr>
        <sz val="9"/>
        <color rgb="FF000000"/>
        <rFont val="Arial Narrow"/>
        <family val="2"/>
        <charset val="238"/>
      </rPr>
      <t>(% HDP)</t>
    </r>
  </si>
  <si>
    <t>Dlh VS</t>
  </si>
  <si>
    <t xml:space="preserve">BÚ - bežný účet </t>
  </si>
  <si>
    <t>BÚ - bežný účet</t>
  </si>
  <si>
    <t>4.   Kapitálové výdavky kryté národnými zdrojmi</t>
  </si>
  <si>
    <t>5.   Vyhladené kapitálové výdavky (nár. zdroje 4-ročný pohyblivý priemer)</t>
  </si>
  <si>
    <t>Investícia (mil. eur)</t>
  </si>
  <si>
    <t>Rast HDP</t>
  </si>
  <si>
    <t>Bez JLR</t>
  </si>
  <si>
    <t>Bez JLR a VW</t>
  </si>
  <si>
    <t>Export</t>
  </si>
  <si>
    <t>Zamestnanosť</t>
  </si>
  <si>
    <t>JLR</t>
  </si>
  <si>
    <t>VW</t>
  </si>
  <si>
    <t>Zmeny</t>
  </si>
  <si>
    <t>Medzisúčet</t>
  </si>
  <si>
    <t>Prechod osi x</t>
  </si>
  <si>
    <t>Výplň</t>
  </si>
  <si>
    <t>Zmena</t>
  </si>
  <si>
    <t>Kompenzácie zamestnancov</t>
  </si>
  <si>
    <t>Saldo VS - rozpočet</t>
  </si>
  <si>
    <t>Saldo VS - skutočnosť</t>
  </si>
  <si>
    <t>Inflácia v eurozóne</t>
  </si>
  <si>
    <t>Inflačný cieľ ECB</t>
  </si>
  <si>
    <t>Vplyv fiškálnej politiky na HDP</t>
  </si>
  <si>
    <t>Pokryte mesiace</t>
  </si>
  <si>
    <t>Cumulative change of variables compared to the baseline scenario in p.p</t>
  </si>
  <si>
    <t>Household consumption</t>
  </si>
  <si>
    <t>Gross fixed
investment</t>
  </si>
  <si>
    <t>GDP</t>
  </si>
  <si>
    <t>Unemployment rate</t>
  </si>
  <si>
    <r>
      <t xml:space="preserve">Current account
balance </t>
    </r>
    <r>
      <rPr>
        <sz val="9"/>
        <color rgb="FF000000"/>
        <rFont val="Arial Narrow"/>
        <family val="2"/>
        <charset val="238"/>
      </rPr>
      <t>(%GDP)</t>
    </r>
  </si>
  <si>
    <r>
      <t xml:space="preserve">General government
balance </t>
    </r>
    <r>
      <rPr>
        <sz val="9"/>
        <color rgb="FF000000"/>
        <rFont val="Arial Narrow"/>
        <family val="2"/>
        <charset val="238"/>
      </rPr>
      <t>(%GDP)</t>
    </r>
  </si>
  <si>
    <r>
      <t xml:space="preserve">General government
debt </t>
    </r>
    <r>
      <rPr>
        <sz val="9"/>
        <color rgb="FF000000"/>
        <rFont val="Arial Narrow"/>
        <family val="2"/>
        <charset val="238"/>
      </rPr>
      <t>(%GDP)</t>
    </r>
  </si>
  <si>
    <t>Source: MoF SR</t>
  </si>
  <si>
    <t>Real GDP growth (%)</t>
  </si>
  <si>
    <t>Previous update*</t>
  </si>
  <si>
    <t>Outcome and current update</t>
  </si>
  <si>
    <t>Difference</t>
  </si>
  <si>
    <t>General government gross debt (% of GDP)</t>
  </si>
  <si>
    <t>General government balance (% of GDP)</t>
  </si>
  <si>
    <t>Economic growth</t>
  </si>
  <si>
    <t>EU</t>
  </si>
  <si>
    <t>Eurozone</t>
  </si>
  <si>
    <t>Germany</t>
  </si>
  <si>
    <t>Czech Rep.</t>
  </si>
  <si>
    <t>Poland</t>
  </si>
  <si>
    <t>Hungary</t>
  </si>
  <si>
    <t xml:space="preserve">Long-term interest rates (10y) </t>
  </si>
  <si>
    <t xml:space="preserve">          Germany</t>
  </si>
  <si>
    <t>ECB main deposit rate</t>
  </si>
  <si>
    <t>Exchange rate (USD/EUR)</t>
  </si>
  <si>
    <t>Oil price (Brent, USD/bl)</t>
  </si>
  <si>
    <t>Oil price (Brent, EUR/bl)</t>
  </si>
  <si>
    <t>Cena ropy (Brent, EUR/barel)</t>
  </si>
  <si>
    <t>p.m. Economic growth of Slovakia</t>
  </si>
  <si>
    <t>Slovakia</t>
  </si>
  <si>
    <t>Spain</t>
  </si>
  <si>
    <t>Eurozone inflation</t>
  </si>
  <si>
    <t>ECB inflation target</t>
  </si>
  <si>
    <t>Consumption</t>
  </si>
  <si>
    <t>Investment</t>
  </si>
  <si>
    <t>Inventories and disc.</t>
  </si>
  <si>
    <t>Net export</t>
  </si>
  <si>
    <t>Agriculture</t>
  </si>
  <si>
    <t>Industry</t>
  </si>
  <si>
    <t>Market services</t>
  </si>
  <si>
    <t>Public sector</t>
  </si>
  <si>
    <t>Construction</t>
  </si>
  <si>
    <t>Total economy</t>
  </si>
  <si>
    <t>Goods</t>
  </si>
  <si>
    <t>Services</t>
  </si>
  <si>
    <t>CAB</t>
  </si>
  <si>
    <t>Total inflation</t>
  </si>
  <si>
    <t>Net inflation</t>
  </si>
  <si>
    <t>Food prices</t>
  </si>
  <si>
    <t>Regulated prices</t>
  </si>
  <si>
    <t>No.</t>
  </si>
  <si>
    <t>Indicator</t>
  </si>
  <si>
    <t>Actual</t>
  </si>
  <si>
    <t>Forecast</t>
  </si>
  <si>
    <t>unit</t>
  </si>
  <si>
    <t>GDP, current prices</t>
  </si>
  <si>
    <t>GDP, constant prices</t>
  </si>
  <si>
    <t xml:space="preserve">     Final consumption of households and NPISH[1]</t>
  </si>
  <si>
    <t xml:space="preserve">     Final consumption of government</t>
  </si>
  <si>
    <t xml:space="preserve">     Gross fixed capital formation</t>
  </si>
  <si>
    <t xml:space="preserve">     Export of goods and services</t>
  </si>
  <si>
    <t xml:space="preserve">     Import of goods and services</t>
  </si>
  <si>
    <t>Output gap (share of pot. output)</t>
  </si>
  <si>
    <t>Average montly wage (nominal growth)</t>
  </si>
  <si>
    <t>Average employment growth, LFS</t>
  </si>
  <si>
    <t>Average employment growth, ESA</t>
  </si>
  <si>
    <t>Unemployment rate, LFS</t>
  </si>
  <si>
    <t>Unemployment rate, registered</t>
  </si>
  <si>
    <t>HICP</t>
  </si>
  <si>
    <t>Current account balance (share of GDP)</t>
  </si>
  <si>
    <t>bn. eur</t>
  </si>
  <si>
    <t xml:space="preserve"> Zdroj: expertné predpoklady IFP</t>
  </si>
  <si>
    <t>Sales (mil. eur)</t>
  </si>
  <si>
    <t>No. of manufactured cars</t>
  </si>
  <si>
    <t>No. of jobs at suppliers</t>
  </si>
  <si>
    <t>Import intensity of export</t>
  </si>
  <si>
    <t xml:space="preserve"> Source: IFP expert assumptions</t>
  </si>
  <si>
    <t>Investment (mil. eur)</t>
  </si>
  <si>
    <t>GDP growth</t>
  </si>
  <si>
    <t>w/o JLR</t>
  </si>
  <si>
    <t>w/o JLR and VW</t>
  </si>
  <si>
    <t>Employment</t>
  </si>
  <si>
    <t>employment</t>
  </si>
  <si>
    <t>capital stock</t>
  </si>
  <si>
    <t>pot. output</t>
  </si>
  <si>
    <t>Pot. GDP (growth, %)</t>
  </si>
  <si>
    <t>Capital stock</t>
  </si>
  <si>
    <t>Labor</t>
  </si>
  <si>
    <t>output gap</t>
  </si>
  <si>
    <t>(real growth , %)</t>
  </si>
  <si>
    <t>Output gap</t>
  </si>
  <si>
    <t>(% pot. GDP)</t>
  </si>
  <si>
    <t>MFC (median)</t>
  </si>
  <si>
    <t>EC</t>
  </si>
  <si>
    <t>IMF</t>
  </si>
  <si>
    <t>CAB (% GDP)</t>
  </si>
  <si>
    <t>2. Cyclical component</t>
  </si>
  <si>
    <t xml:space="preserve">  - state debt (excl. International liabilities)</t>
  </si>
  <si>
    <t>4. Structural balance (1-2-3)</t>
  </si>
  <si>
    <t>p.m. change of gross debt</t>
  </si>
  <si>
    <t>p.m. net debt</t>
  </si>
  <si>
    <t>Gross debt (excl. EFSF and ESM)</t>
  </si>
  <si>
    <t>EFSF and ESM</t>
  </si>
  <si>
    <t>Consolidation effort (ESA2010, % GDP) </t>
  </si>
  <si>
    <t>Gemeral government balance</t>
  </si>
  <si>
    <t>General government gross debt</t>
  </si>
  <si>
    <t>Structural balance</t>
  </si>
  <si>
    <t>Gross debt (excl. ESM and EFSF)</t>
  </si>
  <si>
    <t>Consolidation effort EC</t>
  </si>
  <si>
    <t>EFSF and  ESM</t>
  </si>
  <si>
    <t>Net debt</t>
  </si>
  <si>
    <t>Total</t>
  </si>
  <si>
    <t>Measures</t>
  </si>
  <si>
    <t>% GDP</t>
  </si>
  <si>
    <t>1. Tax measures</t>
  </si>
  <si>
    <t>Others</t>
  </si>
  <si>
    <t>Total (volume of consolidation/expansion against no-policy-change scenario)</t>
  </si>
  <si>
    <t xml:space="preserve">  Current expenditure</t>
  </si>
  <si>
    <t xml:space="preserve">    Compensation of employees</t>
  </si>
  <si>
    <t xml:space="preserve">   Intermediate Consumption</t>
  </si>
  <si>
    <t xml:space="preserve">    Subsidies</t>
  </si>
  <si>
    <t xml:space="preserve">    Interest</t>
  </si>
  <si>
    <t xml:space="preserve">    Total Social Transfers</t>
  </si>
  <si>
    <t xml:space="preserve">     - Social benefits other than in kind</t>
  </si>
  <si>
    <t xml:space="preserve">     - Social transfers in kind (healthcare facilities)</t>
  </si>
  <si>
    <t xml:space="preserve">    Other current transfers</t>
  </si>
  <si>
    <t>Capital expenditures</t>
  </si>
  <si>
    <t xml:space="preserve">    Capital Investment</t>
  </si>
  <si>
    <t xml:space="preserve">      - Gross fixed capital formation</t>
  </si>
  <si>
    <t xml:space="preserve">    Capital transfers</t>
  </si>
  <si>
    <t>3. Net lending/borrowing</t>
  </si>
  <si>
    <t xml:space="preserve"> - y-o-y change</t>
  </si>
  <si>
    <t>1. GG balance</t>
  </si>
  <si>
    <t xml:space="preserve"> - digital dividend</t>
  </si>
  <si>
    <t xml:space="preserve"> - lower contribution to EU budget</t>
  </si>
  <si>
    <t xml:space="preserve"> - pension payment for armed forces</t>
  </si>
  <si>
    <t xml:space="preserve"> - antimonopoly office' fine for cartel in construction sector</t>
  </si>
  <si>
    <t>1.   Expenditures</t>
  </si>
  <si>
    <t>2.   Interest</t>
  </si>
  <si>
    <t>4.   Capital expenditures covered by national funds</t>
  </si>
  <si>
    <t>5.   Smoothing (national funds, 4-year rolling average)</t>
  </si>
  <si>
    <t>6.   Cyclical expenditures - unemployment benefits</t>
  </si>
  <si>
    <t xml:space="preserve">7.   Expenditures covered by automatically increased revenues </t>
  </si>
  <si>
    <t>8.   Primary expenditure aggregate (1-2-3-4+5-6-7)</t>
  </si>
  <si>
    <t>9. y-o-y change of primary expenditure aggregate (8t-8t-1)</t>
  </si>
  <si>
    <t>11. Nominal growth of expenditure aggregate net of DRM ((8t-9t)/7t-1)</t>
  </si>
  <si>
    <t xml:space="preserve">12. Real growth of expenditure aggreagate net of DRM </t>
  </si>
  <si>
    <t>13. Expenditure benchmark ( low reference bound)</t>
  </si>
  <si>
    <t>14. Deviation from expenditure benchmark (13-12)</t>
  </si>
  <si>
    <t>p. m. GDP deflator</t>
  </si>
  <si>
    <t>p.m. convergence margin</t>
  </si>
  <si>
    <t>Nominal GDP</t>
  </si>
  <si>
    <t xml:space="preserve"> - EFSF</t>
  </si>
  <si>
    <t xml:space="preserve"> - ESM</t>
  </si>
  <si>
    <t xml:space="preserve">  - debt of the other subjects</t>
  </si>
  <si>
    <t>B.  y-o-y gross debt change</t>
  </si>
  <si>
    <t xml:space="preserve"> - discount at maturity</t>
  </si>
  <si>
    <t>of which: NDS</t>
  </si>
  <si>
    <t xml:space="preserve"> - others</t>
  </si>
  <si>
    <t>v % GDP</t>
  </si>
  <si>
    <t>Note.: Positive items increase debt,  negative items decrease debt.</t>
  </si>
  <si>
    <t>A. GG gross debt (as of 1.1.)</t>
  </si>
  <si>
    <t>Y-o-y change of gross debt</t>
  </si>
  <si>
    <t>Main contributors to gross debt change:</t>
  </si>
  <si>
    <t>Primary balance</t>
  </si>
  <si>
    <t>Snowball effect</t>
  </si>
  <si>
    <t>Interest</t>
  </si>
  <si>
    <t>Nominal GDP growth</t>
  </si>
  <si>
    <t>Stock-flow adjustment</t>
  </si>
  <si>
    <t>Source: MF SR</t>
  </si>
  <si>
    <t>General government gross debt (% GDP, as of 31.12.) </t>
  </si>
  <si>
    <t>Gross debt</t>
  </si>
  <si>
    <t>Liquid assets</t>
  </si>
  <si>
    <t>Date</t>
  </si>
  <si>
    <t>Covered months</t>
  </si>
  <si>
    <t>CO1 Comdty</t>
  </si>
  <si>
    <t>Dátum</t>
  </si>
  <si>
    <t xml:space="preserve">Source: MoF SR                                                                                                       </t>
  </si>
  <si>
    <t xml:space="preserve">Sourcej: MoF SR                                                                                                       </t>
  </si>
  <si>
    <t>TABUĽKA 1 - Predpoklady vonkajšieho prostredia pre aktuálnu prognózu</t>
  </si>
  <si>
    <t>TABLE 1 - External assumption for the current forecast</t>
  </si>
  <si>
    <t>TABUĽKA 3 -  Predpoklady investičného zámeru a výroby JLR</t>
  </si>
  <si>
    <t>TABLE 3 -  Assumptions of the investment plan and production of JLR</t>
  </si>
  <si>
    <t>TABLE 4 - Assumptions of investment and new production of VW</t>
  </si>
  <si>
    <t xml:space="preserve">Zdroj: MF SR        </t>
  </si>
  <si>
    <t xml:space="preserve">Source: MoF SR        </t>
  </si>
  <si>
    <t>Sorce: MoF SR</t>
  </si>
  <si>
    <t xml:space="preserve">Source: MoF SR       </t>
  </si>
  <si>
    <t xml:space="preserve">Zdroj:MF SR       </t>
  </si>
  <si>
    <t>Changes</t>
  </si>
  <si>
    <t>Sum</t>
  </si>
  <si>
    <t>Crossing X-axis</t>
  </si>
  <si>
    <t>Fill</t>
  </si>
  <si>
    <t>Change</t>
  </si>
  <si>
    <t xml:space="preserve">Zdroj: MF SR       </t>
  </si>
  <si>
    <t>Structural primary balance</t>
  </si>
  <si>
    <t xml:space="preserve">One-offs  (ESA2010, mil. eur) </t>
  </si>
  <si>
    <t xml:space="preserve">One-offs (ESA2010, % GDP) </t>
  </si>
  <si>
    <t>SPOLU - EC methodology</t>
  </si>
  <si>
    <t>Total - EC methodology</t>
  </si>
  <si>
    <t>GRAF 5 – Výnosy 10-ročnych štátnych dlhopisov (%)</t>
  </si>
  <si>
    <t>TABUĽKA 5 – Príspevky JLR a VW k medziročným rastom</t>
  </si>
  <si>
    <t>MoF SR</t>
  </si>
  <si>
    <t>2. Total expenditures</t>
  </si>
  <si>
    <t>1. General government balance - Fiscal objectives</t>
  </si>
  <si>
    <t>3. One-off effects</t>
  </si>
  <si>
    <t>5. Consolidation effort according to the EC</t>
  </si>
  <si>
    <t xml:space="preserve"> - state budget deficit (cash accounting)</t>
  </si>
  <si>
    <t xml:space="preserve"> - State Treasury funds used to finance state needs</t>
  </si>
  <si>
    <t xml:space="preserve"> - issuance discount</t>
  </si>
  <si>
    <t xml:space="preserve"> - indebtedness of other GG entities</t>
  </si>
  <si>
    <t>of which: municipal public transportation companies</t>
  </si>
  <si>
    <t>of which: municipalities</t>
  </si>
  <si>
    <t>C. Gross debt of general government (as of 31 December) (A+B)</t>
  </si>
  <si>
    <t>FIGURE 3 -  BRENT Oil price (USD/bl), commodity prices</t>
  </si>
  <si>
    <t>FIGURE 5 – 10y government bond yields (%)</t>
  </si>
  <si>
    <t>FIGURE 16 - Structure of consumer inflation - contributions of components (y/y, pp)</t>
  </si>
  <si>
    <t>Gross general government debt (% GDP, as of 31.12.) </t>
  </si>
  <si>
    <t>TABLE 5 – Contributions of JLR and VW to growth</t>
  </si>
  <si>
    <t>oficiálna prognóza</t>
  </si>
  <si>
    <t>alternatívna prognóza</t>
  </si>
  <si>
    <t>alternative forecast</t>
  </si>
  <si>
    <t>Tovar</t>
  </si>
  <si>
    <t>Primárne výnosy</t>
  </si>
  <si>
    <t>Sekundárne výnosy</t>
  </si>
  <si>
    <t>Primary income</t>
  </si>
  <si>
    <t>Secondary income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</si>
  <si>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</si>
  <si>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</si>
  <si>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</si>
  <si>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</si>
  <si>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</si>
  <si>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</si>
  <si>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</si>
  <si>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</si>
  <si>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</si>
  <si>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</si>
  <si>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</si>
  <si>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CAB - Q</t>
  </si>
  <si>
    <t>CAB - A</t>
  </si>
  <si>
    <t>Zmena nepriamych daní</t>
  </si>
  <si>
    <t>Change in indirect taxes</t>
  </si>
  <si>
    <t>2020F</t>
  </si>
  <si>
    <t>2016Q1</t>
  </si>
  <si>
    <t>2016Q2</t>
  </si>
  <si>
    <t>2016Q3</t>
  </si>
  <si>
    <t>2016Q4</t>
  </si>
  <si>
    <t>GRAF 7 – Príspevky k rastu HDP (p. b.)</t>
  </si>
  <si>
    <t>FIGURE 7 – Contributions to GDP growth (pp)</t>
  </si>
  <si>
    <t>Current account balance (calculated, % of nominal GDP)</t>
  </si>
  <si>
    <t>Vývoj v roku 2017</t>
  </si>
  <si>
    <t>Príspevky</t>
  </si>
  <si>
    <t xml:space="preserve">Súkromné jadrové investície </t>
  </si>
  <si>
    <t>Verejné investície</t>
  </si>
  <si>
    <t>D4R7</t>
  </si>
  <si>
    <t>Investments</t>
  </si>
  <si>
    <t>Contributions</t>
  </si>
  <si>
    <t>Private core investments*</t>
  </si>
  <si>
    <t>Public investments</t>
  </si>
  <si>
    <t xml:space="preserve">GRAF 8  Príspevky k rastu investícií (p. b.) </t>
  </si>
  <si>
    <t>* Private investments without JLR, VW and D4R7</t>
  </si>
  <si>
    <t>* Súkromné investície bez JLR, VW a D4R7</t>
  </si>
  <si>
    <t>FIGURE 8  Contributions to investments growth (pp)</t>
  </si>
  <si>
    <t>GRAF 6 – Vývoj inflácie a inflačných očakávaní (%)</t>
  </si>
  <si>
    <t xml:space="preserve">Zdroj: ECB, Eurostat                                                                                             </t>
  </si>
  <si>
    <t xml:space="preserve">Zdroj: ECB, Eurostat                                                                                                 </t>
  </si>
  <si>
    <t xml:space="preserve">Zdroj: MF SR, Bloomberg                                                                                             </t>
  </si>
  <si>
    <t xml:space="preserve">Source: MF SR, Bloomberg                                                                                             </t>
  </si>
  <si>
    <t>GRAF 3 - Vývoj cien ropy a komodít</t>
  </si>
  <si>
    <t>Headline balance - Final</t>
  </si>
  <si>
    <t>Medzispotreba (P.2)</t>
  </si>
  <si>
    <t>Kompenzácie zamestnancov (D.1P)</t>
  </si>
  <si>
    <t>Subsidies (D.3P)</t>
  </si>
  <si>
    <t>Rast reálneho HDP</t>
  </si>
  <si>
    <t>Deflátor  HDP</t>
  </si>
  <si>
    <t>Real GDP growth</t>
  </si>
  <si>
    <t>GDP deflator</t>
  </si>
  <si>
    <t>official</t>
  </si>
  <si>
    <t>median</t>
  </si>
  <si>
    <t>official forecast</t>
  </si>
  <si>
    <t>štrukturálne saldo</t>
  </si>
  <si>
    <t>úrokové naklady</t>
  </si>
  <si>
    <t>strukturalne primarne saldo</t>
  </si>
  <si>
    <t>structural balance</t>
  </si>
  <si>
    <t>interests paid</t>
  </si>
  <si>
    <t>primary structural balance</t>
  </si>
  <si>
    <t>y-o-y primary structural balance</t>
  </si>
  <si>
    <t>zmena produkčnej medzery</t>
  </si>
  <si>
    <t>y-o-y output gap</t>
  </si>
  <si>
    <t>zmena štrukturálneho primárneho salda</t>
  </si>
  <si>
    <t>P.51g</t>
  </si>
  <si>
    <t>NP</t>
  </si>
  <si>
    <t>D.9p</t>
  </si>
  <si>
    <t>D.1</t>
  </si>
  <si>
    <t>D.7p</t>
  </si>
  <si>
    <t>D.3p</t>
  </si>
  <si>
    <t>ESA2010</t>
  </si>
  <si>
    <t>Subsektor</t>
  </si>
  <si>
    <t>1.Daňové príjmy</t>
  </si>
  <si>
    <t>Subsector</t>
  </si>
  <si>
    <t>Fiškálne multiplikátory</t>
  </si>
  <si>
    <t>Fiscal multipliers</t>
  </si>
  <si>
    <t>2. Saldo verejnej správy - Scenár NPC</t>
  </si>
  <si>
    <t>2. General government balance - NPC scenario</t>
  </si>
  <si>
    <t>3. Size of measures (1-3)</t>
  </si>
  <si>
    <t>3. Veľkosť opatrení (1-2)</t>
  </si>
  <si>
    <t>RVS</t>
  </si>
  <si>
    <t>Príjmy spolu</t>
  </si>
  <si>
    <t>Daňové príjmy</t>
  </si>
  <si>
    <t>Nedaňové príjmy (P.11+P.12)</t>
  </si>
  <si>
    <t>Granty a transfery, z toho (D.7R)</t>
  </si>
  <si>
    <t xml:space="preserve">     - Sociálne dávky okrem naturálnych soc. transferov</t>
  </si>
  <si>
    <t>Tax revenue</t>
  </si>
  <si>
    <t>Non-tax revenue (P.11+P.12)</t>
  </si>
  <si>
    <t>Grants and transfers (D.7R)</t>
  </si>
  <si>
    <t>Ostatné bežné transfery (D.7P)</t>
  </si>
  <si>
    <t>Subvencie (D.3P)</t>
  </si>
  <si>
    <t>2017 development</t>
  </si>
  <si>
    <t>Odchýlka (1r)</t>
  </si>
  <si>
    <t>Odchýlka (2r)</t>
  </si>
  <si>
    <t>Required consolidation effort</t>
  </si>
  <si>
    <t>3.   Výdavky kryté EU (kapitálové)</t>
  </si>
  <si>
    <t>3a. Výdavky kryté EÚ zdrojmi (celkové)</t>
  </si>
  <si>
    <t>8.   Primárny výdavkový agregát (1-2-3a-4+5-6-7)</t>
  </si>
  <si>
    <t>3.   Expenditures covered by EU funds (capital)</t>
  </si>
  <si>
    <t>3a. Expenditures covered by EU funds (total)</t>
  </si>
  <si>
    <t>Deviation from expenditure benchmark (% GDP)</t>
  </si>
  <si>
    <t>Two-year deviation from expenditure benchmark</t>
  </si>
  <si>
    <t>PS 2017-2020</t>
  </si>
  <si>
    <t xml:space="preserve">
Skutočnosť</t>
  </si>
  <si>
    <t>Rozpočet</t>
  </si>
  <si>
    <t>D.2+D.5+D.91</t>
  </si>
  <si>
    <t>Dane z produkcie a dovozu</t>
  </si>
  <si>
    <t>D.2</t>
  </si>
  <si>
    <t xml:space="preserve"> - Daň z pridanej hodnoty (spolu so zdrojmi EÚ)</t>
  </si>
  <si>
    <t xml:space="preserve">D.211 </t>
  </si>
  <si>
    <t xml:space="preserve"> - Spotrebné dane</t>
  </si>
  <si>
    <t xml:space="preserve">D.2122C+D.214A </t>
  </si>
  <si>
    <t xml:space="preserve"> - Dovozné clo</t>
  </si>
  <si>
    <t xml:space="preserve">D.2121 </t>
  </si>
  <si>
    <t xml:space="preserve"> - Dane z majetku a iné</t>
  </si>
  <si>
    <t xml:space="preserve">D.29A </t>
  </si>
  <si>
    <t>Bežné dane z dôchodkov, majetku</t>
  </si>
  <si>
    <t>D.5</t>
  </si>
  <si>
    <t xml:space="preserve"> - Daň z príjmov fyzických osôb</t>
  </si>
  <si>
    <t xml:space="preserve">D.51A </t>
  </si>
  <si>
    <t xml:space="preserve"> - zo závislej činnosti</t>
  </si>
  <si>
    <t xml:space="preserve"> - z podnikania a inej samostatnej zár. činnosti</t>
  </si>
  <si>
    <t xml:space="preserve"> - Daň z príjmov právnických osôb</t>
  </si>
  <si>
    <t xml:space="preserve">D.51B </t>
  </si>
  <si>
    <t xml:space="preserve"> - Daň z príjmov vyberaná zrážkou - rozp. klasif.</t>
  </si>
  <si>
    <t>D.51E</t>
  </si>
  <si>
    <t xml:space="preserve"> - Daň z príjmov - emisie</t>
  </si>
  <si>
    <t>D.59A</t>
  </si>
  <si>
    <t>Dane z kapitálu</t>
  </si>
  <si>
    <t>D.91</t>
  </si>
  <si>
    <t>Príspevky na sociálne zabezpečenie</t>
  </si>
  <si>
    <t>D.61</t>
  </si>
  <si>
    <t>Skutočné príspevky na sociálne zabezpečenie</t>
  </si>
  <si>
    <t>D.611</t>
  </si>
  <si>
    <t xml:space="preserve"> - Príspevky zamestnávateľov</t>
  </si>
  <si>
    <t xml:space="preserve">D.6111 </t>
  </si>
  <si>
    <t xml:space="preserve"> - Príspevky zamestnancov</t>
  </si>
  <si>
    <t xml:space="preserve">D.6112 </t>
  </si>
  <si>
    <t xml:space="preserve"> - Príspevky SZČO a nepracujúcich osôb</t>
  </si>
  <si>
    <t xml:space="preserve">D.6113 </t>
  </si>
  <si>
    <t>Imputované príspevky na sociálne zabezpečenie</t>
  </si>
  <si>
    <t>D.612</t>
  </si>
  <si>
    <t>Nedaňové príjmy</t>
  </si>
  <si>
    <t>Tržby</t>
  </si>
  <si>
    <t xml:space="preserve"> - Trhová produkcia + Produkcia pre vlastné konečné použitie</t>
  </si>
  <si>
    <t>P.11+P.12</t>
  </si>
  <si>
    <t xml:space="preserve"> - Platby za ostatnú netrhovú produkciu</t>
  </si>
  <si>
    <t>P.131</t>
  </si>
  <si>
    <t>Dôchodky z majetku, z ktorých</t>
  </si>
  <si>
    <t>D.4</t>
  </si>
  <si>
    <t xml:space="preserve"> - Dividendy</t>
  </si>
  <si>
    <t xml:space="preserve"> - Úroky</t>
  </si>
  <si>
    <t>D.41</t>
  </si>
  <si>
    <t>Granty a transfery</t>
  </si>
  <si>
    <t>D.39+D.7+D.9</t>
  </si>
  <si>
    <t>z toho: z EÚ</t>
  </si>
  <si>
    <t>Ostatné subvencie ma produkciu</t>
  </si>
  <si>
    <t>D.39</t>
  </si>
  <si>
    <t>Ostatné bežné transfery</t>
  </si>
  <si>
    <t>D.7</t>
  </si>
  <si>
    <t>Kapitálové transfery</t>
  </si>
  <si>
    <t>D.9</t>
  </si>
  <si>
    <t>Výdavky spolu</t>
  </si>
  <si>
    <t>TE</t>
  </si>
  <si>
    <t>Bežné výdavky</t>
  </si>
  <si>
    <t xml:space="preserve"> - Mzdy a platy</t>
  </si>
  <si>
    <t xml:space="preserve">D.11 </t>
  </si>
  <si>
    <t xml:space="preserve"> - Sociálne príspevky zamestnávateľov</t>
  </si>
  <si>
    <t xml:space="preserve">D.12 </t>
  </si>
  <si>
    <t>Medzispotreba</t>
  </si>
  <si>
    <t>Dane</t>
  </si>
  <si>
    <t>D.29+D.5</t>
  </si>
  <si>
    <t>Iné dane z produkcie</t>
  </si>
  <si>
    <t>D.29</t>
  </si>
  <si>
    <t>Bežné dane z majetku, atď.</t>
  </si>
  <si>
    <t>Subvencie</t>
  </si>
  <si>
    <t>D.3</t>
  </si>
  <si>
    <t xml:space="preserve"> - Dotácie do poľnohospodárstva</t>
  </si>
  <si>
    <t xml:space="preserve"> - Dotácie do dopravy</t>
  </si>
  <si>
    <t xml:space="preserve"> - železničná doprava</t>
  </si>
  <si>
    <t xml:space="preserve"> - cestná doprava</t>
  </si>
  <si>
    <t xml:space="preserve"> - Ostatné</t>
  </si>
  <si>
    <t>Dôchodky z majetku</t>
  </si>
  <si>
    <t>Úrokové náklady</t>
  </si>
  <si>
    <t>Ostatné dôchodky z majetku</t>
  </si>
  <si>
    <t>Celkové sociálne transfery</t>
  </si>
  <si>
    <t>D.6</t>
  </si>
  <si>
    <t xml:space="preserve"> - Sociálne dávky okrem naturálnych soc. transferov</t>
  </si>
  <si>
    <t>D.62</t>
  </si>
  <si>
    <t xml:space="preserve"> - Aktívne opatrenia trhu práce</t>
  </si>
  <si>
    <t xml:space="preserve"> - Nemocenské dávky</t>
  </si>
  <si>
    <t xml:space="preserve"> - Dôchodkové dávky zo starobného a invalidného poistenia</t>
  </si>
  <si>
    <t xml:space="preserve"> - Dávky v nezamestnanosti</t>
  </si>
  <si>
    <t xml:space="preserve"> - Štátne sociálne dávky a podpora</t>
  </si>
  <si>
    <t xml:space="preserve"> - na prídavok na dieťa</t>
  </si>
  <si>
    <t xml:space="preserve"> - na príspevok pri narodení dieťaťa a prísp. rodičom</t>
  </si>
  <si>
    <t xml:space="preserve"> - na rodičovský príspevok</t>
  </si>
  <si>
    <t xml:space="preserve"> - na dávku v hmotnej núdzi a príspevky k dávke</t>
  </si>
  <si>
    <t xml:space="preserve"> - na peňažné príspevky na kompenzáciu</t>
  </si>
  <si>
    <t xml:space="preserve"> - Platené poistné za skupiny osôb ustanovené zákonom</t>
  </si>
  <si>
    <t xml:space="preserve"> - sociálne poistenie</t>
  </si>
  <si>
    <t xml:space="preserve"> - zdravotné poistenie</t>
  </si>
  <si>
    <t xml:space="preserve"> - Naturálne sociálne transfery (zdravotnícke zariadenia)</t>
  </si>
  <si>
    <t>z toho: Odvody do rozpočtu EÚ</t>
  </si>
  <si>
    <t>z toho: 2% z daní na verejnoprospešný účel</t>
  </si>
  <si>
    <t>Kapitálové výdavky</t>
  </si>
  <si>
    <t>Kapitálové investície</t>
  </si>
  <si>
    <t xml:space="preserve"> - Tvorba hrubého fixného kapitálu</t>
  </si>
  <si>
    <t xml:space="preserve"> - Zmena stavu zásob a nadobudnutie mínus úbytok cenností</t>
  </si>
  <si>
    <t xml:space="preserve"> - Nadobudnutie mínus úbytok nefinančných neprodukovaných aktív</t>
  </si>
  <si>
    <t xml:space="preserve"> - Investičné dotácie a ostatné kapitálové transfery</t>
  </si>
  <si>
    <t>D.92+D.99</t>
  </si>
  <si>
    <t>Čisté pôžičky poskytnuté / prijaté</t>
  </si>
  <si>
    <t>11. Jednorázové opatrenia na príjmovej strane</t>
  </si>
  <si>
    <t>12. Jednorázové opatrenia na výdavkovej strane</t>
  </si>
  <si>
    <t>13. Metodické úpravy</t>
  </si>
  <si>
    <t>Impact of fiscal policy on GDP</t>
  </si>
  <si>
    <t>D.7P</t>
  </si>
  <si>
    <t>SP 2017-2020</t>
  </si>
  <si>
    <t>GRAF 11 - Externé nerovnováhy – zložky salda BÚ PB (% HDP)</t>
  </si>
  <si>
    <t>FIGURE 11 - External imbalances - CAB components (% of GDP)</t>
  </si>
  <si>
    <t>GRAF 12 - Štruktúra spotrebiteľskej inflácie – medziročné príspevky zložiek CPI (p. b.)</t>
  </si>
  <si>
    <t>Primárne štrukturálne saldo</t>
  </si>
  <si>
    <t>Produkčná medzera</t>
  </si>
  <si>
    <t>Limit odchýlky na 1r. horizonte</t>
  </si>
  <si>
    <t>Limit odchýlky na 2r. horizonte</t>
  </si>
  <si>
    <t>1y deviation limit</t>
  </si>
  <si>
    <t>2y deviation limit</t>
  </si>
  <si>
    <t>2. Zmena stavu finančných aktív</t>
  </si>
  <si>
    <t>Zmena hotovosti VS</t>
  </si>
  <si>
    <t>ESM</t>
  </si>
  <si>
    <t>EFSF</t>
  </si>
  <si>
    <t>3. Diskont pri emisii dlhopisov</t>
  </si>
  <si>
    <t>4. Diskont pri splácaní dlhopisov</t>
  </si>
  <si>
    <t xml:space="preserve">5. Ostatné </t>
  </si>
  <si>
    <t xml:space="preserve">                                  Zdroj: MF SR</t>
  </si>
  <si>
    <t>GRAF 36 - Hotovostná rezerva (počet mesiacov výdavkov štátu pokrytých z rezervy)</t>
  </si>
  <si>
    <t>FIGURE 36 - Cash reserve (number of months of state expenditures covered by the reserve)</t>
  </si>
  <si>
    <t>Functions of the Government</t>
  </si>
  <si>
    <t>COFOG Code</t>
  </si>
  <si>
    <t>1. General public services</t>
  </si>
  <si>
    <t>2. Defense</t>
  </si>
  <si>
    <t>3. Public order and safety</t>
  </si>
  <si>
    <t xml:space="preserve">4. Economic affairs </t>
  </si>
  <si>
    <t>5. Environmental protection</t>
  </si>
  <si>
    <t>6. housing and community amenities</t>
  </si>
  <si>
    <t>7. Health</t>
  </si>
  <si>
    <t>8. Recreation, culture  and religion</t>
  </si>
  <si>
    <t>9. Education</t>
  </si>
  <si>
    <t>10. Social protection</t>
  </si>
  <si>
    <t xml:space="preserve">11. Total Expenditure </t>
  </si>
  <si>
    <t>Funkcie</t>
  </si>
  <si>
    <t>COFOG kód</t>
  </si>
  <si>
    <t>SK 2017 (vRVS)</t>
  </si>
  <si>
    <t>SK 2017 (OS)</t>
  </si>
  <si>
    <t>V3 2015</t>
  </si>
  <si>
    <t>% CVVS</t>
  </si>
  <si>
    <t>1. Všeobecné verejné služby</t>
  </si>
  <si>
    <t>2. Obrana</t>
  </si>
  <si>
    <t>3. Verejný poriadok a bezpečnosť</t>
  </si>
  <si>
    <t>4. Ekonomická oblasť</t>
  </si>
  <si>
    <t>5. Ochrana životného prostredia</t>
  </si>
  <si>
    <t>6. Bývanie a občianska vybavenosť</t>
  </si>
  <si>
    <t>7. Zdravotníctvo</t>
  </si>
  <si>
    <t>8. Rekreácia, kultúra a náboženstvo</t>
  </si>
  <si>
    <t>9. Vzdelávanie</t>
  </si>
  <si>
    <t>10. Sociálne zabezpečenie</t>
  </si>
  <si>
    <t>Celkové výdavky</t>
  </si>
  <si>
    <t>Zdroj: MF SR, Eurostat</t>
  </si>
  <si>
    <t>8. Recreation, culture  and religion</t>
  </si>
  <si>
    <t>p. b. HDP 2017</t>
  </si>
  <si>
    <t>p. b. HDP 2018</t>
  </si>
  <si>
    <t xml:space="preserve"> Sociálne zabezpečenie</t>
  </si>
  <si>
    <t xml:space="preserve"> Vzdelávanie</t>
  </si>
  <si>
    <t xml:space="preserve"> Rekreácia, kultúra a náboženstvo</t>
  </si>
  <si>
    <t xml:space="preserve"> Zdravotníctvo</t>
  </si>
  <si>
    <t xml:space="preserve"> Bývanie a občianska vybavenosť</t>
  </si>
  <si>
    <t xml:space="preserve"> Ochrana životného prostredia</t>
  </si>
  <si>
    <t xml:space="preserve"> Ekonomická oblasť</t>
  </si>
  <si>
    <t xml:space="preserve"> Verejný poriadok a bezpečnosť</t>
  </si>
  <si>
    <t>Obrana</t>
  </si>
  <si>
    <t xml:space="preserve"> Všeobecné verejné služby</t>
  </si>
  <si>
    <t>EA 19</t>
  </si>
  <si>
    <t>SK</t>
  </si>
  <si>
    <t>V3</t>
  </si>
  <si>
    <t>P.51G</t>
  </si>
  <si>
    <t>GDP percentage points</t>
  </si>
  <si>
    <t>Function</t>
  </si>
  <si>
    <t>COFOG code</t>
  </si>
  <si>
    <t>% GDP</t>
  </si>
  <si>
    <t>Verejná správa</t>
  </si>
  <si>
    <t>6. Housing and community amenities</t>
  </si>
  <si>
    <t>vplyv makra</t>
  </si>
  <si>
    <t>vplyv levelu (chyba prognózy)</t>
  </si>
  <si>
    <t>vplyv novej legislatívy (len dane IFP)</t>
  </si>
  <si>
    <t>vplyv jednorázových faktorov</t>
  </si>
  <si>
    <t>celkom</t>
  </si>
  <si>
    <t xml:space="preserve">makro </t>
  </si>
  <si>
    <t>EDS</t>
  </si>
  <si>
    <t>nová legislatíva</t>
  </si>
  <si>
    <t>jednorazové faktory</t>
  </si>
  <si>
    <t>DPFO</t>
  </si>
  <si>
    <t>DPPO</t>
  </si>
  <si>
    <t>DPH</t>
  </si>
  <si>
    <t>SD</t>
  </si>
  <si>
    <t>SO</t>
  </si>
  <si>
    <t>ZO</t>
  </si>
  <si>
    <t>Ostatné</t>
  </si>
  <si>
    <t>PIT</t>
  </si>
  <si>
    <t>CIT</t>
  </si>
  <si>
    <t>VAT</t>
  </si>
  <si>
    <t>Excises</t>
  </si>
  <si>
    <t>SC</t>
  </si>
  <si>
    <t>HC</t>
  </si>
  <si>
    <t>Level / ETR</t>
  </si>
  <si>
    <t>Legislation</t>
  </si>
  <si>
    <t>One offs</t>
  </si>
  <si>
    <t>Macroeconomic contributions</t>
  </si>
  <si>
    <t>New legislation contributions</t>
  </si>
  <si>
    <t>Priemer eurozóny (19 krajín)</t>
  </si>
  <si>
    <t>CR</t>
  </si>
  <si>
    <t>PL</t>
  </si>
  <si>
    <t>HU</t>
  </si>
  <si>
    <t>Vývoj príjmov verejnej správy (% HDP)</t>
  </si>
  <si>
    <t>Revenues of general government (% of GDP)</t>
  </si>
  <si>
    <t>Euro area average (19 countries)</t>
  </si>
  <si>
    <t>Daňové a odvodové príjmyy verejnej správy</t>
  </si>
  <si>
    <t>Total tax revenues of general government (% of GDP)</t>
  </si>
  <si>
    <t>Sociálna poisťovňa (EAO+dlžné)</t>
  </si>
  <si>
    <t>Zdravotné poisťovne (EAO+dlžné)</t>
  </si>
  <si>
    <t>Daň z pridanej hodnoty</t>
  </si>
  <si>
    <t>Ostatné dane</t>
  </si>
  <si>
    <t>Daň z príjmu právnických osôb</t>
  </si>
  <si>
    <t>Daň z príjmu fyzických osôb</t>
  </si>
  <si>
    <t>Spotrebné dane</t>
  </si>
  <si>
    <t>Podiel daní na HDP (% HDP)</t>
  </si>
  <si>
    <t>Tax to GDP ratio (% of GDP)</t>
  </si>
  <si>
    <t>Value added tax</t>
  </si>
  <si>
    <t>Other taxes</t>
  </si>
  <si>
    <t>Social contributions (EAP+outstanding)</t>
  </si>
  <si>
    <t>Corporate income tax</t>
  </si>
  <si>
    <t>Personal income tax</t>
  </si>
  <si>
    <t>Excise duties</t>
  </si>
  <si>
    <t>Health contributions (EAP+outstanding)</t>
  </si>
  <si>
    <t>CZ</t>
  </si>
  <si>
    <t>NL</t>
  </si>
  <si>
    <t>FR</t>
  </si>
  <si>
    <t>IT</t>
  </si>
  <si>
    <t>PT</t>
  </si>
  <si>
    <t>AT</t>
  </si>
  <si>
    <t>SE</t>
  </si>
  <si>
    <t>BE</t>
  </si>
  <si>
    <t>LU</t>
  </si>
  <si>
    <t>FI</t>
  </si>
  <si>
    <t>ES</t>
  </si>
  <si>
    <t>SI</t>
  </si>
  <si>
    <t>EE</t>
  </si>
  <si>
    <t>daňová medzera na DPH</t>
  </si>
  <si>
    <t>Daňová medzera na DPH (% potenciálneho výnosu)</t>
  </si>
  <si>
    <t>VAT GAP (% of theoretical liability)</t>
  </si>
  <si>
    <t>VAT GAP</t>
  </si>
  <si>
    <t>Indikátor efektivity výberu DPH  (v %)</t>
  </si>
  <si>
    <t>Efektívna daňová sadzba DPPO (výber dane na čistom prevádzkovom prebytku)</t>
  </si>
  <si>
    <t>CIT effective tax rate (tax revenues divided by net operating surplus)</t>
  </si>
  <si>
    <t>Hranica</t>
  </si>
  <si>
    <t>Opatrenia na zvýšenie úspešnosti výberu daní (ERP a farmafirmy)</t>
  </si>
  <si>
    <t>Zákon 222/2004 Z.z. o DPH, uvoľnenie podmienok pre vyplácanie NO do 30 dní</t>
  </si>
  <si>
    <t>DPH - zníženie sadzby na vybrané potraviny</t>
  </si>
  <si>
    <t>Zdaňovanie cigár a cigariek podľa hmotnosti</t>
  </si>
  <si>
    <t>Zdvojnásobenie sadzby OO v regulovaných odvetviach, úprava podmienok a výpočtu, pokles v 2019</t>
  </si>
  <si>
    <t>Ponechanie sadzby OO finančných inštitúcií na 0.2%</t>
  </si>
  <si>
    <t>Zdaňovanie dividend - 7% zrážková daň</t>
  </si>
  <si>
    <t>DPFO - oslobodenie od DPPO príjmov Rady pre riešenie krízových situácii</t>
  </si>
  <si>
    <t>Paušálne výdavky - 60%, max. 20 tis. Eur</t>
  </si>
  <si>
    <t>Zrušenie MVZ pre zdravotné poistenie</t>
  </si>
  <si>
    <t>Zrušenie daňovej licencie</t>
  </si>
  <si>
    <t>10. DRM</t>
  </si>
  <si>
    <t>11. One-off revenue measures</t>
  </si>
  <si>
    <t>12. One-off expenditure measures</t>
  </si>
  <si>
    <t>13. Methodical corrections</t>
  </si>
  <si>
    <t>Name of Institution</t>
  </si>
  <si>
    <t>Independent Authority for Fiscal Responsibility</t>
  </si>
  <si>
    <t>UK</t>
  </si>
  <si>
    <t>Office of Budget Responsibility</t>
  </si>
  <si>
    <t>BG</t>
  </si>
  <si>
    <t>Fiscal Council</t>
  </si>
  <si>
    <t>EL</t>
  </si>
  <si>
    <t>Hellenic Fiscal Council</t>
  </si>
  <si>
    <t>MT</t>
  </si>
  <si>
    <t>Malta Fiscal Council</t>
  </si>
  <si>
    <t>Public Finance Council</t>
  </si>
  <si>
    <t>RO</t>
  </si>
  <si>
    <t>Austrian Fiscal Advisory Council</t>
  </si>
  <si>
    <t>Parliamentary Budget Office</t>
  </si>
  <si>
    <t>IE</t>
  </si>
  <si>
    <t>Irish Fiscal Advisory Council</t>
  </si>
  <si>
    <t>Netherlands Bureau for Economic Policy Analysis</t>
  </si>
  <si>
    <t>DE</t>
  </si>
  <si>
    <t>Independent Advisory Board to the Stability Council</t>
  </si>
  <si>
    <t>Swedish Fiscal Policy Council</t>
  </si>
  <si>
    <t>Council for Budget Responsibility</t>
  </si>
  <si>
    <t>National Audit Office (Fiscal Policy Evaluation Function)</t>
  </si>
  <si>
    <t>CY</t>
  </si>
  <si>
    <t>HR</t>
  </si>
  <si>
    <t>Commission on Fiscal Policy</t>
  </si>
  <si>
    <t>Estonian Fiscal Council</t>
  </si>
  <si>
    <t>High Council of Public Finances</t>
  </si>
  <si>
    <t>LT</t>
  </si>
  <si>
    <t>National Audit Office (Budget Policy Monitoring Department)</t>
  </si>
  <si>
    <t>National Council of Public Finance</t>
  </si>
  <si>
    <t>DK</t>
  </si>
  <si>
    <t>Danish Economic Council</t>
  </si>
  <si>
    <t>National Accounts Institute/ Federal Planning Bureau</t>
  </si>
  <si>
    <t>LV</t>
  </si>
  <si>
    <t>Fiscal Discipline Council</t>
  </si>
  <si>
    <t>High Council of Finance - Section "Public sector borrowing requirement"</t>
  </si>
  <si>
    <t>Fiscal Council of Hungary</t>
  </si>
  <si>
    <t>Austrian Institute of Economic Research</t>
  </si>
  <si>
    <t>The Council of State – Advisory Division</t>
  </si>
  <si>
    <t>Institute of Macroeconomic Analysis and Development</t>
  </si>
  <si>
    <t>Supreme Audit Office</t>
  </si>
  <si>
    <t>2013 old</t>
  </si>
  <si>
    <t>2014 old</t>
  </si>
  <si>
    <t>2015 old</t>
  </si>
  <si>
    <t>Medium term budgetary framework</t>
  </si>
  <si>
    <t>Fiscal rules index</t>
  </si>
  <si>
    <t>Country</t>
  </si>
  <si>
    <t xml:space="preserve">TABUĽKA 4 - Predpoklady investície a novej výroby VW </t>
  </si>
  <si>
    <r>
      <t>9.  Medziročná zmena primárneho výdavkového agregátu (8</t>
    </r>
    <r>
      <rPr>
        <vertAlign val="subscript"/>
        <sz val="9"/>
        <color rgb="FF000000"/>
        <rFont val="Arial Narrow"/>
        <family val="2"/>
        <charset val="238"/>
      </rPr>
      <t>t</t>
    </r>
    <r>
      <rPr>
        <sz val="9"/>
        <color rgb="FF000000"/>
        <rFont val="Arial Narrow"/>
        <family val="2"/>
        <charset val="238"/>
      </rPr>
      <t>-8</t>
    </r>
    <r>
      <rPr>
        <vertAlign val="subscript"/>
        <sz val="9"/>
        <color rgb="FF000000"/>
        <rFont val="Arial Narrow"/>
        <family val="2"/>
        <charset val="238"/>
      </rPr>
      <t>t-1</t>
    </r>
    <r>
      <rPr>
        <sz val="9"/>
        <color rgb="FF000000"/>
        <rFont val="Arial Narrow"/>
        <family val="2"/>
        <charset val="238"/>
      </rPr>
      <t>)</t>
    </r>
  </si>
  <si>
    <r>
      <t>11. Nominálny rast agregátu výdavkov očisteného o príjmové opatrenia ((8</t>
    </r>
    <r>
      <rPr>
        <vertAlign val="subscript"/>
        <sz val="9"/>
        <color theme="1"/>
        <rFont val="Arial Narrow"/>
        <family val="2"/>
        <charset val="238"/>
      </rPr>
      <t>t</t>
    </r>
    <r>
      <rPr>
        <sz val="9"/>
        <color theme="1"/>
        <rFont val="Arial Narrow"/>
        <family val="2"/>
        <charset val="238"/>
      </rPr>
      <t>-9</t>
    </r>
    <r>
      <rPr>
        <vertAlign val="subscript"/>
        <sz val="9"/>
        <color theme="1"/>
        <rFont val="Arial Narrow"/>
        <family val="2"/>
        <charset val="238"/>
      </rPr>
      <t>t</t>
    </r>
    <r>
      <rPr>
        <sz val="9"/>
        <color theme="1"/>
        <rFont val="Arial Narrow"/>
        <family val="2"/>
        <charset val="238"/>
      </rPr>
      <t>)/7</t>
    </r>
    <r>
      <rPr>
        <vertAlign val="subscript"/>
        <sz val="9"/>
        <color theme="1"/>
        <rFont val="Arial Narrow"/>
        <family val="2"/>
        <charset val="238"/>
      </rPr>
      <t>t-1</t>
    </r>
    <r>
      <rPr>
        <sz val="9"/>
        <color theme="1"/>
        <rFont val="Arial Narrow"/>
        <family val="2"/>
        <charset val="238"/>
      </rPr>
      <t>)</t>
    </r>
  </si>
  <si>
    <t>Úrokové náklady VS (% HDP)</t>
  </si>
  <si>
    <r>
      <t xml:space="preserve">TABUĽKA 33 - Diskrečné opatrenia </t>
    </r>
    <r>
      <rPr>
        <sz val="9"/>
        <color rgb="FF2C9ADC"/>
        <rFont val="Arial Narrow"/>
        <family val="2"/>
        <charset val="238"/>
      </rPr>
      <t>(mil. eur, ESA2010)</t>
    </r>
  </si>
  <si>
    <t>Interest payable (% HDP)</t>
  </si>
  <si>
    <t>Saldo VS (% HDP)</t>
  </si>
  <si>
    <t>Dlh VS (% HDP)</t>
  </si>
  <si>
    <t>Borders</t>
  </si>
  <si>
    <t>Nízke riziko/ Low risk</t>
  </si>
  <si>
    <t>Stredné riziko/ Medium risk</t>
  </si>
  <si>
    <t>Vysoké riziko/ High risk</t>
  </si>
  <si>
    <r>
      <t xml:space="preserve">Hrubý dlh verejnej správy </t>
    </r>
    <r>
      <rPr>
        <sz val="9"/>
        <color rgb="FF2C9ADC"/>
        <rFont val="Arial Narrow"/>
        <family val="2"/>
        <charset val="238"/>
      </rPr>
      <t>(% HDP, stav k 31.12.)</t>
    </r>
    <r>
      <rPr>
        <b/>
        <sz val="9"/>
        <color rgb="FF2C9ADC"/>
        <rFont val="Arial Narrow"/>
        <family val="2"/>
        <charset val="238"/>
      </rPr>
      <t> </t>
    </r>
  </si>
  <si>
    <r>
      <t>Konsolidačné úsilie</t>
    </r>
    <r>
      <rPr>
        <sz val="9"/>
        <color theme="4"/>
        <rFont val="Arial Narrow"/>
        <family val="2"/>
        <charset val="238"/>
      </rPr>
      <t xml:space="preserve"> (ESA2010, % HDP) </t>
    </r>
  </si>
  <si>
    <r>
      <t>Dovozná náročnosť investície</t>
    </r>
    <r>
      <rPr>
        <vertAlign val="superscript"/>
        <sz val="9"/>
        <color rgb="FF000000"/>
        <rFont val="Arial Narrow"/>
        <family val="2"/>
        <charset val="238"/>
      </rPr>
      <t>2</t>
    </r>
  </si>
  <si>
    <r>
      <t>Import intensity of investment</t>
    </r>
    <r>
      <rPr>
        <vertAlign val="superscript"/>
        <sz val="9"/>
        <color rgb="FF000000"/>
        <rFont val="Arial Narrow"/>
        <family val="2"/>
        <charset val="238"/>
      </rPr>
      <t>2</t>
    </r>
  </si>
  <si>
    <t>Jednorazové opatrenia - EK metodika</t>
  </si>
  <si>
    <t>Diskrečné príjmové opatrenia</t>
  </si>
  <si>
    <t>No policy scenario (NPC)</t>
  </si>
  <si>
    <t>Outturn</t>
  </si>
  <si>
    <t>Budget</t>
  </si>
  <si>
    <t>NPC</t>
  </si>
  <si>
    <t>Total revenue</t>
  </si>
  <si>
    <t>P.11 + P.12 + P.131</t>
  </si>
  <si>
    <t>D.421</t>
  </si>
  <si>
    <t>P.11 + P.12 + P.131 + D.4</t>
  </si>
  <si>
    <t>D.42-45</t>
  </si>
  <si>
    <t>D.632</t>
  </si>
  <si>
    <t>P.5M</t>
  </si>
  <si>
    <t>P.51G + P.5M + NP</t>
  </si>
  <si>
    <t>P.51G + P.5M + NP + D.9</t>
  </si>
  <si>
    <t>D.1 + P.2 + D.29 + D.5 + D.3 +D.4 + D.6 + D.7</t>
  </si>
  <si>
    <t>B.9 (TR - TE)</t>
  </si>
  <si>
    <t>in % of GDP</t>
  </si>
  <si>
    <t>Total expenditure</t>
  </si>
  <si>
    <t>Net lending/borrowing</t>
  </si>
  <si>
    <t xml:space="preserve"> - in % of GDP</t>
  </si>
  <si>
    <t>Current Expenditure</t>
  </si>
  <si>
    <t>Compensation of employees</t>
  </si>
  <si>
    <t xml:space="preserve"> - Wages and salaries</t>
  </si>
  <si>
    <t xml:space="preserve"> - Employers' social security contributions</t>
  </si>
  <si>
    <t>Intermediate Consumption</t>
  </si>
  <si>
    <t>Taxes</t>
  </si>
  <si>
    <t>Other taxes on production</t>
  </si>
  <si>
    <t>Current taxes on income, wealth etc.</t>
  </si>
  <si>
    <t>Subsidies</t>
  </si>
  <si>
    <t xml:space="preserve"> - Agricultural Subsidies</t>
  </si>
  <si>
    <t xml:space="preserve"> - Transport Subsidies</t>
  </si>
  <si>
    <t xml:space="preserve"> - Railway Transport</t>
  </si>
  <si>
    <t xml:space="preserve"> - Bus transport</t>
  </si>
  <si>
    <t xml:space="preserve"> - Other</t>
  </si>
  <si>
    <t>Property Income</t>
  </si>
  <si>
    <t xml:space="preserve"> - Interest</t>
  </si>
  <si>
    <t xml:space="preserve"> - Other Property Income</t>
  </si>
  <si>
    <t>Total Social Transfers</t>
  </si>
  <si>
    <t xml:space="preserve"> - Sociálne benefits other than in kind</t>
  </si>
  <si>
    <t xml:space="preserve"> - Active Labor Market Measures</t>
  </si>
  <si>
    <t xml:space="preserve"> - Sickness benefits</t>
  </si>
  <si>
    <t xml:space="preserve"> - Retirement and disability pensions</t>
  </si>
  <si>
    <t xml:space="preserve"> - Unemployment benefits</t>
  </si>
  <si>
    <t xml:space="preserve"> - State social allowances</t>
  </si>
  <si>
    <t xml:space="preserve"> - child allowance</t>
  </si>
  <si>
    <t xml:space="preserve"> - child birth benefit</t>
  </si>
  <si>
    <t xml:space="preserve"> - parental allowance</t>
  </si>
  <si>
    <t xml:space="preserve"> - material need allowance</t>
  </si>
  <si>
    <t xml:space="preserve"> - monetary compensation of disability</t>
  </si>
  <si>
    <t xml:space="preserve"> - social insurance</t>
  </si>
  <si>
    <t xml:space="preserve"> - health insurance</t>
  </si>
  <si>
    <t xml:space="preserve"> - Social transfers in kind (healthcare facilities)</t>
  </si>
  <si>
    <t>Other current transfers</t>
  </si>
  <si>
    <t>of which: 2% of taxes for publicly beneficial purposes</t>
  </si>
  <si>
    <t>Capital Expenditure</t>
  </si>
  <si>
    <t>Capital Investment</t>
  </si>
  <si>
    <t xml:space="preserve"> - Gross fixed capital formation</t>
  </si>
  <si>
    <t xml:space="preserve"> - Increase in inventories</t>
  </si>
  <si>
    <t xml:space="preserve"> - Acquisition minus disposal of non-financial assets</t>
  </si>
  <si>
    <t>Capital transfers</t>
  </si>
  <si>
    <t xml:space="preserve"> - Investment grants and other capital transfers</t>
  </si>
  <si>
    <t>of which: EU contributions (excluding VAT own resource)</t>
  </si>
  <si>
    <t>ESA 2010 code</t>
  </si>
  <si>
    <t>Taxes on Production and Imports</t>
  </si>
  <si>
    <t xml:space="preserve"> - VAT (excl. VAT directed to the EU)</t>
  </si>
  <si>
    <t xml:space="preserve"> - Excise taxes</t>
  </si>
  <si>
    <t xml:space="preserve"> - Import duty</t>
  </si>
  <si>
    <t xml:space="preserve"> - Taxes on Land, Buildings and Other Structures</t>
  </si>
  <si>
    <t>Current Taxes on Income, Wealth etc.</t>
  </si>
  <si>
    <t xml:space="preserve"> - PIT</t>
  </si>
  <si>
    <t xml:space="preserve"> - from employment</t>
  </si>
  <si>
    <t xml:space="preserve"> - from business and other independent activity</t>
  </si>
  <si>
    <t xml:space="preserve"> - CIT</t>
  </si>
  <si>
    <t xml:space="preserve"> - Withholding Tax - budgetary classification</t>
  </si>
  <si>
    <t xml:space="preserve"> - Income Tax - emissions</t>
  </si>
  <si>
    <t xml:space="preserve"> - Property Taxes and Others</t>
  </si>
  <si>
    <t>Capital taxes</t>
  </si>
  <si>
    <t>Social Security Contributions (SSC)</t>
  </si>
  <si>
    <t>Nontax revenue</t>
  </si>
  <si>
    <t>Sales</t>
  </si>
  <si>
    <t xml:space="preserve"> - Market output + Output for own final use</t>
  </si>
  <si>
    <t xml:space="preserve"> - Payments for other non-market output</t>
  </si>
  <si>
    <t>Property Income, of which</t>
  </si>
  <si>
    <t xml:space="preserve"> - Dividends</t>
  </si>
  <si>
    <t>Grants and transfers</t>
  </si>
  <si>
    <t>of which: EU</t>
  </si>
  <si>
    <t>Other Subsidies on Production</t>
  </si>
  <si>
    <t>Other Current Transfers</t>
  </si>
  <si>
    <t>Capital Transfers</t>
  </si>
  <si>
    <t>Actual Social Security Contributions</t>
  </si>
  <si>
    <t xml:space="preserve"> - Employers</t>
  </si>
  <si>
    <t xml:space="preserve"> - Employees</t>
  </si>
  <si>
    <t xml:space="preserve"> - Individuals - enterpreneurs and inactive persons</t>
  </si>
  <si>
    <t>Imputed SSC</t>
  </si>
  <si>
    <t xml:space="preserve"> - Insurance premiums for the specific groups of people based on the law </t>
  </si>
  <si>
    <t>Bilancia príjmov a výdavkov verejnej správy (ESA 2010, v mil. eur) / General Government Budget (ESA2010, EUR million)</t>
  </si>
  <si>
    <t>S13</t>
  </si>
  <si>
    <t>S.13</t>
  </si>
  <si>
    <t>S.1311</t>
  </si>
  <si>
    <t>2. Change of financial assets</t>
  </si>
  <si>
    <t>Change of GG cash</t>
  </si>
  <si>
    <t>3. Bond issuance discount</t>
  </si>
  <si>
    <t>4. Bond discount at maturity</t>
  </si>
  <si>
    <t>5. Other</t>
  </si>
  <si>
    <t xml:space="preserve">                                 Source: MoF SR</t>
  </si>
  <si>
    <t>2017Q1</t>
  </si>
  <si>
    <t>2017Q2</t>
  </si>
  <si>
    <t>2017Q3</t>
  </si>
  <si>
    <t>2017Q4</t>
  </si>
  <si>
    <t>Počet pracovných miest JLR</t>
  </si>
  <si>
    <r>
      <t>Dovozná náročnosť investície</t>
    </r>
    <r>
      <rPr>
        <vertAlign val="superscript"/>
        <sz val="9"/>
        <color rgb="FF000000"/>
        <rFont val="Arial Narrow"/>
        <family val="2"/>
        <charset val="238"/>
      </rPr>
      <t>1</t>
    </r>
  </si>
  <si>
    <r>
      <t>1</t>
    </r>
    <r>
      <rPr>
        <i/>
        <vertAlign val="superscript"/>
        <sz val="9"/>
        <color rgb="FF000000"/>
        <rFont val="Arial Narrow"/>
        <family val="2"/>
        <charset val="238"/>
      </rPr>
      <t xml:space="preserve"> </t>
    </r>
    <r>
      <rPr>
        <i/>
        <sz val="9"/>
        <color rgb="FF000000"/>
        <rFont val="Arial Narrow"/>
        <family val="2"/>
        <charset val="238"/>
      </rPr>
      <t xml:space="preserve">Predpokladá sa 30 % dovozná náročnosť pri výstavbe. Pre dovoz strojov a technológií sa očakáva 80 % dovozná náročnosť, pri zušľachťovaní pozemku 0 % a pre know-how 100 % dovozná náročnosť. </t>
    </r>
  </si>
  <si>
    <t>No. of jobs at JLR</t>
  </si>
  <si>
    <r>
      <t xml:space="preserve">Import intensity of investment </t>
    </r>
    <r>
      <rPr>
        <vertAlign val="superscript"/>
        <sz val="9"/>
        <color rgb="FF000000"/>
        <rFont val="Arial Narrow"/>
        <family val="2"/>
        <charset val="238"/>
      </rPr>
      <t>1</t>
    </r>
  </si>
  <si>
    <t>2021F</t>
  </si>
  <si>
    <t>Daňová medzera na dani z minerálneho oleja  (% potenciálneho výnosu)</t>
  </si>
  <si>
    <t>Exsice duty on mineral oil gap (% of theoretical liability)</t>
  </si>
  <si>
    <t>Malá miera rizika - Dolný interval</t>
  </si>
  <si>
    <t>Najvyššia miera rizika - Horný interval</t>
  </si>
  <si>
    <t>Lower risk - lower band</t>
  </si>
  <si>
    <t>Higher risk - upper band</t>
  </si>
  <si>
    <t>Príspevky k zmene odhadu daňových príjmov 2017 oproti rozpočtu (mil. eur)</t>
  </si>
  <si>
    <t>Change of 2017 GG revenue forecast compared to budget  (EUR million)</t>
  </si>
  <si>
    <t>EDS (S11+S12)</t>
  </si>
  <si>
    <t>EDS (S1)</t>
  </si>
  <si>
    <t>2016*</t>
  </si>
  <si>
    <t>* Údaje čistého prevádzkového prebytku za rok 2016 môžu podliehať revíziám</t>
  </si>
  <si>
    <t>ETR (S11+S12)</t>
  </si>
  <si>
    <t>ETR (S1)</t>
  </si>
  <si>
    <t>S1: whole economy; S11+S12: non-financial and financial corporations</t>
  </si>
  <si>
    <t>S1: celá ekonomika; S11+S12: nefinančné a finančné korporácie</t>
  </si>
  <si>
    <t>* Net operating surplus for 2016 might by reviewed</t>
  </si>
  <si>
    <t>http://www.ecb.europa.eu/mopo/html/index.en.html</t>
  </si>
  <si>
    <t>Bloomberg:  FWISEU55 Index</t>
  </si>
  <si>
    <t>Inflačné očakávania v roku 2018</t>
  </si>
  <si>
    <t>Inflation expectations in 2018</t>
  </si>
  <si>
    <t>Bloomberg: BCOM Index  (R1)</t>
  </si>
  <si>
    <t>Bloomberg: CO1 Comdty  (R1)</t>
  </si>
  <si>
    <t>Bloomberg: SPX Index  (L2)</t>
  </si>
  <si>
    <t>Bloomberg: SX5E Index  (L2)</t>
  </si>
  <si>
    <t>Bloomberg: DAX Index  (R3)</t>
  </si>
  <si>
    <t>Bloomberg: SHCOMP Index  (L2)</t>
  </si>
  <si>
    <t>t+2</t>
  </si>
  <si>
    <t>t-1 ex post</t>
  </si>
  <si>
    <t>in year 2009</t>
  </si>
  <si>
    <t>t+2 2012</t>
  </si>
  <si>
    <t>AWG 2018</t>
  </si>
  <si>
    <t>awg 2015</t>
  </si>
  <si>
    <t>AWG 2012</t>
  </si>
  <si>
    <t>AWG 2009</t>
  </si>
  <si>
    <t>AWG 2006</t>
  </si>
  <si>
    <t>* total factor productivity</t>
  </si>
  <si>
    <t xml:space="preserve">GRAF 9  Príspevok zahraničných pracovníkov ku rastu zamestnanosti (p. b.) </t>
  </si>
  <si>
    <t>Príspevok domácich pracovníkov</t>
  </si>
  <si>
    <t>Príspevok zahraničných pracovníkov</t>
  </si>
  <si>
    <t>Rast zamestnanosti, v %</t>
  </si>
  <si>
    <t xml:space="preserve">Zdroj: ŠÚ SR, UPSVaR, MF SR                                                                                                       </t>
  </si>
  <si>
    <t>Domestic workers</t>
  </si>
  <si>
    <t>Foreign workers</t>
  </si>
  <si>
    <t>Employment growth, in %</t>
  </si>
  <si>
    <t>FIGURE 9  Contributions of foreign workers to employment growth (pp)</t>
  </si>
  <si>
    <t>GRAF 10 – Príspevky k rastu miezd (p. b.)</t>
  </si>
  <si>
    <t>FIGURE 10 – Contributions to wages growth (pp)</t>
  </si>
  <si>
    <t>Mzdy</t>
  </si>
  <si>
    <t>Wages</t>
  </si>
  <si>
    <t>Public administration</t>
  </si>
  <si>
    <t>AT-FISK</t>
  </si>
  <si>
    <t>AT-WIFO</t>
  </si>
  <si>
    <t>BG-FC</t>
  </si>
  <si>
    <t>CY-FC</t>
  </si>
  <si>
    <t>DE-BEIR</t>
  </si>
  <si>
    <t>DK-DORS</t>
  </si>
  <si>
    <t>EE-FC</t>
  </si>
  <si>
    <t>EL-FC</t>
  </si>
  <si>
    <t>ES-AIReF</t>
  </si>
  <si>
    <t>SK-CBR</t>
  </si>
  <si>
    <t>FI-NAO</t>
  </si>
  <si>
    <t>FR-HCFP</t>
  </si>
  <si>
    <t>HR-CFP</t>
  </si>
  <si>
    <t>HU-FC</t>
  </si>
  <si>
    <t>IE-IFAC</t>
  </si>
  <si>
    <t>IT-UPB</t>
  </si>
  <si>
    <t>LT-NAO</t>
  </si>
  <si>
    <t>LU-CNFP</t>
  </si>
  <si>
    <t>LV-FDC</t>
  </si>
  <si>
    <t>MT-FAC</t>
  </si>
  <si>
    <t>NL-CPB</t>
  </si>
  <si>
    <t>NL-RvS</t>
  </si>
  <si>
    <t>PL-SAO</t>
  </si>
  <si>
    <t>PT-CFP</t>
  </si>
  <si>
    <t>RO-FC</t>
  </si>
  <si>
    <t>SE-FPC</t>
  </si>
  <si>
    <t>SI-IMAD</t>
  </si>
  <si>
    <t>UK-OBR</t>
  </si>
  <si>
    <t>BE-HCF</t>
  </si>
  <si>
    <t>BE-FPB</t>
  </si>
  <si>
    <t>Jesenná prognóza EK 2017</t>
  </si>
  <si>
    <t>Národná metodika MF SR (február 2018)</t>
  </si>
  <si>
    <t>Metodika EK s prognózou MF SR (február 2018)</t>
  </si>
  <si>
    <t>Zdroj: MF SR, EK</t>
  </si>
  <si>
    <t>Commission Autumn 2017 Forecast</t>
  </si>
  <si>
    <t>MF SR national methodology (February 2018)</t>
  </si>
  <si>
    <t>Commission methodology with MF SR forecast (February 2018)</t>
  </si>
  <si>
    <t>Bloomberg: F91010Y Index</t>
  </si>
  <si>
    <t>Bloomberg: F48610Y Index</t>
  </si>
  <si>
    <t>Bloomberg: F11910Y Index</t>
  </si>
  <si>
    <t>Bloomberg: I11210Y Index</t>
  </si>
  <si>
    <t>3. Rozpočet VS na roky 2018 až 2020</t>
  </si>
  <si>
    <t>4. Fiškálny rámec rozpočtu VS v Programe stability na roky 2019-2021</t>
  </si>
  <si>
    <t>1. Rozpočet VS na roky 2016 až 2018</t>
  </si>
  <si>
    <t>2. Rozpočet VS na roky 2017 až 2019</t>
  </si>
  <si>
    <t>Zmena oproti rozpočtu VS 2016 až 2018 (4-1)</t>
  </si>
  <si>
    <t>Zmena oproti rozpočtu VS 2017 až 2019 (4-2)</t>
  </si>
  <si>
    <t>Zmena oproti rozpočtu VS 2018 až 2020 (4-3)</t>
  </si>
  <si>
    <t>1. GG budget for 2016 to 2018</t>
  </si>
  <si>
    <t>2. GG budget for 2017 to 2019</t>
  </si>
  <si>
    <t>3. GG budget for 2018 to 2020</t>
  </si>
  <si>
    <t>4. Fiscal framework of the GG budget in the Stability Programme for 2019-2021</t>
  </si>
  <si>
    <t>Change compared to the GG budget 2016 to 2018 (4-1)</t>
  </si>
  <si>
    <t>Change compared to the GG budget 2017 to 2019 (4-2)</t>
  </si>
  <si>
    <t>Change compared to the GG budget 2018 to 2020 (4-3)</t>
  </si>
  <si>
    <t>2.Socíalne zabezpečenie</t>
  </si>
  <si>
    <t>3.Nedaňové príjmy (P.11+P.12)</t>
  </si>
  <si>
    <t>4.Granty a transfery (D.7R)</t>
  </si>
  <si>
    <t>Estimate (actual)</t>
  </si>
  <si>
    <t xml:space="preserve"> - hotovostný deficit ŠR</t>
  </si>
  <si>
    <t xml:space="preserve"> - príspevok SR do EFSF a ESM</t>
  </si>
  <si>
    <t xml:space="preserve"> - saldo úverov subjektov VS</t>
  </si>
  <si>
    <t>z toho: ŽSR + ŽSSK</t>
  </si>
  <si>
    <t>z toho: Samosprávy</t>
  </si>
  <si>
    <t>of which: Railways of the SR (ŽSR) and ŽSSK</t>
  </si>
  <si>
    <t xml:space="preserve"> - SR commitment under EFSF and  Contributions to ESM</t>
  </si>
  <si>
    <t>Hrubý dlh (očistený o EFSF a ESM)</t>
  </si>
  <si>
    <t>Zníženie sadzby bankového odvodu od roku 2015, plánované zrušenie od roku 2017</t>
  </si>
  <si>
    <t/>
  </si>
  <si>
    <t>Odvodová odpočítateľná položka</t>
  </si>
  <si>
    <t>Cash accounting scheme, samozdanenie v stavebníctve - bez vplyvov</t>
  </si>
  <si>
    <t>Zvýšenie počtu cigariet v balení z 19 na 20 od 1.3.2016</t>
  </si>
  <si>
    <t>Zákony 595/2003 a 580/2004 - podpora investovania na kapitálovom trhu</t>
  </si>
  <si>
    <t>DPPO - zníženie sadzby na 21%</t>
  </si>
  <si>
    <t>Zvýšenie odplaty za poskytovanie služieb</t>
  </si>
  <si>
    <t>Zvýšenie spotrebnej dane z tabakových výrobkov od 1.2.2017 a 1.2.2019</t>
  </si>
  <si>
    <t>Ďalšie - úročenie zadržaných NO, efektívnejšia správa daní</t>
  </si>
  <si>
    <t>Zvýšenie MVZ pre sociálne odvody</t>
  </si>
  <si>
    <t xml:space="preserve">Zvýšenie sadzieb dani z nehnuteľností </t>
  </si>
  <si>
    <t>Neživotné poistenie (8% odvod)</t>
  </si>
  <si>
    <t>Poplatok za rozvoj</t>
  </si>
  <si>
    <t>Vyššie prijmy z hazardu (zmena výšky odvodov)</t>
  </si>
  <si>
    <t>Rast odvodu do II. piliera (automaticky od 2017 o 0,25 p.b./rok)</t>
  </si>
  <si>
    <t>Zvýšenie odpočtu výdavkov na vedu a výskum od 1.1.2018</t>
  </si>
  <si>
    <t>Zavedenie samostatného odpisovania technického zhodnotenia od 1.1.2018</t>
  </si>
  <si>
    <t>Zavedenie nezdaniteľnej časti na kúpeľnú starostlivosť od 1.1.2018</t>
  </si>
  <si>
    <t>SD MO - zmena sadzieb na naftu a benzín od 1.1.2018</t>
  </si>
  <si>
    <t>Licencie v hazarde + zmena zdanenia hazardu</t>
  </si>
  <si>
    <t>Spotrebná daň z poistného</t>
  </si>
  <si>
    <t>Oslobodenie od SO z dohôd dôchodcov od 1.7.2018</t>
  </si>
  <si>
    <t>Zavedenie 13. a 14. plat od 1.5.2018</t>
  </si>
  <si>
    <t>Zrušenie OOP pre zamestnávateľa</t>
  </si>
  <si>
    <t>Oslobodenie príjmov z predaja akcií a obchodných podielov</t>
  </si>
  <si>
    <t>Skrátenie doby odpisovania zo 40 na 20 rokov</t>
  </si>
  <si>
    <t>Oslobodenie príjmov z reklám neziskových organizácií</t>
  </si>
  <si>
    <t>NPC scenario</t>
  </si>
  <si>
    <t>E</t>
  </si>
  <si>
    <t>Medium-term targets</t>
  </si>
  <si>
    <t>MTT-NPC</t>
  </si>
  <si>
    <t>1.Príjmy spolu</t>
  </si>
  <si>
    <t>1.Revenue total</t>
  </si>
  <si>
    <t>Social contributions</t>
  </si>
  <si>
    <t>PS 2018-2021</t>
  </si>
  <si>
    <t>SP 2018-2021</t>
  </si>
  <si>
    <t>1. Difference between accrual and cash data</t>
  </si>
  <si>
    <t>1. Rozdiel medzi akruálnymi a hotovostnými údajmi</t>
  </si>
  <si>
    <t>Change of othe assets (receivables and payables)</t>
  </si>
  <si>
    <t>Zmena iných aktív (pohľadávky a záväzky)</t>
  </si>
  <si>
    <t>Zosúladenie dlhu a deficitu (1+2+3+4+5)</t>
  </si>
  <si>
    <t>Stock-flow adjustment (1+2+3+4+5)</t>
  </si>
  <si>
    <t>Potenciálný rast HDP</t>
  </si>
  <si>
    <t>Potential GDP growth</t>
  </si>
  <si>
    <t>Potenciál rastu HDP</t>
  </si>
  <si>
    <t>Reálny rast daňovo-odvodových príjmov (y-o-y)</t>
  </si>
  <si>
    <t>DRM</t>
  </si>
  <si>
    <t>Deflátor daňovo-odvodových príjmov</t>
  </si>
  <si>
    <t>Pozn.: * Program stability SR na roky 2017 až 2020</t>
  </si>
  <si>
    <t>Note: * Stability Programme of SR for 2017 - 2020</t>
  </si>
  <si>
    <t>z toho podľa opatrení:</t>
  </si>
  <si>
    <t xml:space="preserve"> - Spotrebná daň z poistného</t>
  </si>
  <si>
    <t xml:space="preserve"> - Zavedenie 13 a 14 platu</t>
  </si>
  <si>
    <t xml:space="preserve"> - Valorizácia miezd učiteľov</t>
  </si>
  <si>
    <t xml:space="preserve"> - Vyššie výdavky ZZ z titulu vyšších príjmov zo zdravotného poistenia</t>
  </si>
  <si>
    <t xml:space="preserve"> - Vyššie výdavky na modernizáciu obrany</t>
  </si>
  <si>
    <t xml:space="preserve"> - Naturálne sociálne transfery</t>
  </si>
  <si>
    <t>D.39+D.7R+D.9R</t>
  </si>
  <si>
    <t>D.5+D61</t>
  </si>
  <si>
    <t xml:space="preserve"> - Zvýšenie poplatku za správu (EOSA)</t>
  </si>
  <si>
    <t>D.2 + D.5 + D.91</t>
  </si>
  <si>
    <t xml:space="preserve"> - Zmeny v zdanení hazardných hier</t>
  </si>
  <si>
    <t>Spolu príjmy (1+2+3+4)</t>
  </si>
  <si>
    <t>5.Kompenzácie</t>
  </si>
  <si>
    <t>6.Medzispotreba, z toho</t>
  </si>
  <si>
    <t>7.Subvencie</t>
  </si>
  <si>
    <t>8.Sociálne transfery, z toho</t>
  </si>
  <si>
    <t>9.Ostatné bežné transfery</t>
  </si>
  <si>
    <t>10.Kapitálové výdavky, z toho</t>
  </si>
  <si>
    <t>Výdavky spolu (5+6+7+8+9+10)</t>
  </si>
  <si>
    <t>D.6P</t>
  </si>
  <si>
    <t>P.5+D.9P</t>
  </si>
  <si>
    <t>2. Social contributions</t>
  </si>
  <si>
    <t>Total revenues(1+2+3+4)</t>
  </si>
  <si>
    <t>3. Non-tax revenues  (P.11+P.12)</t>
  </si>
  <si>
    <t>4. Grants and transfers</t>
  </si>
  <si>
    <t>Total expenditures (5+6+7+8+9+10)</t>
  </si>
  <si>
    <t>5. Compensation</t>
  </si>
  <si>
    <t>6. Intermediate consumption, of which</t>
  </si>
  <si>
    <t>7. Subsidies</t>
  </si>
  <si>
    <t>8. Social security, of which</t>
  </si>
  <si>
    <t>9.Other current transfers</t>
  </si>
  <si>
    <t>10.Capital investments, of which</t>
  </si>
  <si>
    <t>FR RVS-NPC</t>
  </si>
  <si>
    <t>FR RVS</t>
  </si>
  <si>
    <t>Social contributions (D.61)</t>
  </si>
  <si>
    <t>Nontax revenues (P.11+P.12+P.131+D.4)</t>
  </si>
  <si>
    <t>Other current transfers (D.7P)</t>
  </si>
  <si>
    <t>Capital expenditures (P.5L+ D.9P)</t>
  </si>
  <si>
    <t>Grants and transfers (D.39+D.7R+D.9R)</t>
  </si>
  <si>
    <t>Compensations (D.1P)</t>
  </si>
  <si>
    <t>Tax revenue (D.2+D.5+D.91)</t>
  </si>
  <si>
    <t>Intermediate consumption (P.2)</t>
  </si>
  <si>
    <t>Social benefits expenditure (D.62P)</t>
  </si>
  <si>
    <t>Interests (D.41P)</t>
  </si>
  <si>
    <t>Expenditure on healthcare (D.632P)</t>
  </si>
  <si>
    <t>Taxes (D.2+D.5)</t>
  </si>
  <si>
    <t>Headline balance - Budget</t>
  </si>
  <si>
    <t>Príspevky na sociálne zabezpečenie (D.61)</t>
  </si>
  <si>
    <t>Nedaňové príjmy (P.11+P.12+P.131+D.4)</t>
  </si>
  <si>
    <t>Kapitálové výdavky (P.5L+ D.9P)</t>
  </si>
  <si>
    <t>Granty a transfery (D.39+D.7R+D.9R)</t>
  </si>
  <si>
    <t>Daňové príjmy (D.2+D.5+D.91)</t>
  </si>
  <si>
    <t>Výdavky na sociálne dávky (D.62P)</t>
  </si>
  <si>
    <t>Úrokové náklady (D.41P)</t>
  </si>
  <si>
    <t>Dane (D.2+D.5)</t>
  </si>
  <si>
    <t>Výdavky verejného zdravotného poistenia (D.632P)</t>
  </si>
  <si>
    <t>Vyvoj v roku 2017</t>
  </si>
  <si>
    <t>TABUĽKA 10 - Zmena fiškálnych cieľov (t.j. nominálne deficity) verejnej správy (% HDP) </t>
  </si>
  <si>
    <t>TABLE 10 - Change of fiscal targets (headline deficits) of public sector (% GDP) </t>
  </si>
  <si>
    <t>TABUĽKA 15 - Zoznam opatrení vo fiškálnom rámci na roky 2018 až 2020 (ESA 2010, voči NPC, vplyv na saldo)</t>
  </si>
  <si>
    <t>TABLE 15 - List of measures in the fiscal framework for 2018 to 2020 (ESA 2010, compared to NPC, impact on the balance)</t>
  </si>
  <si>
    <t>1) Zrušenie odvodovo odpočítateľnej položky (OOP) u zamestnávateľov</t>
  </si>
  <si>
    <t>3) OOP pre dôchodcov a predčasných dôchodcov</t>
  </si>
  <si>
    <t>4) Skrátenie doby odpisovania zo 40 na 20 rokov</t>
  </si>
  <si>
    <t>5) Oslobodenie príjmov z reklám neziskových organizácií</t>
  </si>
  <si>
    <t>6) Zvýšenie odpočtu výdavkov na vedu a výskum</t>
  </si>
  <si>
    <t>7) Zavedenie samostatného odpisovania technického zhodnotenia</t>
  </si>
  <si>
    <t>8) Zavedenie nezdaniteľnej časti na kúpeľnú starostlivosť</t>
  </si>
  <si>
    <t>TABUĽKA 16 - Legislatívne zmeny nepovažované za opatrenia pre účely NPC (% HDP)</t>
  </si>
  <si>
    <t>TABLE 16 - Legislation changes not included in Non Policy Scenario (% of GDP)</t>
  </si>
  <si>
    <t>TABUĽKA 17 - Zoznam jednorazových opatrení v roku 2018 pre potreby NPC (ESA 2010, mil. eur a v % HDP)</t>
  </si>
  <si>
    <t>2018 (v % HDP)</t>
  </si>
  <si>
    <t>Jednorazový vplyv na mzdách</t>
  </si>
  <si>
    <t>Medzispotreba, z toho:</t>
  </si>
  <si>
    <t xml:space="preserve">    Rezerva na zhoršenie daňových a nedaňových príjmov</t>
  </si>
  <si>
    <t xml:space="preserve">    Zníženie výdavkov ŽSR a ŽSSK</t>
  </si>
  <si>
    <t>Subvencie pre Ministerstvo školstva (Veda a výskum, APVV)</t>
  </si>
  <si>
    <t>Kapitálové transfery, z toho:</t>
  </si>
  <si>
    <t xml:space="preserve">    Výstavba Národného futbalového štadióna</t>
  </si>
  <si>
    <t>Kapitálové investície, z toho:</t>
  </si>
  <si>
    <t xml:space="preserve">    Príprava strategického parku</t>
  </si>
  <si>
    <t xml:space="preserve">    Projekty Ministerstva dopravy</t>
  </si>
  <si>
    <t xml:space="preserve">    Rekonštrukcia Slovenskej národnej galérie</t>
  </si>
  <si>
    <t>TABLE 17 - The list of one-off measures in 2017 for the needs of NPC (ESA 2010, EUR mil.)</t>
  </si>
  <si>
    <r>
      <t xml:space="preserve">TABUĽKA 18 - Scenár nezmenených politík a bilancia verejnej správy </t>
    </r>
    <r>
      <rPr>
        <sz val="9"/>
        <color rgb="FF2C9ADC"/>
        <rFont val="Arial Narrow"/>
        <family val="2"/>
        <charset val="238"/>
      </rPr>
      <t>(ESA2010, % HDP)</t>
    </r>
  </si>
  <si>
    <t>TABLE 18 - No-policy-change scenario and general government balance (ESA2010, % of GDP)</t>
  </si>
  <si>
    <t>GRAF 30 - Vplyv fiškálnej politiky na HDP (% HDP)</t>
  </si>
  <si>
    <t>GRAF 31 - Implikované fiškálne multiplikátory</t>
  </si>
  <si>
    <t>FIGURE 30 - Impacts of fiscal policy on GDP (% GDP)</t>
  </si>
  <si>
    <t>FIGURE 31 - Implied fiscal multipliers</t>
  </si>
  <si>
    <t>TABUĽKA 12 - Primárne štrukturálne saldo v metodike EK (% HDP)</t>
  </si>
  <si>
    <t>TABLE 12 - Structural primary balance - EC methodology (% of GDP)</t>
  </si>
  <si>
    <t>GRAF 26 - Zmena primárneho štrukturálneho salda oproti úrovni produkčnej medzery (% HDP)</t>
  </si>
  <si>
    <t>GRAF 27 - Zmena primárneho štrukturálneho salda oproti zmene produkčnej medzery (% HDP)</t>
  </si>
  <si>
    <t xml:space="preserve">FIGURE 34 - Contributions of factors to the debt change (% of GDP) </t>
  </si>
  <si>
    <r>
      <t xml:space="preserve">GRAF 34 Príspevky faktorov k zmene dlhu </t>
    </r>
    <r>
      <rPr>
        <sz val="9"/>
        <color theme="4"/>
        <rFont val="Arial Narrow"/>
        <family val="2"/>
        <charset val="238"/>
      </rPr>
      <t>(% HDP)</t>
    </r>
  </si>
  <si>
    <t>Likvidné finančné aktíva</t>
  </si>
  <si>
    <t xml:space="preserve">GRAF 35 - Čistý dlh (% HDP) </t>
  </si>
  <si>
    <t xml:space="preserve">FIGURE 35 - Net debt (% GDP) </t>
  </si>
  <si>
    <t>GRAF 33 - Stochastická prognóza hrubého dlhu VS (% HDP)</t>
  </si>
  <si>
    <t>TABUĽKA 21 - Scenár 1: Spomalenie rastu zahraničného dopytu o 1 p.b. v rokoch 2018-2021</t>
  </si>
  <si>
    <t xml:space="preserve">TABLE 21 - Scenario 1: Slowdown of foreign demand growth  by 1 p.p. in years 2018-2021
</t>
  </si>
  <si>
    <t>TABUĽKA 22 - Scenár 2: Nárast krátkodobých a dlhodobých úrokových sadzieb o 1 p.b. na celej prognóze</t>
  </si>
  <si>
    <t>TABLE 22 - Scenario 2: Increase in short-term and long-term interest rates by 1 p.p. in the entire forecast</t>
  </si>
  <si>
    <t>TABUĽKA 24 - Porovnanie predchádzajúcej a aktualizovanej prognózy</t>
  </si>
  <si>
    <t>TABLE 24 – Comparison of the previous and updated forecasts</t>
  </si>
  <si>
    <t>GRAF 39 – Strednodobá udržateľnosť S1 (EK, % HDP) / FIGURE 39 - Medium-term sustainability S1 (EC, % of GDP)</t>
  </si>
  <si>
    <t>GRAF 40 - Dlhodobá udržateľnosť S2 (EK, % HDP) / FIGURE 39 - Long-term sustainability S2 (EC, % of GDP)</t>
  </si>
  <si>
    <t>GRAF 60/FIGURE 60 - Národné fiškálne pravidlá (index) / National fiscal rules (index)</t>
  </si>
  <si>
    <t>GRAF 61/ FIGURE 61 - Strednodobé rozpočtové rámce (index) / Medium-term bugetary framework (index)</t>
  </si>
  <si>
    <t>GRAF 62/FIGURE 62 - Nezávislé fiškálne inštitúcie (index) / Scope of independent fiscal institutions (index)</t>
  </si>
  <si>
    <t>GRAF 45 - Porovnanie vývoja príjmov VS (% HDP)</t>
  </si>
  <si>
    <t>Figure 45 - Revenues of general government (% of GDP)</t>
  </si>
  <si>
    <t>GRAF 46 - Porovnanie vývoja daní a odvodov VS (% HDP)</t>
  </si>
  <si>
    <t>GRAF 46 - Total tax revenues of general government (% of GDP)</t>
  </si>
  <si>
    <t>GRAF 47 - Podiel daní na HDP (% HDP)</t>
  </si>
  <si>
    <t>Figure 47 - Tax to GDP ratio (% of GDP)</t>
  </si>
  <si>
    <t>GRAF 48 - Daňová medzera na DPH (% potenciálneho výnosu)</t>
  </si>
  <si>
    <t>Figure 48 - VAT GAP (% of theoretical liability)</t>
  </si>
  <si>
    <t>GRAF 49 - Indikátor efektivity výberu DPH  (v %)</t>
  </si>
  <si>
    <t>Figure 49 - Indicator of VAT collection efficiency  (%)</t>
  </si>
  <si>
    <t>GRAF 50 - Efektívna daňová sadzba DPPO (výber dane na čistom prevádzkovom prebytku)</t>
  </si>
  <si>
    <t>Figure 50 - CIT effective tax rate (tax revenues divided by net operating surplus)</t>
  </si>
  <si>
    <t>GRAF 51 - Daňová medzera na dani z minerálneho oleja  (% potenciálneho výnosu)</t>
  </si>
  <si>
    <t>Figure 51 - Exsice duty on mineral oil gap (% of theoretical liability)</t>
  </si>
  <si>
    <t>EA19 2016</t>
  </si>
  <si>
    <t>V3 2016</t>
  </si>
  <si>
    <t>FR RVS SK 2021</t>
  </si>
  <si>
    <t>SK 2016</t>
  </si>
  <si>
    <t>Tab 26: Výdavky verejnej správy podľa klasifikácie COFOG</t>
  </si>
  <si>
    <t>Table 26: General government expenditure under COFOG</t>
  </si>
  <si>
    <t>Difference E 2018 - B 2018</t>
  </si>
  <si>
    <t>Difference E 2019 - E 2018</t>
  </si>
  <si>
    <t>Zmena OS - RVS 2018</t>
  </si>
  <si>
    <t>GRAF 54: Porovnanie výdavkov verejnej správy podľa klasifikácie COFOG (zmeny v p. b. HDP)</t>
  </si>
  <si>
    <t>Figure 54: Total general government expenditure under COFOG (differences in GDP percentage points)</t>
  </si>
  <si>
    <t xml:space="preserve">Nontax revenues </t>
  </si>
  <si>
    <t>Capital investments</t>
  </si>
  <si>
    <t>Compensations</t>
  </si>
  <si>
    <t>Intermediate consumption</t>
  </si>
  <si>
    <t>Social benefits expenditure</t>
  </si>
  <si>
    <t>TABUĽKA 25 - Penzijné opatrenia prijaté po reforme z roku 2012 a ich vplyv na hospodárenie VS (mil. eur)</t>
  </si>
  <si>
    <t xml:space="preserve">Opatrenia tlmiace rast výdavkov </t>
  </si>
  <si>
    <t>Indexácia penzií dôchodcovskou infláciou</t>
  </si>
  <si>
    <t>Naviazanie dôchodkového veku na očakávanú dĺžku života</t>
  </si>
  <si>
    <t>Opatrenia zvyšujúce výdavky na penzie</t>
  </si>
  <si>
    <t>Zvyšovanie vianočných dôchodkov</t>
  </si>
  <si>
    <t>Minimálne dôchodky</t>
  </si>
  <si>
    <t>Vyrovnanie vdovských dôchodkov</t>
  </si>
  <si>
    <t>Vyrovnanie vdoveckých dôchodkov</t>
  </si>
  <si>
    <t>Vyššia valorizácia v roku 2017</t>
  </si>
  <si>
    <t>Min. valorizácia na roky 2018-2021</t>
  </si>
  <si>
    <t>Prepočítanie starobných dôchodkov priznaných pred rokom 2004</t>
  </si>
  <si>
    <t xml:space="preserve"> Opatrenia na príjmovej strane</t>
  </si>
  <si>
    <t>Zvýšenie maximálneho vymeriavacieho základu na 5-násobok priemernej mzdy</t>
  </si>
  <si>
    <t>Zvýšenie maximálneho vymeriavacieho základu na 7-násobok priemernej mzdy</t>
  </si>
  <si>
    <t>Celková bilancia opatrení</t>
  </si>
  <si>
    <t>Kumulatívne</t>
  </si>
  <si>
    <t>Zdroj: MF SR na základe podkladov MPSVaR a vlastných prepočtov</t>
  </si>
  <si>
    <t>Zdroj: Ageing report 2015 a 2018</t>
  </si>
  <si>
    <t>AR 2018</t>
  </si>
  <si>
    <t>AR 2015</t>
  </si>
  <si>
    <t>Zdroj: EK, Ageing report 2015 a 2018</t>
  </si>
  <si>
    <t>Pozn.: (+) zhoršenie udržateľnosti; (-) zlepšenie udržateľnosti</t>
  </si>
  <si>
    <t>2016-2060</t>
  </si>
  <si>
    <t>Zdravotníctvo</t>
  </si>
  <si>
    <t>2018-2060</t>
  </si>
  <si>
    <t>Pozn.: Objem revidovaných výdavkov – revízie 2016 a revízie 2017 skutočnosť daného roku, nerevidované návrh rozpočtu 2018.</t>
  </si>
  <si>
    <t>Výdavky ústredných orgánov posúdených revíziou výdavkov</t>
  </si>
  <si>
    <t>priemer EÚ</t>
  </si>
  <si>
    <t>podiel</t>
  </si>
  <si>
    <t>krajina</t>
  </si>
  <si>
    <t>Zdroj: MF SR podľa Eurostat a ŠUSR</t>
  </si>
  <si>
    <t xml:space="preserve">Pozn.: Dáta nedostupné za Bulharsko, Chorvátsko, Maltu, Cyprus, </t>
  </si>
  <si>
    <t>Maďarsko a Rumunsko.</t>
  </si>
  <si>
    <t>jednotka</t>
  </si>
  <si>
    <t>počet zamestnancov VS na 1 000 obyvateľov</t>
  </si>
  <si>
    <t>učitelia primárne školstvo</t>
  </si>
  <si>
    <t>učitelia sekundárne školstvo</t>
  </si>
  <si>
    <t>učitelia VŠ</t>
  </si>
  <si>
    <t>lekári</t>
  </si>
  <si>
    <t>zdravotné sestry</t>
  </si>
  <si>
    <t>policajti</t>
  </si>
  <si>
    <t>ozbrojené sily</t>
  </si>
  <si>
    <t>hasiči</t>
  </si>
  <si>
    <t>sudcovia</t>
  </si>
  <si>
    <t>rozdiel</t>
  </si>
  <si>
    <t>Zdroj: Eurostat, World bank, OECD</t>
  </si>
  <si>
    <t>Pozn.: Porovnania sú za rok 2015 okrem policajtov, u ktorých 
je porovnanie za rok 2016; U učiteľov je porovnanie cez počet 
žiakov na učiteľa, u ostatných skupín je porovnanie cez počet 
na 1000 obyvateľov; U zdravotníkov a učiteľov je benchmarkom 
priemer OECD, u ostatných priemer krajín EÚ</t>
  </si>
  <si>
    <t>sektorová zameranosť</t>
  </si>
  <si>
    <t>percentuálny rozdiel sektorovej zameranosti od benchmarku</t>
  </si>
  <si>
    <t>Učitelia RŠ+VVŠ</t>
  </si>
  <si>
    <t>Policajti</t>
  </si>
  <si>
    <t>Vojaci</t>
  </si>
  <si>
    <t>Hasiči</t>
  </si>
  <si>
    <t>Sudcovia</t>
  </si>
  <si>
    <t>Colníci</t>
  </si>
  <si>
    <t>Prokurátori</t>
  </si>
  <si>
    <t>Poslanci</t>
  </si>
  <si>
    <t>Rozsah revízie výdavkov na odmeňovanie</t>
  </si>
  <si>
    <t>spolu</t>
  </si>
  <si>
    <t>učitelia RŠ</t>
  </si>
  <si>
    <t>učitelia VVŠ</t>
  </si>
  <si>
    <t>HZZ</t>
  </si>
  <si>
    <t>vojaci</t>
  </si>
  <si>
    <t>health care</t>
  </si>
  <si>
    <t>colníci</t>
  </si>
  <si>
    <t>prokuratúra</t>
  </si>
  <si>
    <t>poslanci</t>
  </si>
  <si>
    <t>Ústredná vláda - nie verejná služba</t>
  </si>
  <si>
    <t>Ústredná vláda - verejná služba</t>
  </si>
  <si>
    <t>Územná a miestna samospráva - verejná služba</t>
  </si>
  <si>
    <t>nič</t>
  </si>
  <si>
    <t>počet zamestnancov</t>
  </si>
  <si>
    <t>počet zamestnancov v tisícoch</t>
  </si>
  <si>
    <t>TABUĽKA 27 - Štátne spoločnosti podľa počtu zamestnancov (2016)</t>
  </si>
  <si>
    <t>Spoločnosť</t>
  </si>
  <si>
    <t>Počet zamestnancov</t>
  </si>
  <si>
    <t>Osobné náklady (mil. eur)</t>
  </si>
  <si>
    <t>Prevádzkové náklady (mil. eur)</t>
  </si>
  <si>
    <t>Železnice Slovenskej republiky</t>
  </si>
  <si>
    <t>Slovenská pošta, a.s.</t>
  </si>
  <si>
    <t>Železničná spoločnosť Cargo Slovakia, a.s.</t>
  </si>
  <si>
    <t>Železničná spoločnosť Slovensko, a.s.</t>
  </si>
  <si>
    <t>Sociálna poisťovňa (2015)</t>
  </si>
  <si>
    <t>Lesy Slovenskej republiky, štátny podnik</t>
  </si>
  <si>
    <t>Slovenský vodohospodársky podnik, š.p.</t>
  </si>
  <si>
    <t>Všeobecná zdravotná poisťovňa, a.s. (2015)</t>
  </si>
  <si>
    <t>Národná diaľničná spoločnosť, a.s.</t>
  </si>
  <si>
    <t>Rozhlas a televízia Slovenska</t>
  </si>
  <si>
    <t>Zdroj: ÚHP</t>
  </si>
  <si>
    <t>Modifikovaná trasa druhej etapy by znamenala zdržanie výstavby o cca. 5 rokov.</t>
  </si>
  <si>
    <t>Hrubá čiara: plný profil, úzka čiara: polovičný profil.</t>
  </si>
  <si>
    <t>Kurzívou pôvodný odhad nákladov z decembra 2016.</t>
  </si>
  <si>
    <r>
      <t xml:space="preserve">GRAF 1 - Plánované konsolidačné úsilie </t>
    </r>
    <r>
      <rPr>
        <sz val="9"/>
        <color theme="4"/>
        <rFont val="Arial Narrow"/>
        <family val="2"/>
        <charset val="238"/>
      </rPr>
      <t>(% HDP)</t>
    </r>
  </si>
  <si>
    <t>FIGURE 1- Consolidation effort (% GDP)</t>
  </si>
  <si>
    <r>
      <t xml:space="preserve"> GRAF 2 - Hrubý dlh verejnej správy </t>
    </r>
    <r>
      <rPr>
        <sz val="9"/>
        <color theme="4"/>
        <rFont val="Arial Narrow"/>
        <family val="2"/>
        <charset val="238"/>
      </rPr>
      <t>(% HDP)</t>
    </r>
  </si>
  <si>
    <t>FIGURE 22 - Gross general government debt (% GDP)</t>
  </si>
  <si>
    <t xml:space="preserve"> -</t>
  </si>
  <si>
    <t>Zdroj: MF SR február 2018 , EK zimná prognóza február 2018</t>
  </si>
  <si>
    <t>Source: MoF SR February 2018, EC Winter Forecast February 2018</t>
  </si>
  <si>
    <t>GRAF 4 – Pokles na akciových trhoch (baza=1.2016)</t>
  </si>
  <si>
    <t>FIGURE 4 – Stock market slump (basis=1.2016)</t>
  </si>
  <si>
    <t>TABUĽKA 2 - Prognóza vybraných indikátorov vývoja ekonomiky SR pre východiská rozpočtu pre rok 2018 – 2021</t>
  </si>
  <si>
    <t>TABLE 2 - Forecast of selected indicators of the Slovak economy for 2018 to 2021</t>
  </si>
  <si>
    <t>GRAF 13 - Príspevky k rastu HDP (p. b.)</t>
  </si>
  <si>
    <t xml:space="preserve">GRAF 14 – Príspevky k rastu zamestnanosti (p. b.) </t>
  </si>
  <si>
    <t>FIGURE 13 - Contributions to GDP growth (pp)</t>
  </si>
  <si>
    <t>FIGURE 14 – Contributions to employment growth (pp)</t>
  </si>
  <si>
    <t>GRAF 15 - Externé nerovnováhy – zložky salda BÚ PB (% HDP)</t>
  </si>
  <si>
    <t>FIGURE 15 - External imbalances - CAB components (% of GDP)</t>
  </si>
  <si>
    <t>GRAF 16 - Štruktúra spotrebiteľskej inflácie – medziročné príspevky zložiek k CPI (v p. b.)</t>
  </si>
  <si>
    <t>FIGURE 16 - Structure of consumer inflation - contributions of components (pp)</t>
  </si>
  <si>
    <r>
      <t xml:space="preserve">1 </t>
    </r>
    <r>
      <rPr>
        <i/>
        <sz val="9"/>
        <color rgb="FF000000"/>
        <rFont val="Arial Narrow"/>
        <family val="2"/>
        <charset val="238"/>
      </rPr>
      <t>It is assumed that 30% of the construction work will be required. For imports of machinery and technology, 80% of the import demand is expected, 0% improvement of the plot and 100% import demand for know-how.</t>
    </r>
  </si>
  <si>
    <t xml:space="preserve">GRAF 17 – Vplyv novej výroby a investícií VW a JLR na rast slovenskej ekonomiky  </t>
  </si>
  <si>
    <t>FIGURE 17 – Impact of new production and investment of VW and JLR on Slovak economy</t>
  </si>
  <si>
    <t>GRAF 18 - Príspevky výrobných faktorov k rastu potenciálneho produktu (p. b.) – prístup MF SR</t>
  </si>
  <si>
    <t>FIGURE 18 - Contribution of production factors to potential growth (pp) – MFSR approach</t>
  </si>
  <si>
    <t>TABUĽKA 6 - Príspevky výrobných faktorov k rastu potenciálneho produktu – prístup MF SR</t>
  </si>
  <si>
    <t>TABLE 6 - Contribution of production factors to potential growth (pp) – MFSR approach</t>
  </si>
  <si>
    <t xml:space="preserve">GRAF 19 - Vývoj produkčnej medzery (% potenciálneho HDP) – prístup MF SR                </t>
  </si>
  <si>
    <t>FIGURE 19 - Output gap (% of pot. output) - MFSR approach</t>
  </si>
  <si>
    <t>TABUĽKA 7 - Vývoj produkčnej medzery - prístup MF SR</t>
  </si>
  <si>
    <t>TABLE 7 - Output gap  - MFSR approach</t>
  </si>
  <si>
    <t>TABUĽKA 8 - Produkčná medzera (% HDP)</t>
  </si>
  <si>
    <t>TABLE 8 - Output gap (% of GDP)</t>
  </si>
  <si>
    <t>TABUĽKA 9 - Porovnanie prognóz MF SR a ostatných inštitúcií</t>
  </si>
  <si>
    <t>TABLE 9 - Comparisons of forecasts of MFSR and other institutions</t>
  </si>
  <si>
    <t>Zdroj: MF SR (február 2018), Výbor pre makroekonomické prognózy (február 2018), NBS (január 2018), EK (február 2018), OECD (november 2017) a MMF (apríl 2018)</t>
  </si>
  <si>
    <t>Source: MF SR (February 2018), Macroeconomic Forecasting Committee (february 2018), NBS (January 2018), EC (February 2018), OECD (November 2017) and IMF (April 2018)</t>
  </si>
  <si>
    <r>
      <t xml:space="preserve">GRAF 20 - Plánované konsolidačné úsilie </t>
    </r>
    <r>
      <rPr>
        <sz val="9"/>
        <color theme="4"/>
        <rFont val="Arial Narrow"/>
        <family val="2"/>
        <charset val="238"/>
      </rPr>
      <t>(% HDP)</t>
    </r>
  </si>
  <si>
    <t>FIGURE 20 - Consolidation effort (% GDP)</t>
  </si>
  <si>
    <r>
      <t xml:space="preserve"> GRAF 21 - Hrubý dlh verejnej správy </t>
    </r>
    <r>
      <rPr>
        <sz val="9"/>
        <color theme="4"/>
        <rFont val="Arial Narrow"/>
        <family val="2"/>
        <charset val="238"/>
      </rPr>
      <t>(% HDP)</t>
    </r>
  </si>
  <si>
    <t>FIGURE 21 - Gross general government debt (% GDP)</t>
  </si>
  <si>
    <t>GRAF 23 - Príspevky k zmene odhadu daňových príjmov 2017 oproti rozpočtu (mil. eur)</t>
  </si>
  <si>
    <t>Figure 23 - Change of 2017 GG revenue forecast compared to budget  (EUR million)</t>
  </si>
  <si>
    <t>GRAF 24 - Príspevky k zmene odhadu daňových príjmov 2017 oproti rozpočtu (mil. eur)</t>
  </si>
  <si>
    <t>Figure 24 - Change of 2017 GG revenue forecast compared to budget  (EUR million)</t>
  </si>
  <si>
    <t>GRAF 22 -Opis vývoja salda VS na základe hlavných príjmových a výdavkových položiek v roku 2017  (ESA 2010), príspevky v mil. eur</t>
  </si>
  <si>
    <t>FIGURE 22 - Analytical description of GG balance development in 2017 (ESA 2010), contributions in EUR mil.</t>
  </si>
  <si>
    <t>GRAF 25 - Plnenie schváleného rozpočtu - rozdiely na hlavných položkách (ESA 2010), príspevky v mil. eur</t>
  </si>
  <si>
    <t>FIGURE 25 - Analytical description of GG balance development in 2018 (ESA 2010), contributions in EUR mil.</t>
  </si>
  <si>
    <t>Saldo VS - očakávaná skutočnosť</t>
  </si>
  <si>
    <t>Headline balance - Estimate</t>
  </si>
  <si>
    <r>
      <t>TABUĽKA 11 - Konsolidačné úsilie</t>
    </r>
    <r>
      <rPr>
        <sz val="9"/>
        <color theme="4"/>
        <rFont val="Arial Narrow"/>
        <family val="2"/>
        <charset val="238"/>
      </rPr>
      <t xml:space="preserve"> (ESA2010, % HDP) </t>
    </r>
  </si>
  <si>
    <t>TABLE 11 - Consolidation effort (ESA2010, % GDP) </t>
  </si>
  <si>
    <t>Deflátor HDP</t>
  </si>
  <si>
    <t>GRAF 28 - Vývoj výdavkového agregátu oproti výdavkovému pravidlu (% medziročný nárast)</t>
  </si>
  <si>
    <t>GRAF 29 - Vývoj daňovo-odvodových príjmov34 oproti potenciálnemu rastu HDP (% medziročný nárast)</t>
  </si>
  <si>
    <t>TABUĽKA 13 -  Výpočet plnenia výdavkového pravidla (ESA 2010)</t>
  </si>
  <si>
    <r>
      <t xml:space="preserve">TABLE 13 - Expenditure benchmark </t>
    </r>
    <r>
      <rPr>
        <sz val="9"/>
        <color rgb="FF2C9ADC"/>
        <rFont val="Arial Narrow"/>
        <family val="2"/>
        <charset val="238"/>
      </rPr>
      <t>(ESA 2010)</t>
    </r>
  </si>
  <si>
    <t>TABUĽKA 14 - Celková potreba opatrení na dosiahnutie fiškálnych cieľov voči NPC (ESA2010, % HDP)</t>
  </si>
  <si>
    <t>TABLE 14 - Overall consolidation need to achieve the fiscal targets compared to NPC (ESA2010, % of GDP)</t>
  </si>
  <si>
    <t>2) Zvýšenie MVZ na 7 násobok priemernej mzdy pre sociálne poistenie</t>
  </si>
  <si>
    <t>1) Abolition of tax HIC allowance for employers</t>
  </si>
  <si>
    <t>2) Increase in the MAB for social insurance contributions</t>
  </si>
  <si>
    <t>3) SIC allowance for emloyee retirement agreements</t>
  </si>
  <si>
    <t>4) Reduction of the buildings depreciation period from 40 to 20 years</t>
  </si>
  <si>
    <t>5) Exemption of ad receipts taxation for non profit organizations</t>
  </si>
  <si>
    <t>6) Increased deduction of the cost of research and development</t>
  </si>
  <si>
    <t>7) Introduction of separate depreciation of technical upgrade</t>
  </si>
  <si>
    <t>8) Introduction of  tax allowance on spa care from 1 Jan 2018</t>
  </si>
  <si>
    <t>GRAF 32 - Hrubý dlh verejnej správy (% HDP)</t>
  </si>
  <si>
    <t>Hrubý dlh VS</t>
  </si>
  <si>
    <t>EFSF a ESM</t>
  </si>
  <si>
    <t>Štátny dlh</t>
  </si>
  <si>
    <t>Ostatné subjekty VS</t>
  </si>
  <si>
    <t>TABUĽKA 19 - Zosúladenie dlhu a deficitu (% HDP)</t>
  </si>
  <si>
    <t>TABLE 19 - Stock-flow adjustment (% of GDP)</t>
  </si>
  <si>
    <t>TABUĽKA 20 - Vplyv na zmenu hrubého dlhu verejnej správy (mil. eur)</t>
  </si>
  <si>
    <t>FIGURE  20 - Contributions to gross debt (mil. eur)</t>
  </si>
  <si>
    <t>GRAF 37 – Saldo VS v základnom a rizikových scenároch</t>
  </si>
  <si>
    <t>GRAF 38 – Hrubý dlh VS v základnom a rizikových scenároch</t>
  </si>
  <si>
    <t>TABUĽKA 23 - Scenár 3: Rýchlejší rast miezd o 1 p.b. v roku 2018</t>
  </si>
  <si>
    <t>TABLE 23 - Scenario 3: Faster growth of wages by 1 p.p. in 2018</t>
  </si>
  <si>
    <t>GRAF 41 – Rast výdavkov citlivých na starnutie v období 2016-2060, % HDP
FIGURE 41 - Growth of the ageing related expenditure in 2016 - 2060, % of GDP</t>
  </si>
  <si>
    <t>GRAF 42 – Vplyv aktualizácie výdavkov citlivých na starnutie na indikátor dlhodobej udržateľnosti (S2), (% HDP)  
FIGURE 42 - Update of ageing projections and impact on longterm sustainability (S2), (% of GDP)</t>
  </si>
  <si>
    <t>Source: EC, AWG 2015 an 2018</t>
  </si>
  <si>
    <t>Note: (+) positive impact; (-) negative impact</t>
  </si>
  <si>
    <t>Výdavky 2015 / Expenditure 2015</t>
  </si>
  <si>
    <t>Príjmy 2015 / Revenue 2015</t>
  </si>
  <si>
    <t>Výdavky 2018 / Expenditure 2018</t>
  </si>
  <si>
    <t>Príjmy 2018 / Revenue 2018</t>
  </si>
  <si>
    <t>Source: AWG 2015 and 2018</t>
  </si>
  <si>
    <t>Graf 44: Reálny rast HDP (%), podľa publikácie Ageing report (AR) z roku 2015 a 2018 / FIGURE 44 - Real growth of GDP as in Ageing report from 2015 and 2018</t>
  </si>
  <si>
    <t>Graf 43: Porovnanie príjmov a výdavkov penzijného systému (% HDP), podľa publikácie Ageing report (AR) z roku 2015 a 2018 / FIGURE 43 - Revenues and expenditures of pension system  (% of GDP) as in Ageing report from 2015 and 2018</t>
  </si>
  <si>
    <t>Jednotka / Unit</t>
  </si>
  <si>
    <t>Položka / Item</t>
  </si>
  <si>
    <t>Ministries</t>
  </si>
  <si>
    <t>One-off impact on wages</t>
  </si>
  <si>
    <t>Intermediate consumption, of which:</t>
  </si>
  <si>
    <t>     Reserve for worsening tax and non-tax revenues</t>
  </si>
  <si>
    <t>     Reduced expenditures of ŽSR and ŽSSK</t>
  </si>
  <si>
    <t>Subsidy for the Ministry of Education (Science and Research, APVV)</t>
  </si>
  <si>
    <t>Capital transfers, of which:</t>
  </si>
  <si>
    <t>     Construction of the National Football Stadium</t>
  </si>
  <si>
    <t>Capital investments, of which:</t>
  </si>
  <si>
    <t>     Strategic park preparation</t>
  </si>
  <si>
    <t>     Projects of the Ministry of Transport</t>
  </si>
  <si>
    <t>     Reconstruction of the Slovak National Gallery</t>
  </si>
  <si>
    <t>Pension indexation by pension inflation</t>
  </si>
  <si>
    <t>Linking retirement age to life expectancy</t>
  </si>
  <si>
    <t>Minimum pensions</t>
  </si>
  <si>
    <t>Settlement of widows' pensions</t>
  </si>
  <si>
    <t>Settlement of widowers' pensions</t>
  </si>
  <si>
    <t>Higher valorisation in 2017</t>
  </si>
  <si>
    <t>Min. valorisation for the years 2018-2021</t>
  </si>
  <si>
    <t>Recalculation of old - age pensions awarded prior to 2004</t>
  </si>
  <si>
    <t>Christmas benefits</t>
  </si>
  <si>
    <t>Increase the maximum cost basis to 7 times the average wage</t>
  </si>
  <si>
    <t>Cumulative</t>
  </si>
  <si>
    <t>Measures to reduce expenditure growth</t>
  </si>
  <si>
    <t>Measures increasing the cost of pensions</t>
  </si>
  <si>
    <t>Measures on the revenue side</t>
  </si>
  <si>
    <t>Overall balance of measures</t>
  </si>
  <si>
    <t>Source: Ministry of Finance of the Slovak Republic on the basis of the Ministry of Labor and Social Affairs and its own calculations</t>
  </si>
  <si>
    <t>TABLE 25 - Pension related measures taken after the 2012 reform and  impact on the GG (million euro)</t>
  </si>
  <si>
    <t>GEO/TIME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</si>
  <si>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</si>
  <si>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</si>
  <si>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</si>
  <si>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</si>
  <si>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</si>
  <si>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</si>
  <si>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</si>
  <si>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</si>
  <si>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</si>
  <si>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</si>
  <si>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</si>
  <si>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</si>
  <si>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Czech Republic</t>
  </si>
  <si>
    <t>EÚ 28</t>
  </si>
  <si>
    <t>GRAF 53 - Vývoj kapitálových výdavkov VS (% HDP) / FIGURE 53 - Capital expenditures of GG (% of GDP)</t>
  </si>
  <si>
    <t>GRAF 52 - Vývoj výdavkov VS (% HDP) / FIGURE 52 - Total expenditures of GG( % of GDP)</t>
  </si>
  <si>
    <t>Railways of Slovak Republic</t>
  </si>
  <si>
    <t>Slovak Post, a.s.</t>
  </si>
  <si>
    <t>Railway Company Cargo Slovakia, a.s.</t>
  </si>
  <si>
    <t>Social Insurance Agency (2015)</t>
  </si>
  <si>
    <t>Forests of the Slovak Republic, state enterprise</t>
  </si>
  <si>
    <t>General Health Insurance Company, a.s. (2015)</t>
  </si>
  <si>
    <t>National Motor Company, a.s.</t>
  </si>
  <si>
    <t>Radio and Television of Slovakia</t>
  </si>
  <si>
    <t>Source: ÚHP</t>
  </si>
  <si>
    <t>Company</t>
  </si>
  <si>
    <t>No of employees</t>
  </si>
  <si>
    <t>Personal costs (millions of euros)</t>
  </si>
  <si>
    <t>Operating costs (EUR million)</t>
  </si>
  <si>
    <t>TABLE 27 - State-owned companies by number of employees (2016)</t>
  </si>
  <si>
    <t>Note: Volume of revised expenditure - revision 2016 and revision 2017 actual year, unprovided draft 2018 budget.</t>
  </si>
  <si>
    <t>GRAF 55 - Výdavky ústredných orgánov posúdených revíziou výdavkov (v % HDP) / Figure 55 - Expenditure of central authorities assessed by the revision of expenditure (% of GDP)</t>
  </si>
  <si>
    <t>GRAF 56 – Zamestnanci sektora VS82 na 1000 obyvateľov (2016) / Figure 56 - Employees of the VS82 sector per 1000 inhabitants (2016)</t>
  </si>
  <si>
    <t>Note: Data not available for Bulgaria, Croatia, Malta, Cyprus,</t>
  </si>
  <si>
    <t>Source: MoF SR according to Eurostat and SUSR</t>
  </si>
  <si>
    <t>hungary and Romania</t>
  </si>
  <si>
    <t xml:space="preserve">Note: The comparisons are for 2015 except for the police officers for whom_x000D_ is a comparison for 2016; For teachers, the number is compared_x000D_ pupils per teacher, for other groups is a comparison over the number_x000D_ per 1000 inhabitants; For health professionals and teachers, it is a benchmark_x000D_ OECD average, other EU average </t>
  </si>
  <si>
    <t>Source: Eurostat, World Bank, OECD</t>
  </si>
  <si>
    <t>primary school teachers</t>
  </si>
  <si>
    <t>secondary school teachers</t>
  </si>
  <si>
    <t>university teachers</t>
  </si>
  <si>
    <t>doctors</t>
  </si>
  <si>
    <t>nurses</t>
  </si>
  <si>
    <t>police officers</t>
  </si>
  <si>
    <t>armed forces</t>
  </si>
  <si>
    <t>fire brigade</t>
  </si>
  <si>
    <t>judiciary</t>
  </si>
  <si>
    <t>sector</t>
  </si>
  <si>
    <t>change</t>
  </si>
  <si>
    <t xml:space="preserve"> percentage point difference from the benchmark</t>
  </si>
  <si>
    <t>country</t>
  </si>
  <si>
    <t>share</t>
  </si>
  <si>
    <t>average EU</t>
  </si>
  <si>
    <t>GRAF 57 – Rozdiel slovenskej sektorovej zamestnanosti oproti benchmarku (v %, 2015-2016) / Figure 57 - Slovak Sectoral Employment Difference vs. Benchmark (%, 2015-2016)</t>
  </si>
  <si>
    <t>health service</t>
  </si>
  <si>
    <t>Police officers</t>
  </si>
  <si>
    <t>military</t>
  </si>
  <si>
    <t>Customs officers</t>
  </si>
  <si>
    <t>prosecutors</t>
  </si>
  <si>
    <t>Ministers</t>
  </si>
  <si>
    <t>Scope of the review of reimbursement charges</t>
  </si>
  <si>
    <t>Central government - not a public service</t>
  </si>
  <si>
    <t>Central Government - Public Service</t>
  </si>
  <si>
    <t>Territorial and Local Government - Public Service</t>
  </si>
  <si>
    <t>Teachers (regions + Universities</t>
  </si>
  <si>
    <t>Unit</t>
  </si>
  <si>
    <t>the number of employees in thousands</t>
  </si>
  <si>
    <t>Number of employees</t>
  </si>
  <si>
    <t>GRAF 58 – Zamestnanci VS podľa sektorov (2016, v tisícoch) / Figure 58 - GG employees by sector (2016, in thousands)</t>
  </si>
  <si>
    <t>GRAF 59 - Zníženie odhadu investičných nákladov severného obchvatu Prešova od decembra 2016 (mil. eur) / Figure 59 - Decrease in the estimate of investment costs of the Prešova northern by-pass from December 2016 (million)</t>
  </si>
  <si>
    <t xml:space="preserve">Zdroj: NDS, spracovanie ÚHP, 2017 </t>
  </si>
  <si>
    <t>Source: NDS, UHP processing, 2017</t>
  </si>
  <si>
    <r>
      <rPr>
        <b/>
        <sz val="12"/>
        <color theme="1"/>
        <rFont val="Arial Narrow"/>
        <family val="2"/>
        <charset val="238"/>
      </rPr>
      <t xml:space="preserve">TABUĽKA 17 </t>
    </r>
    <r>
      <rPr>
        <sz val="12"/>
        <color theme="1"/>
        <rFont val="Arial Narrow"/>
        <family val="2"/>
        <charset val="238"/>
      </rPr>
      <t>- Zoznam jednorazových opatrení v roku 2018 pre potreby NPC</t>
    </r>
  </si>
  <si>
    <r>
      <rPr>
        <b/>
        <sz val="12"/>
        <color theme="1"/>
        <rFont val="Arial Narrow"/>
        <family val="2"/>
        <charset val="238"/>
      </rPr>
      <t>GRAF 1 -</t>
    </r>
    <r>
      <rPr>
        <sz val="12"/>
        <color theme="1"/>
        <rFont val="Arial Narrow"/>
        <family val="2"/>
        <charset val="238"/>
      </rPr>
      <t xml:space="preserve"> Plánované konsolidačné úsilie verejnej správy</t>
    </r>
  </si>
  <si>
    <r>
      <rPr>
        <b/>
        <sz val="12"/>
        <color theme="1"/>
        <rFont val="Arial Narrow"/>
        <family val="2"/>
        <charset val="238"/>
      </rPr>
      <t xml:space="preserve">TABUĽKA 1 </t>
    </r>
    <r>
      <rPr>
        <sz val="12"/>
        <color theme="1"/>
        <rFont val="Arial Narrow"/>
        <family val="2"/>
        <charset val="238"/>
      </rPr>
      <t>- Predpoklady externého prostredia pre aktuálnu prognózu</t>
    </r>
  </si>
  <si>
    <r>
      <rPr>
        <b/>
        <sz val="12"/>
        <color theme="1"/>
        <rFont val="Arial Narrow"/>
        <family val="2"/>
        <charset val="238"/>
      </rPr>
      <t>GRAF 3</t>
    </r>
    <r>
      <rPr>
        <sz val="12"/>
        <color theme="1"/>
        <rFont val="Arial Narrow"/>
        <family val="2"/>
        <charset val="238"/>
      </rPr>
      <t xml:space="preserve"> - Vývoj cien ropy a komodít /  </t>
    </r>
    <r>
      <rPr>
        <b/>
        <sz val="12"/>
        <color theme="1"/>
        <rFont val="Arial Narrow"/>
        <family val="2"/>
        <charset val="238"/>
      </rPr>
      <t>GRAF 4</t>
    </r>
    <r>
      <rPr>
        <sz val="12"/>
        <color theme="1"/>
        <rFont val="Arial Narrow"/>
        <family val="2"/>
        <charset val="238"/>
      </rPr>
      <t xml:space="preserve"> - Rast na akciových trhoch</t>
    </r>
  </si>
  <si>
    <r>
      <rPr>
        <b/>
        <sz val="12"/>
        <color theme="1"/>
        <rFont val="Arial Narrow"/>
        <family val="2"/>
        <charset val="238"/>
      </rPr>
      <t>GRAF 5</t>
    </r>
    <r>
      <rPr>
        <sz val="12"/>
        <color theme="1"/>
        <rFont val="Arial Narrow"/>
        <family val="2"/>
        <charset val="238"/>
      </rPr>
      <t xml:space="preserve"> - Výnosy 10-ročných štátnych dlhopisov  / </t>
    </r>
    <r>
      <rPr>
        <b/>
        <sz val="12"/>
        <color theme="1"/>
        <rFont val="Arial Narrow"/>
        <family val="2"/>
        <charset val="238"/>
      </rPr>
      <t>GRAF 6</t>
    </r>
    <r>
      <rPr>
        <sz val="12"/>
        <color theme="1"/>
        <rFont val="Arial Narrow"/>
        <family val="2"/>
        <charset val="238"/>
      </rPr>
      <t xml:space="preserve"> - Vývoj inflácie a inflačných očakávaní </t>
    </r>
  </si>
  <si>
    <r>
      <rPr>
        <b/>
        <sz val="12"/>
        <color theme="1"/>
        <rFont val="Arial Narrow"/>
        <family val="2"/>
        <charset val="238"/>
      </rPr>
      <t>GRAF 7</t>
    </r>
    <r>
      <rPr>
        <sz val="12"/>
        <color theme="1"/>
        <rFont val="Arial Narrow"/>
        <family val="2"/>
        <charset val="238"/>
      </rPr>
      <t xml:space="preserve"> - Príspevky k rastu HDP / </t>
    </r>
    <r>
      <rPr>
        <b/>
        <sz val="12"/>
        <color theme="1"/>
        <rFont val="Arial Narrow"/>
        <family val="2"/>
        <charset val="238"/>
      </rPr>
      <t xml:space="preserve">GRAF 8 </t>
    </r>
    <r>
      <rPr>
        <sz val="12"/>
        <color theme="1"/>
        <rFont val="Arial Narrow"/>
        <family val="2"/>
        <charset val="238"/>
      </rPr>
      <t xml:space="preserve">- Príspevky k rastu investícií </t>
    </r>
  </si>
  <si>
    <r>
      <rPr>
        <b/>
        <sz val="12"/>
        <color theme="1"/>
        <rFont val="Arial Narrow"/>
        <family val="2"/>
        <charset val="238"/>
      </rPr>
      <t xml:space="preserve">GRAF 9 </t>
    </r>
    <r>
      <rPr>
        <sz val="12"/>
        <color theme="1"/>
        <rFont val="Arial Narrow"/>
        <family val="2"/>
        <charset val="238"/>
      </rPr>
      <t xml:space="preserve">– Príspevok zahraničných pracovníkov k rastu zamestnanosti ESA / </t>
    </r>
    <r>
      <rPr>
        <b/>
        <sz val="12"/>
        <color theme="1"/>
        <rFont val="Arial Narrow"/>
        <family val="2"/>
        <charset val="238"/>
      </rPr>
      <t>GRAF 10</t>
    </r>
    <r>
      <rPr>
        <sz val="12"/>
        <color theme="1"/>
        <rFont val="Arial Narrow"/>
        <family val="2"/>
        <charset val="238"/>
      </rPr>
      <t xml:space="preserve"> – Príspevky k rastu miezd</t>
    </r>
  </si>
  <si>
    <r>
      <rPr>
        <b/>
        <sz val="12"/>
        <color theme="1"/>
        <rFont val="Arial Narrow"/>
        <family val="2"/>
        <charset val="238"/>
      </rPr>
      <t>GRAF 11</t>
    </r>
    <r>
      <rPr>
        <sz val="12"/>
        <color theme="1"/>
        <rFont val="Arial Narrow"/>
        <family val="2"/>
        <charset val="238"/>
      </rPr>
      <t xml:space="preserve"> - Externé nerovnováhy - zložky salda bežného účtu platobnej bilancie / </t>
    </r>
    <r>
      <rPr>
        <b/>
        <sz val="12"/>
        <color theme="1"/>
        <rFont val="Arial Narrow"/>
        <family val="2"/>
        <charset val="238"/>
      </rPr>
      <t>GRAF 12</t>
    </r>
    <r>
      <rPr>
        <sz val="12"/>
        <color theme="1"/>
        <rFont val="Arial Narrow"/>
        <family val="2"/>
        <charset val="238"/>
      </rPr>
      <t xml:space="preserve"> - Štruktúra spotrebiteľskej inflácie – medziročné príspevky zložiek CPI</t>
    </r>
  </si>
  <si>
    <r>
      <rPr>
        <b/>
        <sz val="12"/>
        <color theme="1"/>
        <rFont val="Arial Narrow"/>
        <family val="2"/>
        <charset val="238"/>
      </rPr>
      <t>TABUĽKA 2</t>
    </r>
    <r>
      <rPr>
        <sz val="12"/>
        <color theme="1"/>
        <rFont val="Arial Narrow"/>
        <family val="2"/>
        <charset val="238"/>
      </rPr>
      <t xml:space="preserve"> - Prognóza vybraných indikátorov vývoja ekonomiky SR pre roky 2018 až 2021</t>
    </r>
  </si>
  <si>
    <r>
      <rPr>
        <b/>
        <sz val="12"/>
        <color theme="1"/>
        <rFont val="Arial Narrow"/>
        <family val="2"/>
        <charset val="238"/>
      </rPr>
      <t>GRAF 13</t>
    </r>
    <r>
      <rPr>
        <sz val="12"/>
        <color theme="1"/>
        <rFont val="Arial Narrow"/>
        <family val="2"/>
        <charset val="238"/>
      </rPr>
      <t xml:space="preserve"> - Príspevky k rastu HDP / </t>
    </r>
    <r>
      <rPr>
        <b/>
        <sz val="12"/>
        <color theme="1"/>
        <rFont val="Arial Narrow"/>
        <family val="2"/>
        <charset val="238"/>
      </rPr>
      <t>GRAF 14 -</t>
    </r>
    <r>
      <rPr>
        <sz val="12"/>
        <color theme="1"/>
        <rFont val="Arial Narrow"/>
        <family val="2"/>
        <charset val="238"/>
      </rPr>
      <t xml:space="preserve"> Príspevky k rastu zamestnanosti</t>
    </r>
  </si>
  <si>
    <r>
      <rPr>
        <b/>
        <sz val="12"/>
        <color theme="1"/>
        <rFont val="Arial Narrow"/>
        <family val="2"/>
        <charset val="238"/>
      </rPr>
      <t xml:space="preserve">GRAF 15 </t>
    </r>
    <r>
      <rPr>
        <sz val="12"/>
        <color theme="1"/>
        <rFont val="Arial Narrow"/>
        <family val="2"/>
        <charset val="238"/>
      </rPr>
      <t xml:space="preserve">- Externé nerovnováhy - zložky salda bežného účtu platobnej bilancie / </t>
    </r>
    <r>
      <rPr>
        <b/>
        <sz val="12"/>
        <color theme="1"/>
        <rFont val="Arial Narrow"/>
        <family val="2"/>
        <charset val="238"/>
      </rPr>
      <t>GRAF 16</t>
    </r>
    <r>
      <rPr>
        <sz val="12"/>
        <color theme="1"/>
        <rFont val="Arial Narrow"/>
        <family val="2"/>
        <charset val="238"/>
      </rPr>
      <t xml:space="preserve"> - Štruktúra spotrebiteľskej inflácie –medziročné príspevky zložiek k CPI</t>
    </r>
  </si>
  <si>
    <r>
      <rPr>
        <b/>
        <sz val="12"/>
        <color theme="1"/>
        <rFont val="Arial Narrow"/>
        <family val="2"/>
        <charset val="238"/>
      </rPr>
      <t xml:space="preserve">TABUĽKA 3 </t>
    </r>
    <r>
      <rPr>
        <sz val="12"/>
        <color theme="1"/>
        <rFont val="Arial Narrow"/>
        <family val="2"/>
        <charset val="238"/>
      </rPr>
      <t>- Predpoklady investičného zámeru a výroby JLR</t>
    </r>
  </si>
  <si>
    <r>
      <rPr>
        <b/>
        <sz val="12"/>
        <color theme="1"/>
        <rFont val="Arial Narrow"/>
        <family val="2"/>
        <charset val="238"/>
      </rPr>
      <t xml:space="preserve">TABUĽKA 18 </t>
    </r>
    <r>
      <rPr>
        <sz val="12"/>
        <color theme="1"/>
        <rFont val="Arial Narrow"/>
        <family val="2"/>
        <charset val="238"/>
      </rPr>
      <t>- Scenár nezmenených politík a bilancia verejnej správy</t>
    </r>
  </si>
  <si>
    <r>
      <rPr>
        <b/>
        <sz val="12"/>
        <color theme="1"/>
        <rFont val="Arial Narrow"/>
        <family val="2"/>
        <charset val="238"/>
      </rPr>
      <t>TABUĽKA 4</t>
    </r>
    <r>
      <rPr>
        <sz val="12"/>
        <color theme="1"/>
        <rFont val="Arial Narrow"/>
        <family val="2"/>
        <charset val="238"/>
      </rPr>
      <t xml:space="preserve"> - Predpoklady investície a novej výroby VW</t>
    </r>
  </si>
  <si>
    <r>
      <rPr>
        <b/>
        <sz val="12"/>
        <color theme="1"/>
        <rFont val="Arial Narrow"/>
        <family val="2"/>
        <charset val="238"/>
      </rPr>
      <t>GRAF 30</t>
    </r>
    <r>
      <rPr>
        <sz val="12"/>
        <color theme="1"/>
        <rFont val="Arial Narrow"/>
        <family val="2"/>
        <charset val="238"/>
      </rPr>
      <t xml:space="preserve"> - Vplyv fiškálnej politiky na HDP  a porovnanie s PS 2017-2020 / </t>
    </r>
    <r>
      <rPr>
        <b/>
        <sz val="12"/>
        <color theme="1"/>
        <rFont val="Arial Narrow"/>
        <family val="2"/>
        <charset val="238"/>
      </rPr>
      <t>GRAF 31</t>
    </r>
    <r>
      <rPr>
        <sz val="12"/>
        <color theme="1"/>
        <rFont val="Arial Narrow"/>
        <family val="2"/>
        <charset val="238"/>
      </rPr>
      <t xml:space="preserve"> - Implikované fiškálne multiplikátory a porovnanie s PS 2017-2020</t>
    </r>
  </si>
  <si>
    <r>
      <rPr>
        <b/>
        <sz val="12"/>
        <color theme="1"/>
        <rFont val="Arial Narrow"/>
        <family val="2"/>
        <charset val="238"/>
      </rPr>
      <t>TABUĽKA 5</t>
    </r>
    <r>
      <rPr>
        <sz val="12"/>
        <color theme="1"/>
        <rFont val="Arial Narrow"/>
        <family val="2"/>
        <charset val="238"/>
      </rPr>
      <t xml:space="preserve"> – Príspevky JLR a VW k medziročným rastom / </t>
    </r>
    <r>
      <rPr>
        <b/>
        <sz val="12"/>
        <color theme="1"/>
        <rFont val="Arial Narrow"/>
        <family val="2"/>
        <charset val="238"/>
      </rPr>
      <t xml:space="preserve">GRAF 17 </t>
    </r>
    <r>
      <rPr>
        <sz val="12"/>
        <color theme="1"/>
        <rFont val="Arial Narrow"/>
        <family val="2"/>
        <charset val="238"/>
      </rPr>
      <t>- Vplyv novej výroby a investícií VW a JLR na rast slovenskej ekonomiky</t>
    </r>
  </si>
  <si>
    <r>
      <rPr>
        <b/>
        <sz val="12"/>
        <color theme="1"/>
        <rFont val="Arial Narrow"/>
        <family val="2"/>
        <charset val="238"/>
      </rPr>
      <t xml:space="preserve">GRAF 32 </t>
    </r>
    <r>
      <rPr>
        <sz val="12"/>
        <color theme="1"/>
        <rFont val="Arial Narrow"/>
        <family val="2"/>
        <charset val="238"/>
      </rPr>
      <t>- Hrubý dlh verejnej správy</t>
    </r>
  </si>
  <si>
    <r>
      <rPr>
        <b/>
        <sz val="12"/>
        <color theme="1"/>
        <rFont val="Arial Narrow"/>
        <family val="2"/>
        <charset val="238"/>
      </rPr>
      <t>GRAF 18</t>
    </r>
    <r>
      <rPr>
        <sz val="12"/>
        <color theme="1"/>
        <rFont val="Arial Narrow"/>
        <family val="2"/>
        <charset val="238"/>
      </rPr>
      <t xml:space="preserve"> - Príspevky výrobných faktorov k rastu potenciálneho produktu / </t>
    </r>
    <r>
      <rPr>
        <b/>
        <sz val="12"/>
        <color theme="1"/>
        <rFont val="Arial Narrow"/>
        <family val="2"/>
        <charset val="238"/>
      </rPr>
      <t>TABUĽKA 6</t>
    </r>
    <r>
      <rPr>
        <sz val="12"/>
        <color theme="1"/>
        <rFont val="Arial Narrow"/>
        <family val="2"/>
        <charset val="238"/>
      </rPr>
      <t xml:space="preserve"> - Príspevky výrobných faktorov k rastu potenciálneho produktu</t>
    </r>
  </si>
  <si>
    <r>
      <rPr>
        <b/>
        <sz val="12"/>
        <color theme="1"/>
        <rFont val="Arial Narrow"/>
        <family val="2"/>
        <charset val="238"/>
      </rPr>
      <t xml:space="preserve">GRAF 33 </t>
    </r>
    <r>
      <rPr>
        <sz val="12"/>
        <color theme="1"/>
        <rFont val="Arial Narrow"/>
        <family val="2"/>
        <charset val="238"/>
      </rPr>
      <t>- Stochastická prognóza dlhu</t>
    </r>
  </si>
  <si>
    <r>
      <rPr>
        <b/>
        <sz val="12"/>
        <color theme="1"/>
        <rFont val="Arial Narrow"/>
        <family val="2"/>
        <charset val="238"/>
      </rPr>
      <t>TABUĽKA 7</t>
    </r>
    <r>
      <rPr>
        <sz val="12"/>
        <color theme="1"/>
        <rFont val="Arial Narrow"/>
        <family val="2"/>
        <charset val="238"/>
      </rPr>
      <t xml:space="preserve"> - Vývoj produkčnej medzery / </t>
    </r>
    <r>
      <rPr>
        <b/>
        <sz val="12"/>
        <color theme="1"/>
        <rFont val="Arial Narrow"/>
        <family val="2"/>
        <charset val="238"/>
      </rPr>
      <t>GRAF 19</t>
    </r>
    <r>
      <rPr>
        <sz val="12"/>
        <color theme="1"/>
        <rFont val="Arial Narrow"/>
        <family val="2"/>
        <charset val="238"/>
      </rPr>
      <t xml:space="preserve"> - Produkčná medzera</t>
    </r>
  </si>
  <si>
    <r>
      <rPr>
        <b/>
        <sz val="12"/>
        <color theme="1"/>
        <rFont val="Arial Narrow"/>
        <family val="2"/>
        <charset val="238"/>
      </rPr>
      <t xml:space="preserve">GRAF 34 </t>
    </r>
    <r>
      <rPr>
        <sz val="12"/>
        <color theme="1"/>
        <rFont val="Arial Narrow"/>
        <family val="2"/>
        <charset val="238"/>
      </rPr>
      <t>- Príspevky faktorov k zmene dlhu</t>
    </r>
  </si>
  <si>
    <r>
      <rPr>
        <b/>
        <sz val="12"/>
        <color theme="1"/>
        <rFont val="Arial Narrow"/>
        <family val="2"/>
        <charset val="238"/>
      </rPr>
      <t>TABUĽKA 8</t>
    </r>
    <r>
      <rPr>
        <sz val="12"/>
        <color theme="1"/>
        <rFont val="Arial Narrow"/>
        <family val="2"/>
        <charset val="238"/>
      </rPr>
      <t xml:space="preserve"> - Produkčná medzera</t>
    </r>
  </si>
  <si>
    <r>
      <rPr>
        <b/>
        <sz val="12"/>
        <color theme="1"/>
        <rFont val="Arial Narrow"/>
        <family val="2"/>
        <charset val="238"/>
      </rPr>
      <t>TABUĽKA 19</t>
    </r>
    <r>
      <rPr>
        <sz val="12"/>
        <color theme="1"/>
        <rFont val="Arial Narrow"/>
        <family val="2"/>
        <charset val="238"/>
      </rPr>
      <t xml:space="preserve"> - Zosúladenie dlhu a deficitu</t>
    </r>
  </si>
  <si>
    <r>
      <rPr>
        <b/>
        <sz val="12"/>
        <color theme="1"/>
        <rFont val="Arial Narrow"/>
        <family val="2"/>
        <charset val="238"/>
      </rPr>
      <t>TABUĽKA 9</t>
    </r>
    <r>
      <rPr>
        <sz val="12"/>
        <color theme="1"/>
        <rFont val="Arial Narrow"/>
        <family val="2"/>
        <charset val="238"/>
      </rPr>
      <t xml:space="preserve"> - Porovnanie prognóz slovenskej ekonomiky MF SR a ostatných inštitúcií</t>
    </r>
  </si>
  <si>
    <r>
      <rPr>
        <b/>
        <sz val="12"/>
        <color theme="1"/>
        <rFont val="Arial Narrow"/>
        <family val="2"/>
        <charset val="238"/>
      </rPr>
      <t>TABUĽKA 20</t>
    </r>
    <r>
      <rPr>
        <sz val="12"/>
        <color theme="1"/>
        <rFont val="Arial Narrow"/>
        <family val="2"/>
        <charset val="238"/>
      </rPr>
      <t xml:space="preserve"> - Vplyv na zmenu hrubého dlhu verejnej správy</t>
    </r>
  </si>
  <si>
    <r>
      <rPr>
        <b/>
        <sz val="12"/>
        <color theme="1"/>
        <rFont val="Arial Narrow"/>
        <family val="2"/>
        <charset val="238"/>
      </rPr>
      <t>GRAF 35</t>
    </r>
    <r>
      <rPr>
        <sz val="12"/>
        <color theme="1"/>
        <rFont val="Arial Narrow"/>
        <family val="2"/>
        <charset val="238"/>
      </rPr>
      <t xml:space="preserve"> - Čistý dlh</t>
    </r>
  </si>
  <si>
    <r>
      <rPr>
        <b/>
        <sz val="12"/>
        <color theme="1"/>
        <rFont val="Arial Narrow"/>
        <family val="2"/>
        <charset val="238"/>
      </rPr>
      <t>GRAF 36</t>
    </r>
    <r>
      <rPr>
        <sz val="12"/>
        <color theme="1"/>
        <rFont val="Arial Narrow"/>
        <family val="2"/>
        <charset val="238"/>
      </rPr>
      <t xml:space="preserve"> – Hotovostná rezerva VS</t>
    </r>
  </si>
  <si>
    <r>
      <rPr>
        <b/>
        <sz val="12"/>
        <color theme="1"/>
        <rFont val="Arial Narrow"/>
        <family val="2"/>
        <charset val="238"/>
      </rPr>
      <t xml:space="preserve">TABUĽKA 16 </t>
    </r>
    <r>
      <rPr>
        <sz val="12"/>
        <color theme="1"/>
        <rFont val="Arial Narrow"/>
        <family val="2"/>
        <charset val="238"/>
      </rPr>
      <t>- Legislatívne zmeny nepovažované za opatrenia pre účely NPC</t>
    </r>
  </si>
  <si>
    <r>
      <rPr>
        <b/>
        <sz val="12"/>
        <color theme="1"/>
        <rFont val="Arial Narrow"/>
        <family val="2"/>
        <charset val="238"/>
      </rPr>
      <t xml:space="preserve">TABUĽKA 15 </t>
    </r>
    <r>
      <rPr>
        <sz val="12"/>
        <color theme="1"/>
        <rFont val="Arial Narrow"/>
        <family val="2"/>
        <charset val="238"/>
      </rPr>
      <t>- Zoznam opatrení vo fiškálnom rámci na roky 2019 až 2021</t>
    </r>
  </si>
  <si>
    <r>
      <rPr>
        <b/>
        <sz val="12"/>
        <color theme="1"/>
        <rFont val="Arial Narrow"/>
        <family val="2"/>
        <charset val="238"/>
      </rPr>
      <t>TABUĽKA 14</t>
    </r>
    <r>
      <rPr>
        <sz val="12"/>
        <color theme="1"/>
        <rFont val="Arial Narrow"/>
        <family val="2"/>
        <charset val="238"/>
      </rPr>
      <t xml:space="preserve"> - Celková potreba opatrení na dosiahnutie fiškálnych cieľov voči NPC</t>
    </r>
  </si>
  <si>
    <r>
      <rPr>
        <b/>
        <sz val="12"/>
        <color theme="1"/>
        <rFont val="Arial Narrow"/>
        <family val="2"/>
        <charset val="238"/>
      </rPr>
      <t>TABUĽKA 12</t>
    </r>
    <r>
      <rPr>
        <sz val="12"/>
        <color theme="1"/>
        <rFont val="Arial Narrow"/>
        <family val="2"/>
        <charset val="238"/>
      </rPr>
      <t xml:space="preserve"> - Primárne štrukturálne saldo v metodike EK  / </t>
    </r>
    <r>
      <rPr>
        <b/>
        <sz val="12"/>
        <color theme="1"/>
        <rFont val="Arial Narrow"/>
        <family val="2"/>
        <charset val="238"/>
      </rPr>
      <t xml:space="preserve">GRAF 26 </t>
    </r>
    <r>
      <rPr>
        <sz val="12"/>
        <color theme="1"/>
        <rFont val="Arial Narrow"/>
        <family val="2"/>
        <charset val="238"/>
      </rPr>
      <t xml:space="preserve">- Zmena primárneho štrukturálneho salda oproti úrovni produkčnej medzery  / </t>
    </r>
    <r>
      <rPr>
        <b/>
        <sz val="12"/>
        <color theme="1"/>
        <rFont val="Arial Narrow"/>
        <family val="2"/>
        <charset val="238"/>
      </rPr>
      <t>GRAF 27</t>
    </r>
    <r>
      <rPr>
        <sz val="12"/>
        <color theme="1"/>
        <rFont val="Arial Narrow"/>
        <family val="2"/>
        <charset val="238"/>
      </rPr>
      <t xml:space="preserve"> - Zmena primárneho štrukturálneho salda oproti zmene produkčnej medzery</t>
    </r>
  </si>
  <si>
    <r>
      <rPr>
        <b/>
        <sz val="12"/>
        <color theme="1"/>
        <rFont val="Arial Narrow"/>
        <family val="2"/>
        <charset val="238"/>
      </rPr>
      <t xml:space="preserve">TABUĽKA 11 </t>
    </r>
    <r>
      <rPr>
        <sz val="12"/>
        <color theme="1"/>
        <rFont val="Arial Narrow"/>
        <family val="2"/>
        <charset val="238"/>
      </rPr>
      <t>- Konsolidačné úsilie</t>
    </r>
  </si>
  <si>
    <r>
      <rPr>
        <b/>
        <sz val="12"/>
        <color theme="1"/>
        <rFont val="Arial Narrow"/>
        <family val="2"/>
        <charset val="238"/>
      </rPr>
      <t xml:space="preserve">TABUĽKA 10 </t>
    </r>
    <r>
      <rPr>
        <sz val="12"/>
        <color theme="1"/>
        <rFont val="Arial Narrow"/>
        <family val="2"/>
        <charset val="238"/>
      </rPr>
      <t>- Zmena fiškálnych cieľov verejnej správy</t>
    </r>
  </si>
  <si>
    <r>
      <rPr>
        <b/>
        <sz val="12"/>
        <color theme="1"/>
        <rFont val="Arial Narrow"/>
        <family val="2"/>
        <charset val="238"/>
      </rPr>
      <t>GRAF 25</t>
    </r>
    <r>
      <rPr>
        <sz val="12"/>
        <color theme="1"/>
        <rFont val="Arial Narrow"/>
        <family val="2"/>
        <charset val="238"/>
      </rPr>
      <t xml:space="preserve"> – Plnenie schváleného rozpočtu - rozdiely na hlavných položkách</t>
    </r>
  </si>
  <si>
    <r>
      <rPr>
        <b/>
        <sz val="12"/>
        <color theme="1"/>
        <rFont val="Arial Narrow"/>
        <family val="2"/>
        <charset val="238"/>
      </rPr>
      <t>GRAF 23</t>
    </r>
    <r>
      <rPr>
        <sz val="12"/>
        <color theme="1"/>
        <rFont val="Arial Narrow"/>
        <family val="2"/>
        <charset val="238"/>
      </rPr>
      <t xml:space="preserve"> - Príspevky k zmene odhadu daňových príjmov 2017 oproti rozpočtu / </t>
    </r>
    <r>
      <rPr>
        <b/>
        <sz val="12"/>
        <color theme="1"/>
        <rFont val="Arial Narrow"/>
        <family val="2"/>
        <charset val="238"/>
      </rPr>
      <t>GRAF 24</t>
    </r>
    <r>
      <rPr>
        <sz val="12"/>
        <color theme="1"/>
        <rFont val="Arial Narrow"/>
        <family val="2"/>
        <charset val="238"/>
      </rPr>
      <t xml:space="preserve"> - Príspevky k zmene odhadu daňovo-odvodových príjmov 2017 oproti rozpočtu</t>
    </r>
  </si>
  <si>
    <r>
      <rPr>
        <b/>
        <sz val="12"/>
        <color theme="1"/>
        <rFont val="Arial Narrow"/>
        <family val="2"/>
        <charset val="238"/>
      </rPr>
      <t>GRAF 22</t>
    </r>
    <r>
      <rPr>
        <sz val="12"/>
        <color theme="1"/>
        <rFont val="Arial Narrow"/>
        <family val="2"/>
        <charset val="238"/>
      </rPr>
      <t xml:space="preserve"> - Plnenie schváleného rozpočtu 2017 - rozdiely na hlavných položkách</t>
    </r>
  </si>
  <si>
    <r>
      <rPr>
        <b/>
        <sz val="12"/>
        <color theme="1"/>
        <rFont val="Arial Narrow"/>
        <family val="2"/>
        <charset val="238"/>
      </rPr>
      <t>GRAF 20</t>
    </r>
    <r>
      <rPr>
        <sz val="12"/>
        <color theme="1"/>
        <rFont val="Arial Narrow"/>
        <family val="2"/>
        <charset val="238"/>
      </rPr>
      <t xml:space="preserve"> - Plánované konsolidačné úsilie štátu / </t>
    </r>
    <r>
      <rPr>
        <b/>
        <sz val="12"/>
        <color theme="1"/>
        <rFont val="Arial Narrow"/>
        <family val="2"/>
        <charset val="238"/>
      </rPr>
      <t xml:space="preserve">GRAF 21 </t>
    </r>
    <r>
      <rPr>
        <sz val="12"/>
        <color theme="1"/>
        <rFont val="Arial Narrow"/>
        <family val="2"/>
        <charset val="238"/>
      </rPr>
      <t>- Hrubý dlh verejnej správy</t>
    </r>
  </si>
  <si>
    <r>
      <rPr>
        <b/>
        <sz val="12"/>
        <color theme="1"/>
        <rFont val="Arial Narrow"/>
        <family val="2"/>
        <charset val="238"/>
      </rPr>
      <t>ESA 2010</t>
    </r>
    <r>
      <rPr>
        <sz val="12"/>
        <color theme="1"/>
        <rFont val="Arial Narrow"/>
        <family val="2"/>
        <charset val="238"/>
      </rPr>
      <t xml:space="preserve"> Tabuľka</t>
    </r>
  </si>
  <si>
    <r>
      <rPr>
        <b/>
        <sz val="12"/>
        <color theme="1"/>
        <rFont val="Arial Narrow"/>
        <family val="2"/>
        <charset val="238"/>
      </rPr>
      <t>GRAF 55</t>
    </r>
    <r>
      <rPr>
        <sz val="12"/>
        <color theme="1"/>
        <rFont val="Arial Narrow"/>
        <family val="2"/>
        <charset val="238"/>
      </rPr>
      <t xml:space="preserve"> - Výdavky ústredných orgánov posúdených revíziou výdavkov</t>
    </r>
  </si>
  <si>
    <r>
      <rPr>
        <b/>
        <sz val="12"/>
        <color theme="1"/>
        <rFont val="Arial Narrow"/>
        <family val="2"/>
        <charset val="238"/>
      </rPr>
      <t xml:space="preserve">GRAF 54 </t>
    </r>
    <r>
      <rPr>
        <sz val="12"/>
        <color theme="1"/>
        <rFont val="Arial Narrow"/>
        <family val="2"/>
        <charset val="238"/>
      </rPr>
      <t>- Porovnanie výdavkov verejnej správy podľa klasifikácie COFOG</t>
    </r>
  </si>
  <si>
    <r>
      <rPr>
        <b/>
        <sz val="12"/>
        <color theme="1"/>
        <rFont val="Arial Narrow"/>
        <family val="2"/>
        <charset val="238"/>
      </rPr>
      <t>TABUĽKA 26</t>
    </r>
    <r>
      <rPr>
        <sz val="12"/>
        <color theme="1"/>
        <rFont val="Arial Narrow"/>
        <family val="2"/>
        <charset val="238"/>
      </rPr>
      <t xml:space="preserve"> - Výdavky verejnej správy podľa klasifikácie COFOG</t>
    </r>
  </si>
  <si>
    <r>
      <rPr>
        <b/>
        <sz val="12"/>
        <color theme="1"/>
        <rFont val="Arial Narrow"/>
        <family val="2"/>
        <charset val="238"/>
      </rPr>
      <t xml:space="preserve">GRAF 52 </t>
    </r>
    <r>
      <rPr>
        <sz val="12"/>
        <color theme="1"/>
        <rFont val="Arial Narrow"/>
        <family val="2"/>
        <charset val="238"/>
      </rPr>
      <t xml:space="preserve">- Vývoj výdavkov VS / </t>
    </r>
    <r>
      <rPr>
        <b/>
        <sz val="12"/>
        <color theme="1"/>
        <rFont val="Arial Narrow"/>
        <family val="2"/>
        <charset val="238"/>
      </rPr>
      <t>GRAF 53</t>
    </r>
    <r>
      <rPr>
        <sz val="12"/>
        <color theme="1"/>
        <rFont val="Arial Narrow"/>
        <family val="2"/>
        <charset val="238"/>
      </rPr>
      <t xml:space="preserve"> - Vývoj kapitálových výdavkov</t>
    </r>
  </si>
  <si>
    <r>
      <rPr>
        <b/>
        <sz val="12"/>
        <color theme="1"/>
        <rFont val="Arial Narrow"/>
        <family val="2"/>
        <charset val="238"/>
      </rPr>
      <t>GRAF 50</t>
    </r>
    <r>
      <rPr>
        <sz val="12"/>
        <color theme="1"/>
        <rFont val="Arial Narrow"/>
        <family val="2"/>
        <charset val="238"/>
      </rPr>
      <t xml:space="preserve"> - Efektívna daňová sadzba DPPO / </t>
    </r>
    <r>
      <rPr>
        <b/>
        <sz val="12"/>
        <color theme="1"/>
        <rFont val="Arial Narrow"/>
        <family val="2"/>
        <charset val="238"/>
      </rPr>
      <t xml:space="preserve">GRAF 51 </t>
    </r>
    <r>
      <rPr>
        <sz val="12"/>
        <color theme="1"/>
        <rFont val="Arial Narrow"/>
        <family val="2"/>
        <charset val="238"/>
      </rPr>
      <t>- Daňová medzera na dani z minerálnych olejov</t>
    </r>
  </si>
  <si>
    <r>
      <rPr>
        <b/>
        <sz val="12"/>
        <color theme="1"/>
        <rFont val="Arial Narrow"/>
        <family val="2"/>
        <charset val="238"/>
      </rPr>
      <t>GRAF 48</t>
    </r>
    <r>
      <rPr>
        <sz val="12"/>
        <color theme="1"/>
        <rFont val="Arial Narrow"/>
        <family val="2"/>
        <charset val="238"/>
      </rPr>
      <t xml:space="preserve"> - Daňová medzera na DPH / </t>
    </r>
    <r>
      <rPr>
        <b/>
        <sz val="12"/>
        <color theme="1"/>
        <rFont val="Arial Narrow"/>
        <family val="2"/>
        <charset val="238"/>
      </rPr>
      <t>GRAF 49</t>
    </r>
    <r>
      <rPr>
        <sz val="12"/>
        <color theme="1"/>
        <rFont val="Arial Narrow"/>
        <family val="2"/>
        <charset val="238"/>
      </rPr>
      <t xml:space="preserve"> - Indikátor efektivity výberu DPH</t>
    </r>
  </si>
  <si>
    <r>
      <rPr>
        <b/>
        <sz val="12"/>
        <color theme="1"/>
        <rFont val="Arial Narrow"/>
        <family val="2"/>
        <charset val="238"/>
      </rPr>
      <t>GRAF 47</t>
    </r>
    <r>
      <rPr>
        <sz val="12"/>
        <color theme="1"/>
        <rFont val="Arial Narrow"/>
        <family val="2"/>
        <charset val="238"/>
      </rPr>
      <t xml:space="preserve"> - Podiel daní na HDP</t>
    </r>
  </si>
  <si>
    <r>
      <rPr>
        <b/>
        <sz val="12"/>
        <color theme="1"/>
        <rFont val="Arial Narrow"/>
        <family val="2"/>
        <charset val="238"/>
      </rPr>
      <t xml:space="preserve">GRAF 45 </t>
    </r>
    <r>
      <rPr>
        <sz val="12"/>
        <color theme="1"/>
        <rFont val="Arial Narrow"/>
        <family val="2"/>
        <charset val="238"/>
      </rPr>
      <t xml:space="preserve">- Porovnanie vývoja príjmov VS / </t>
    </r>
    <r>
      <rPr>
        <b/>
        <sz val="12"/>
        <color theme="1"/>
        <rFont val="Arial Narrow"/>
        <family val="2"/>
        <charset val="238"/>
      </rPr>
      <t xml:space="preserve">GRAF 46 </t>
    </r>
    <r>
      <rPr>
        <sz val="12"/>
        <color theme="1"/>
        <rFont val="Arial Narrow"/>
        <family val="2"/>
        <charset val="238"/>
      </rPr>
      <t>- Porovnanie vývoja daní a odvodov VS</t>
    </r>
  </si>
  <si>
    <r>
      <rPr>
        <b/>
        <sz val="12"/>
        <color theme="1"/>
        <rFont val="Arial Narrow"/>
        <family val="2"/>
        <charset val="238"/>
      </rPr>
      <t>TABUĽKA 25</t>
    </r>
    <r>
      <rPr>
        <sz val="12"/>
        <color theme="1"/>
        <rFont val="Arial Narrow"/>
        <family val="2"/>
        <charset val="238"/>
      </rPr>
      <t xml:space="preserve"> - Penzijné opatrenia prijaté po reforme z roku 2012 a ich vplyv na hospodárenie VS</t>
    </r>
  </si>
  <si>
    <r>
      <rPr>
        <b/>
        <sz val="12"/>
        <color theme="1"/>
        <rFont val="Arial Narrow"/>
        <family val="2"/>
        <charset val="238"/>
      </rPr>
      <t>GRAF 43</t>
    </r>
    <r>
      <rPr>
        <sz val="12"/>
        <color theme="1"/>
        <rFont val="Arial Narrow"/>
        <family val="2"/>
        <charset val="238"/>
      </rPr>
      <t xml:space="preserve"> - Porovnanie príjmov a výdavkov penzijného systému / </t>
    </r>
    <r>
      <rPr>
        <b/>
        <sz val="12"/>
        <color theme="1"/>
        <rFont val="Arial Narrow"/>
        <family val="2"/>
        <charset val="238"/>
      </rPr>
      <t>GRAF 44</t>
    </r>
    <r>
      <rPr>
        <sz val="12"/>
        <color theme="1"/>
        <rFont val="Arial Narrow"/>
        <family val="2"/>
        <charset val="238"/>
      </rPr>
      <t xml:space="preserve"> - Reálny rast HDP podľa pôvodnej a revidovanej projekcie</t>
    </r>
  </si>
  <si>
    <r>
      <rPr>
        <b/>
        <sz val="12"/>
        <color theme="1"/>
        <rFont val="Arial Narrow"/>
        <family val="2"/>
        <charset val="238"/>
      </rPr>
      <t>GRAF 41</t>
    </r>
    <r>
      <rPr>
        <sz val="12"/>
        <color theme="1"/>
        <rFont val="Arial Narrow"/>
        <family val="2"/>
        <charset val="238"/>
      </rPr>
      <t xml:space="preserve"> – Rast výdavkov citlivých na starnutie v období 2016-2060 / </t>
    </r>
    <r>
      <rPr>
        <b/>
        <sz val="12"/>
        <color theme="1"/>
        <rFont val="Arial Narrow"/>
        <family val="2"/>
        <charset val="238"/>
      </rPr>
      <t>GRAF 42</t>
    </r>
    <r>
      <rPr>
        <sz val="12"/>
        <color theme="1"/>
        <rFont val="Arial Narrow"/>
        <family val="2"/>
        <charset val="238"/>
      </rPr>
      <t xml:space="preserve"> – Vplyv aktualizácie výdavkov citlivých na starnutie na indikátor dlhodobej udržateľnosti (S2)</t>
    </r>
  </si>
  <si>
    <r>
      <rPr>
        <b/>
        <sz val="12"/>
        <color theme="1"/>
        <rFont val="Arial Narrow"/>
        <family val="2"/>
        <charset val="238"/>
      </rPr>
      <t xml:space="preserve">GRAF 39 </t>
    </r>
    <r>
      <rPr>
        <sz val="12"/>
        <color theme="1"/>
        <rFont val="Arial Narrow"/>
        <family val="2"/>
        <charset val="238"/>
      </rPr>
      <t xml:space="preserve">– Strednodobá udržateľnosť S1 / </t>
    </r>
    <r>
      <rPr>
        <b/>
        <sz val="12"/>
        <color theme="1"/>
        <rFont val="Arial Narrow"/>
        <family val="2"/>
        <charset val="238"/>
      </rPr>
      <t xml:space="preserve">GRAF 40 </t>
    </r>
    <r>
      <rPr>
        <sz val="12"/>
        <color theme="1"/>
        <rFont val="Arial Narrow"/>
        <family val="2"/>
        <charset val="238"/>
      </rPr>
      <t>- Dlhodobá udržateľnosť S2</t>
    </r>
  </si>
  <si>
    <r>
      <rPr>
        <b/>
        <sz val="12"/>
        <color theme="1"/>
        <rFont val="Arial Narrow"/>
        <family val="2"/>
        <charset val="238"/>
      </rPr>
      <t>TABUĽKA 23</t>
    </r>
    <r>
      <rPr>
        <sz val="12"/>
        <color theme="1"/>
        <rFont val="Arial Narrow"/>
        <family val="2"/>
        <charset val="238"/>
      </rPr>
      <t xml:space="preserve"> - Scenár 3: Rýchlejší rast miezd o 1 p. b.</t>
    </r>
  </si>
  <si>
    <r>
      <rPr>
        <b/>
        <sz val="12"/>
        <color theme="1"/>
        <rFont val="Arial Narrow"/>
        <family val="2"/>
        <charset val="238"/>
      </rPr>
      <t>TABUĽKA 22</t>
    </r>
    <r>
      <rPr>
        <sz val="12"/>
        <color theme="1"/>
        <rFont val="Arial Narrow"/>
        <family val="2"/>
        <charset val="238"/>
      </rPr>
      <t xml:space="preserve"> - Scenár 2: Nárast úrokových sadzieb o 1 p. b.</t>
    </r>
  </si>
  <si>
    <r>
      <rPr>
        <b/>
        <sz val="12"/>
        <color theme="1"/>
        <rFont val="Arial Narrow"/>
        <family val="2"/>
        <charset val="238"/>
      </rPr>
      <t>TABUĽKA 21</t>
    </r>
    <r>
      <rPr>
        <sz val="12"/>
        <color theme="1"/>
        <rFont val="Arial Narrow"/>
        <family val="2"/>
        <charset val="238"/>
      </rPr>
      <t xml:space="preserve"> - Scenár 1: Spomalenie rastu zahraničného dopytu o 1 p. b.</t>
    </r>
  </si>
  <si>
    <r>
      <rPr>
        <b/>
        <sz val="12"/>
        <color theme="1"/>
        <rFont val="Arial Narrow"/>
        <family val="2"/>
        <charset val="238"/>
      </rPr>
      <t>GRAF 60</t>
    </r>
    <r>
      <rPr>
        <sz val="12"/>
        <color theme="1"/>
        <rFont val="Arial Narrow"/>
        <family val="2"/>
        <charset val="238"/>
      </rPr>
      <t xml:space="preserve"> - Národné fiškálne pravidlá / </t>
    </r>
    <r>
      <rPr>
        <b/>
        <sz val="12"/>
        <color theme="1"/>
        <rFont val="Arial Narrow"/>
        <family val="2"/>
        <charset val="238"/>
      </rPr>
      <t>GRAF 61</t>
    </r>
    <r>
      <rPr>
        <sz val="12"/>
        <color theme="1"/>
        <rFont val="Arial Narrow"/>
        <family val="2"/>
        <charset val="238"/>
      </rPr>
      <t xml:space="preserve"> - Strednodobé rozpočtové rámce / </t>
    </r>
    <r>
      <rPr>
        <b/>
        <sz val="12"/>
        <color theme="1"/>
        <rFont val="Arial Narrow"/>
        <family val="2"/>
        <charset val="238"/>
      </rPr>
      <t>GRAF 62</t>
    </r>
    <r>
      <rPr>
        <sz val="12"/>
        <color theme="1"/>
        <rFont val="Arial Narrow"/>
        <family val="2"/>
        <charset val="238"/>
      </rPr>
      <t xml:space="preserve"> - Nezávislé fiškálne inštitúcie</t>
    </r>
  </si>
  <si>
    <r>
      <rPr>
        <b/>
        <sz val="12"/>
        <color theme="1"/>
        <rFont val="Arial Narrow"/>
        <family val="2"/>
        <charset val="238"/>
      </rPr>
      <t>GRAF 59</t>
    </r>
    <r>
      <rPr>
        <sz val="12"/>
        <color theme="1"/>
        <rFont val="Arial Narrow"/>
        <family val="2"/>
        <charset val="238"/>
      </rPr>
      <t xml:space="preserve"> - Zníženie odhadu investičných nákladov severného obchvatu Prešova</t>
    </r>
  </si>
  <si>
    <r>
      <rPr>
        <b/>
        <sz val="12"/>
        <color theme="1"/>
        <rFont val="Arial Narrow"/>
        <family val="2"/>
        <charset val="238"/>
      </rPr>
      <t>TABUĽKA 27</t>
    </r>
    <r>
      <rPr>
        <sz val="12"/>
        <color theme="1"/>
        <rFont val="Arial Narrow"/>
        <family val="2"/>
        <charset val="238"/>
      </rPr>
      <t xml:space="preserve"> - Štátne spoločnosti podľa počtu zamestnancov</t>
    </r>
  </si>
  <si>
    <r>
      <rPr>
        <b/>
        <sz val="12"/>
        <color theme="1"/>
        <rFont val="Arial Narrow"/>
        <family val="2"/>
        <charset val="238"/>
      </rPr>
      <t>GRAF 58</t>
    </r>
    <r>
      <rPr>
        <sz val="12"/>
        <color theme="1"/>
        <rFont val="Arial Narrow"/>
        <family val="2"/>
        <charset val="238"/>
      </rPr>
      <t xml:space="preserve"> – Zamestnanci VS podľa sektorov</t>
    </r>
  </si>
  <si>
    <r>
      <rPr>
        <b/>
        <sz val="12"/>
        <color theme="1"/>
        <rFont val="Arial Narrow"/>
        <family val="2"/>
        <charset val="238"/>
      </rPr>
      <t>GRAF 56</t>
    </r>
    <r>
      <rPr>
        <sz val="12"/>
        <color theme="1"/>
        <rFont val="Arial Narrow"/>
        <family val="2"/>
        <charset val="238"/>
      </rPr>
      <t xml:space="preserve"> – Zamestnanci sektora VS na 1000 obyvateľov / GRAF 57 – Rozdiel slovenskej sektorovej zamestnanosti oproti benchmarku</t>
    </r>
  </si>
  <si>
    <t>Saldo VS v základnom a rizikových scenároch</t>
  </si>
  <si>
    <t>Dlh VS v základnom a rizikových scenároch</t>
  </si>
  <si>
    <r>
      <rPr>
        <b/>
        <sz val="11"/>
        <color theme="1"/>
        <rFont val="Arial Narrow"/>
        <family val="2"/>
        <charset val="238"/>
      </rPr>
      <t>GRAF 37</t>
    </r>
    <r>
      <rPr>
        <sz val="11"/>
        <color theme="1"/>
        <rFont val="Arial Narrow"/>
        <family val="2"/>
        <charset val="238"/>
      </rPr>
      <t xml:space="preserve"> – Saldo VS v základnom a rizikových scenároch / </t>
    </r>
    <r>
      <rPr>
        <b/>
        <sz val="11"/>
        <color theme="1"/>
        <rFont val="Arial Narrow"/>
        <family val="2"/>
        <charset val="238"/>
      </rPr>
      <t>GRAF 38</t>
    </r>
    <r>
      <rPr>
        <sz val="11"/>
        <color theme="1"/>
        <rFont val="Arial Narrow"/>
        <family val="2"/>
        <charset val="238"/>
      </rPr>
      <t xml:space="preserve"> – Hrubý dlh VS v základnom a rizikových scenároch</t>
    </r>
  </si>
  <si>
    <t>Figure 32 - GG gross debt (% of GDP)</t>
  </si>
  <si>
    <t>State debt</t>
  </si>
  <si>
    <t>Other entities</t>
  </si>
  <si>
    <t>Dlhový strop</t>
  </si>
  <si>
    <t>Požiadavka vyrovnaného rozpočtu</t>
  </si>
  <si>
    <t>Zmrazenie výdavkov</t>
  </si>
  <si>
    <t>List ministra financií s opatreniami</t>
  </si>
  <si>
    <t>Debt break limit</t>
  </si>
  <si>
    <t>Budget balance requirement</t>
  </si>
  <si>
    <t>Expenditure freezing</t>
  </si>
  <si>
    <t>Letter of the MF minister</t>
  </si>
  <si>
    <t>ZHRNUTIE / SUMMARY</t>
  </si>
  <si>
    <t>KAPITOLA 1 / CHAPTER 1</t>
  </si>
  <si>
    <t>KAPITOLA 2 / CHAPTER 2</t>
  </si>
  <si>
    <t>KAPITOLA 3 / CHAPTER 3</t>
  </si>
  <si>
    <t>KAPITOLA 4 / CHAPTER 4</t>
  </si>
  <si>
    <t>KAPITOLA 5 / CHAPTER 5</t>
  </si>
  <si>
    <t>KAPITOLA 6 / CHAPTER 6</t>
  </si>
  <si>
    <t>PRÍLOHY / ANNEXES</t>
  </si>
  <si>
    <t>Obsah - Program stability Slovenskej republiky na roky 2018 až 2021 / Content - Stability Programme of the Slovak republic from 2018 to 2021</t>
  </si>
  <si>
    <t>Tabuľka = Table</t>
  </si>
  <si>
    <t>Graf = Figure</t>
  </si>
  <si>
    <t>Poznámka / Note:</t>
  </si>
  <si>
    <t>2017**</t>
  </si>
  <si>
    <t>Deviation (1r)</t>
  </si>
  <si>
    <t>Deviation (2r)</t>
  </si>
  <si>
    <t>* Structural balance deviation of 2016 based on frozen SF assessment of EC (2017)</t>
  </si>
  <si>
    <t>5. Konsolidačné úsilie podľa EK**</t>
  </si>
  <si>
    <t>** Odchýlka (2r) pre rok 2017 vychádza z „nefreezovaných“ hodnôt jarnej prognózy EK (2017)</t>
  </si>
  <si>
    <t>* Konsolidačné úsilie a odchýlky v roku 2016 vychádzajú zo „zafreezovaných“ hodnôt jarnej prognózy EK (2017)</t>
  </si>
  <si>
    <t>4. Štrukturálne saldo (1-2-3)***</t>
  </si>
  <si>
    <t>*** Štrukturálny deficit 0,75 % HDP by bol interpretovaný ako splnenie MTO ex-post - vysvetlenie vo Vade Mecum k SGP, na str. 36 (v kapitole 1.3.2.2).</t>
  </si>
  <si>
    <t>** Deviation (2r) for 2017 is based on unfrozen SF assessment of EC (2017)</t>
  </si>
  <si>
    <t>*** The structural deficit of 0.75% of GDP would be interpreted as fulfilling the ex-post MTO - explanation in the Vade Mecum to SGP, p. 36 (in chapter 1.3.2.2).</t>
  </si>
  <si>
    <t>FIGURE 6 – Current inflation and expectations (%)</t>
  </si>
  <si>
    <t>Pot GDP growth</t>
  </si>
  <si>
    <t>Real growth tax revenues and Social contributions(y-o-y)</t>
  </si>
  <si>
    <t>Deflator GDP</t>
  </si>
  <si>
    <t>baseline scenario</t>
  </si>
  <si>
    <t>lower foreign demand</t>
  </si>
  <si>
    <t xml:space="preserve">increase in interest rates </t>
  </si>
  <si>
    <t>shock to wage growth</t>
  </si>
  <si>
    <t>EC (ref- debt level 60 % of GDP)</t>
  </si>
  <si>
    <t>SP 18-21 (ref. level of debt - 60 % HDP)</t>
  </si>
  <si>
    <t>SP 18-21  (ref. level of debt - 40 % HDP)</t>
  </si>
  <si>
    <t>SP 18-21</t>
  </si>
  <si>
    <t>Pensions</t>
  </si>
  <si>
    <t>Healthcare</t>
  </si>
  <si>
    <t>Longterm care</t>
  </si>
  <si>
    <t>Education</t>
  </si>
  <si>
    <t>Unemployment benefit</t>
  </si>
  <si>
    <t>Health and Longterm care</t>
  </si>
  <si>
    <t>Education and unemployment benefit</t>
  </si>
  <si>
    <t>2060 - infinity</t>
  </si>
  <si>
    <t>Increase of the maximum assessment base to 5 times the average wage</t>
  </si>
  <si>
    <t>Healh insurance</t>
  </si>
  <si>
    <t>Transportation</t>
  </si>
  <si>
    <t>Internal affairs</t>
  </si>
  <si>
    <t>Jobs and social items</t>
  </si>
  <si>
    <t>Defense</t>
  </si>
  <si>
    <t>Social insurance</t>
  </si>
  <si>
    <t>Finance</t>
  </si>
  <si>
    <t>Justice</t>
  </si>
  <si>
    <t>Culture</t>
  </si>
  <si>
    <t>Environment</t>
  </si>
  <si>
    <t>Economy</t>
  </si>
  <si>
    <t>Foreign affairs</t>
  </si>
  <si>
    <t>assessed</t>
  </si>
  <si>
    <t>non-assessed</t>
  </si>
  <si>
    <t>Sweden</t>
  </si>
  <si>
    <t>Dannmark</t>
  </si>
  <si>
    <t>Finland</t>
  </si>
  <si>
    <t>Estonia</t>
  </si>
  <si>
    <t>Lithuania</t>
  </si>
  <si>
    <t>France</t>
  </si>
  <si>
    <t>Latvia</t>
  </si>
  <si>
    <t>Luxembourg</t>
  </si>
  <si>
    <t>Austria</t>
  </si>
  <si>
    <t>Czech rep.</t>
  </si>
  <si>
    <t>Slovenia</t>
  </si>
  <si>
    <t>Belgium</t>
  </si>
  <si>
    <t>Greece</t>
  </si>
  <si>
    <t>Portugal</t>
  </si>
  <si>
    <t>The Netherlands</t>
  </si>
  <si>
    <t>Ireland</t>
  </si>
  <si>
    <t>Spian</t>
  </si>
  <si>
    <t>Italy</t>
  </si>
  <si>
    <t>Second stage</t>
  </si>
  <si>
    <t>First stage</t>
  </si>
  <si>
    <t>Estimation of costs</t>
  </si>
  <si>
    <t>Potential for further cost savings</t>
  </si>
  <si>
    <t>Reduced costs compared to December 2016</t>
  </si>
  <si>
    <t xml:space="preserve"> Initial cost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</si>
</sst>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0.0"/>
    <numFmt numFmtId="165" formatCode="0.0%"/>
    <numFmt numFmtId="166" formatCode="#,##0.0"/>
    <numFmt numFmtId="167" formatCode="_-* #,##0\ _€_-;\-* #,##0\ _€_-;_-* &quot;-&quot;??\ _€_-;_-@_-"/>
    <numFmt numFmtId="168" formatCode="#,##0.000"/>
    <numFmt numFmtId="169" formatCode="0.000"/>
    <numFmt numFmtId="170" formatCode="mmm\-yy"/>
    <numFmt numFmtId="171" formatCode="0.00000"/>
    <numFmt numFmtId="172" formatCode="_-* #,##0.00\ _S_k_-;\-* #,##0.00\ _S_k_-;_-* &quot;-&quot;??\ _S_k_-;_-@_-"/>
    <numFmt numFmtId="173" formatCode="0.0000"/>
    <numFmt numFmtId="174" formatCode="0.000%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name val="MS Sans Serif"/>
      <family val="2"/>
    </font>
    <font>
      <sz val="11"/>
      <color indexed="8"/>
      <name val="Arial Narrow"/>
      <family val="2"/>
      <charset val="238"/>
    </font>
    <font>
      <b/>
      <sz val="9"/>
      <name val="Arial Narrow"/>
      <family val="2"/>
      <charset val="238"/>
    </font>
    <font>
      <sz val="10"/>
      <name val="Arial"/>
      <family val="2"/>
      <charset val="238"/>
    </font>
    <font>
      <i/>
      <vertAlign val="superscript"/>
      <sz val="9"/>
      <color rgb="FF000000"/>
      <name val="Arial Narrow"/>
      <family val="2"/>
      <charset val="238"/>
    </font>
    <font>
      <b/>
      <vertAlign val="superscript"/>
      <sz val="9"/>
      <color rgb="FF000000"/>
      <name val="Arial Narrow"/>
      <family val="2"/>
      <charset val="238"/>
    </font>
    <font>
      <sz val="9"/>
      <color theme="1"/>
      <name val="Calibri"/>
      <family val="2"/>
      <scheme val="minor"/>
    </font>
    <font>
      <b/>
      <i/>
      <sz val="9"/>
      <color theme="1"/>
      <name val="Arial Narrow"/>
      <family val="2"/>
      <charset val="238"/>
    </font>
    <font>
      <sz val="11"/>
      <color rgb="FFFFFFFF"/>
      <name val="Calibri"/>
      <family val="2"/>
      <charset val="238"/>
    </font>
    <font>
      <b/>
      <sz val="9"/>
      <color indexed="8"/>
      <name val="Arial Narrow"/>
      <family val="2"/>
      <charset val="238"/>
    </font>
    <font>
      <b/>
      <sz val="9"/>
      <color theme="1" tint="0.499984740745262"/>
      <name val="Arial Narrow"/>
      <family val="2"/>
      <charset val="238"/>
    </font>
    <font>
      <sz val="9"/>
      <color indexed="8"/>
      <name val="Garamond"/>
      <family val="1"/>
      <charset val="238"/>
    </font>
    <font>
      <sz val="11"/>
      <color indexed="8"/>
      <name val="Calibri"/>
      <family val="2"/>
      <charset val="238"/>
    </font>
    <font>
      <b/>
      <sz val="9"/>
      <color indexed="8"/>
      <name val="Garamond"/>
      <family val="1"/>
      <charset val="238"/>
    </font>
    <font>
      <sz val="11"/>
      <name val="Arial"/>
      <family val="2"/>
      <charset val="238"/>
    </font>
    <font>
      <b/>
      <sz val="9"/>
      <color theme="4"/>
      <name val="Arial Narrow"/>
      <family val="2"/>
      <charset val="238"/>
    </font>
    <font>
      <sz val="11"/>
      <color theme="1"/>
      <name val="Arial"/>
      <family val="2"/>
      <charset val="238"/>
    </font>
    <font>
      <sz val="9"/>
      <color theme="0"/>
      <name val="Arial Narrow"/>
      <family val="2"/>
      <charset val="238"/>
    </font>
    <font>
      <b/>
      <sz val="9"/>
      <color rgb="FF2C9ADC"/>
      <name val="Arial Narrow"/>
      <family val="2"/>
      <charset val="238"/>
    </font>
    <font>
      <sz val="9"/>
      <color rgb="FF2C9ADC"/>
      <name val="Arial Narrow"/>
      <family val="2"/>
      <charset val="238"/>
    </font>
    <font>
      <vertAlign val="subscript"/>
      <sz val="9"/>
      <color rgb="FF000000"/>
      <name val="Arial Narrow"/>
      <family val="2"/>
      <charset val="238"/>
    </font>
    <font>
      <vertAlign val="subscript"/>
      <sz val="9"/>
      <color theme="1"/>
      <name val="Arial Narrow"/>
      <family val="2"/>
      <charset val="238"/>
    </font>
    <font>
      <b/>
      <sz val="9"/>
      <color rgb="FF2C9BDC"/>
      <name val="Arial Narrow"/>
      <family val="2"/>
      <charset val="238"/>
    </font>
    <font>
      <b/>
      <u/>
      <sz val="9"/>
      <color rgb="FF2C9BDC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u/>
      <sz val="9"/>
      <color theme="1"/>
      <name val="Arial Narrow"/>
      <family val="2"/>
      <charset val="238"/>
    </font>
    <font>
      <sz val="9"/>
      <color theme="4"/>
      <name val="Arial Narrow"/>
      <family val="2"/>
      <charset val="238"/>
    </font>
    <font>
      <sz val="9"/>
      <color theme="0" tint="-0.34998626667073579"/>
      <name val="Arial Narrow"/>
      <family val="2"/>
      <charset val="238"/>
    </font>
    <font>
      <vertAlign val="superscript"/>
      <sz val="9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u/>
      <sz val="12"/>
      <color theme="10"/>
      <name val="Arial Narrow"/>
      <family val="2"/>
      <charset val="238"/>
    </font>
    <font>
      <sz val="12"/>
      <color rgb="FFFFFFFF"/>
      <name val="Arial Narrow"/>
      <family val="2"/>
      <charset val="238"/>
    </font>
    <font>
      <sz val="12"/>
      <name val="Arial Narrow"/>
      <family val="2"/>
      <charset val="238"/>
    </font>
    <font>
      <b/>
      <sz val="9"/>
      <color indexed="9"/>
      <name val="Arial Narrow"/>
      <family val="2"/>
      <charset val="238"/>
    </font>
    <font>
      <b/>
      <sz val="7.5"/>
      <color rgb="FF2C9ADC"/>
      <name val="Arial Narrow"/>
      <family val="2"/>
      <charset val="238"/>
    </font>
    <font>
      <b/>
      <sz val="7.5"/>
      <color theme="1"/>
      <name val="Arial Narrow"/>
      <family val="2"/>
      <charset val="238"/>
    </font>
    <font>
      <b/>
      <sz val="7.5"/>
      <color rgb="FF000000"/>
      <name val="Arial Narrow"/>
      <family val="2"/>
      <charset val="238"/>
    </font>
    <font>
      <sz val="7.5"/>
      <color rgb="FF000000"/>
      <name val="Arial Narrow"/>
      <family val="2"/>
      <charset val="238"/>
    </font>
    <font>
      <sz val="7.5"/>
      <color theme="1"/>
      <name val="Arial Narrow"/>
      <family val="2"/>
      <charset val="238"/>
    </font>
    <font>
      <sz val="10"/>
      <name val="Times New Roman"/>
      <family val="1"/>
      <charset val="238"/>
    </font>
    <font>
      <b/>
      <sz val="9"/>
      <color theme="0"/>
      <name val="Arial Narrow"/>
      <family val="2"/>
      <charset val="238"/>
    </font>
    <font>
      <b/>
      <i/>
      <sz val="9"/>
      <color rgb="FF000000"/>
      <name val="Arial Narrow"/>
      <family val="2"/>
      <charset val="238"/>
    </font>
    <font>
      <i/>
      <sz val="9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4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  <font>
      <b/>
      <i/>
      <u/>
      <sz val="12"/>
      <color theme="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2C9AD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rgb="FFFF6600"/>
      </patternFill>
    </fill>
    <fill>
      <patternFill patternType="solid">
        <fgColor rgb="FF33CCCC"/>
        <bgColor rgb="FF33CCCC"/>
      </patternFill>
    </fill>
    <fill>
      <patternFill patternType="solid">
        <fgColor rgb="FF00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72">
    <xf numFmtId="0" fontId="0" fillId="0" borderId="0"/>
    <xf numFmtId="0" fontId="17" fillId="0" borderId="0" applyNumberForma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4" fillId="0" borderId="0"/>
    <xf numFmtId="0" fontId="11" fillId="0" borderId="0"/>
    <xf numFmtId="0" fontId="10" fillId="0" borderId="0"/>
    <xf numFmtId="0" fontId="27" fillId="0" borderId="0"/>
    <xf numFmtId="0" fontId="28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9" fontId="30" fillId="0" borderId="0" applyFont="0" applyFill="0" applyBorder="0" applyAlignment="0" applyProtection="0"/>
    <xf numFmtId="0" fontId="9" fillId="0" borderId="0"/>
    <xf numFmtId="0" fontId="9" fillId="0" borderId="0"/>
    <xf numFmtId="0" fontId="30" fillId="0" borderId="0"/>
    <xf numFmtId="0" fontId="8" fillId="0" borderId="0"/>
    <xf numFmtId="0" fontId="7" fillId="0" borderId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2" fillId="0" borderId="0"/>
    <xf numFmtId="0" fontId="28" fillId="0" borderId="0"/>
    <xf numFmtId="43" fontId="2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39" fillId="0" borderId="0"/>
    <xf numFmtId="9" fontId="12" fillId="0" borderId="0" applyFont="0" applyFill="0" applyBorder="0" applyAlignment="0" applyProtection="0"/>
    <xf numFmtId="0" fontId="12" fillId="0" borderId="0"/>
    <xf numFmtId="0" fontId="4" fillId="0" borderId="0"/>
    <xf numFmtId="172" fontId="3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1" fillId="0" borderId="0"/>
    <xf numFmtId="0" fontId="15" fillId="0" borderId="0"/>
    <xf numFmtId="0" fontId="41" fillId="0" borderId="0"/>
    <xf numFmtId="0" fontId="39" fillId="0" borderId="0"/>
    <xf numFmtId="0" fontId="3" fillId="0" borderId="0"/>
    <xf numFmtId="172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0" fontId="43" fillId="0" borderId="0"/>
    <xf numFmtId="0" fontId="2" fillId="0" borderId="0"/>
    <xf numFmtId="0" fontId="24" fillId="0" borderId="0"/>
    <xf numFmtId="0" fontId="30" fillId="0" borderId="0"/>
    <xf numFmtId="0" fontId="67" fillId="0" borderId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43" fontId="43" fillId="0" borderId="0" applyFont="0" applyFill="0" applyBorder="0" applyAlignment="0" applyProtection="0"/>
    <xf numFmtId="0" fontId="1" fillId="0" borderId="0"/>
  </cellStyleXfs>
  <cellXfs count="1038">
    <xf numFmtId="0" fontId="0" fillId="0" borderId="0" xfId="0"/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2" borderId="4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 indent="1"/>
    </xf>
    <xf numFmtId="0" fontId="16" fillId="0" borderId="4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indent="3"/>
    </xf>
    <xf numFmtId="0" fontId="18" fillId="0" borderId="7" xfId="0" applyFont="1" applyBorder="1" applyAlignment="1">
      <alignment horizontal="left" vertical="center" indent="1"/>
    </xf>
    <xf numFmtId="0" fontId="16" fillId="0" borderId="15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164" fontId="13" fillId="0" borderId="1" xfId="0" applyNumberFormat="1" applyFont="1" applyBorder="1" applyAlignment="1">
      <alignment horizontal="center" vertical="center"/>
    </xf>
    <xf numFmtId="164" fontId="16" fillId="0" borderId="0" xfId="0" applyNumberFormat="1" applyFont="1" applyAlignment="1">
      <alignment horizontal="right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0" fontId="16" fillId="0" borderId="0" xfId="0" applyFont="1"/>
    <xf numFmtId="2" fontId="16" fillId="0" borderId="0" xfId="0" applyNumberFormat="1" applyFont="1"/>
    <xf numFmtId="166" fontId="18" fillId="0" borderId="7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6" fillId="0" borderId="0" xfId="0" applyFont="1" applyAlignment="1">
      <alignment horizontal="left" indent="1"/>
    </xf>
    <xf numFmtId="0" fontId="16" fillId="0" borderId="0" xfId="0" applyFont="1" applyAlignment="1">
      <alignment horizontal="left" indent="2"/>
    </xf>
    <xf numFmtId="164" fontId="16" fillId="0" borderId="0" xfId="0" applyNumberFormat="1" applyFont="1"/>
    <xf numFmtId="0" fontId="16" fillId="0" borderId="1" xfId="0" applyFont="1" applyBorder="1" applyAlignment="1">
      <alignment horizontal="left" indent="1"/>
    </xf>
    <xf numFmtId="164" fontId="16" fillId="0" borderId="1" xfId="0" applyNumberFormat="1" applyFont="1" applyBorder="1"/>
    <xf numFmtId="0" fontId="16" fillId="0" borderId="1" xfId="0" applyFont="1" applyBorder="1"/>
    <xf numFmtId="0" fontId="18" fillId="0" borderId="1" xfId="0" applyFont="1" applyBorder="1"/>
    <xf numFmtId="0" fontId="16" fillId="0" borderId="2" xfId="0" applyFont="1" applyBorder="1"/>
    <xf numFmtId="164" fontId="16" fillId="0" borderId="2" xfId="0" applyNumberFormat="1" applyFont="1" applyBorder="1"/>
    <xf numFmtId="0" fontId="18" fillId="0" borderId="2" xfId="0" applyFont="1" applyBorder="1"/>
    <xf numFmtId="0" fontId="18" fillId="0" borderId="0" xfId="0" applyFont="1" applyBorder="1" applyAlignment="1">
      <alignment vertical="center"/>
    </xf>
    <xf numFmtId="164" fontId="16" fillId="0" borderId="0" xfId="0" applyNumberFormat="1" applyFont="1" applyBorder="1" applyAlignment="1">
      <alignment horizontal="right" vertical="center" wrapText="1"/>
    </xf>
    <xf numFmtId="2" fontId="13" fillId="2" borderId="0" xfId="0" applyNumberFormat="1" applyFont="1" applyFill="1" applyAlignment="1">
      <alignment horizontal="center" vertical="center"/>
    </xf>
    <xf numFmtId="0" fontId="25" fillId="0" borderId="24" xfId="4" applyFont="1" applyFill="1" applyBorder="1" applyAlignment="1">
      <alignment horizontal="left" vertical="center" wrapText="1" indent="1"/>
    </xf>
    <xf numFmtId="49" fontId="25" fillId="0" borderId="24" xfId="4" applyNumberFormat="1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vertical="center"/>
    </xf>
    <xf numFmtId="0" fontId="29" fillId="0" borderId="27" xfId="4" applyFont="1" applyFill="1" applyBorder="1" applyAlignment="1">
      <alignment horizontal="center" vertical="center" wrapText="1"/>
    </xf>
    <xf numFmtId="0" fontId="29" fillId="0" borderId="23" xfId="4" applyFont="1" applyFill="1" applyBorder="1" applyAlignment="1">
      <alignment horizontal="center" vertical="center" wrapText="1"/>
    </xf>
    <xf numFmtId="2" fontId="25" fillId="0" borderId="0" xfId="4" applyNumberFormat="1" applyFont="1" applyFill="1" applyBorder="1" applyAlignment="1">
      <alignment horizontal="center" vertical="center"/>
    </xf>
    <xf numFmtId="3" fontId="18" fillId="0" borderId="4" xfId="0" applyNumberFormat="1" applyFont="1" applyBorder="1" applyAlignment="1">
      <alignment horizontal="right" vertical="center"/>
    </xf>
    <xf numFmtId="0" fontId="18" fillId="0" borderId="14" xfId="0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3" fontId="14" fillId="0" borderId="0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164" fontId="14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164" fontId="20" fillId="0" borderId="0" xfId="0" applyNumberFormat="1" applyFont="1" applyFill="1" applyBorder="1" applyAlignment="1">
      <alignment vertical="center"/>
    </xf>
    <xf numFmtId="0" fontId="18" fillId="0" borderId="2" xfId="0" applyFont="1" applyBorder="1" applyAlignment="1">
      <alignment horizontal="right" vertical="center"/>
    </xf>
    <xf numFmtId="3" fontId="16" fillId="0" borderId="4" xfId="0" applyNumberFormat="1" applyFont="1" applyFill="1" applyBorder="1" applyAlignment="1">
      <alignment horizontal="right" vertical="center"/>
    </xf>
    <xf numFmtId="0" fontId="20" fillId="0" borderId="3" xfId="0" applyFont="1" applyBorder="1" applyAlignment="1">
      <alignment vertical="center" wrapText="1"/>
    </xf>
    <xf numFmtId="169" fontId="13" fillId="0" borderId="1" xfId="0" applyNumberFormat="1" applyFont="1" applyBorder="1" applyAlignment="1">
      <alignment horizontal="center" vertical="center"/>
    </xf>
    <xf numFmtId="169" fontId="13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19" fillId="0" borderId="0" xfId="0" applyFont="1" applyAlignment="1">
      <alignment vertical="center" wrapText="1"/>
    </xf>
    <xf numFmtId="0" fontId="13" fillId="8" borderId="0" xfId="0" applyFont="1" applyFill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64" fontId="25" fillId="0" borderId="0" xfId="4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3" fontId="18" fillId="2" borderId="4" xfId="0" applyNumberFormat="1" applyFont="1" applyFill="1" applyBorder="1" applyAlignment="1">
      <alignment horizontal="right" vertical="center"/>
    </xf>
    <xf numFmtId="3" fontId="16" fillId="0" borderId="12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0" fontId="14" fillId="2" borderId="1" xfId="0" applyFont="1" applyFill="1" applyBorder="1" applyAlignment="1">
      <alignment vertical="center"/>
    </xf>
    <xf numFmtId="0" fontId="14" fillId="0" borderId="0" xfId="0" applyFont="1" applyAlignment="1">
      <alignment horizontal="left" vertical="center" wrapText="1" indent="1"/>
    </xf>
    <xf numFmtId="0" fontId="13" fillId="0" borderId="10" xfId="0" applyFont="1" applyBorder="1" applyAlignment="1">
      <alignment vertical="center"/>
    </xf>
    <xf numFmtId="0" fontId="14" fillId="0" borderId="10" xfId="0" applyFont="1" applyBorder="1" applyAlignment="1">
      <alignment horizontal="center" vertical="center" wrapText="1"/>
    </xf>
    <xf numFmtId="3" fontId="18" fillId="0" borderId="9" xfId="0" applyNumberFormat="1" applyFont="1" applyBorder="1" applyAlignment="1">
      <alignment horizontal="right" vertical="center"/>
    </xf>
    <xf numFmtId="3" fontId="18" fillId="2" borderId="12" xfId="0" applyNumberFormat="1" applyFont="1" applyFill="1" applyBorder="1" applyAlignment="1">
      <alignment horizontal="right" vertical="center"/>
    </xf>
    <xf numFmtId="3" fontId="16" fillId="0" borderId="12" xfId="0" applyNumberFormat="1" applyFont="1" applyFill="1" applyBorder="1" applyAlignment="1">
      <alignment horizontal="right" vertical="center"/>
    </xf>
    <xf numFmtId="3" fontId="16" fillId="0" borderId="12" xfId="0" applyNumberFormat="1" applyFont="1" applyBorder="1" applyAlignment="1">
      <alignment horizontal="right" vertical="center" wrapText="1"/>
    </xf>
    <xf numFmtId="3" fontId="18" fillId="0" borderId="12" xfId="0" applyNumberFormat="1" applyFont="1" applyBorder="1" applyAlignment="1">
      <alignment horizontal="right" vertical="center"/>
    </xf>
    <xf numFmtId="166" fontId="18" fillId="0" borderId="13" xfId="0" applyNumberFormat="1" applyFont="1" applyBorder="1" applyAlignment="1">
      <alignment horizontal="right" vertical="center"/>
    </xf>
    <xf numFmtId="3" fontId="16" fillId="0" borderId="0" xfId="0" applyNumberFormat="1" applyFont="1" applyBorder="1" applyAlignment="1">
      <alignment horizontal="right" vertical="center"/>
    </xf>
    <xf numFmtId="0" fontId="31" fillId="0" borderId="3" xfId="0" applyFont="1" applyBorder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33" fillId="0" borderId="0" xfId="0" applyFont="1"/>
    <xf numFmtId="0" fontId="16" fillId="0" borderId="0" xfId="0" applyFont="1" applyFill="1"/>
    <xf numFmtId="0" fontId="18" fillId="0" borderId="0" xfId="0" applyFont="1" applyFill="1"/>
    <xf numFmtId="0" fontId="18" fillId="0" borderId="0" xfId="0" applyFont="1" applyFill="1" applyBorder="1"/>
    <xf numFmtId="0" fontId="16" fillId="0" borderId="0" xfId="14" applyFont="1" applyFill="1"/>
    <xf numFmtId="164" fontId="16" fillId="0" borderId="0" xfId="14" applyNumberFormat="1" applyFont="1" applyFill="1"/>
    <xf numFmtId="0" fontId="18" fillId="0" borderId="0" xfId="0" applyFont="1"/>
    <xf numFmtId="164" fontId="16" fillId="0" borderId="0" xfId="0" applyNumberFormat="1" applyFont="1" applyFill="1" applyAlignment="1">
      <alignment horizontal="right"/>
    </xf>
    <xf numFmtId="0" fontId="25" fillId="0" borderId="0" xfId="0" applyFont="1" applyFill="1" applyAlignment="1"/>
    <xf numFmtId="0" fontId="18" fillId="0" borderId="0" xfId="13" applyFont="1"/>
    <xf numFmtId="164" fontId="16" fillId="0" borderId="0" xfId="13" applyNumberFormat="1" applyFont="1"/>
    <xf numFmtId="164" fontId="16" fillId="0" borderId="0" xfId="0" applyNumberFormat="1" applyFont="1" applyFill="1"/>
    <xf numFmtId="0" fontId="16" fillId="0" borderId="28" xfId="0" applyFont="1" applyBorder="1" applyAlignment="1">
      <alignment horizontal="left" vertical="center" indent="3"/>
    </xf>
    <xf numFmtId="3" fontId="16" fillId="0" borderId="14" xfId="0" applyNumberFormat="1" applyFont="1" applyBorder="1" applyAlignment="1">
      <alignment horizontal="right" vertical="center"/>
    </xf>
    <xf numFmtId="3" fontId="16" fillId="0" borderId="28" xfId="0" applyNumberFormat="1" applyFont="1" applyBorder="1" applyAlignment="1">
      <alignment horizontal="right" vertical="center"/>
    </xf>
    <xf numFmtId="0" fontId="16" fillId="0" borderId="1" xfId="13" applyFont="1" applyBorder="1"/>
    <xf numFmtId="0" fontId="18" fillId="0" borderId="1" xfId="13" applyFont="1" applyBorder="1"/>
    <xf numFmtId="0" fontId="16" fillId="0" borderId="1" xfId="0" applyFont="1" applyFill="1" applyBorder="1"/>
    <xf numFmtId="0" fontId="18" fillId="0" borderId="1" xfId="0" applyFont="1" applyFill="1" applyBorder="1"/>
    <xf numFmtId="0" fontId="18" fillId="0" borderId="1" xfId="0" applyFont="1" applyFill="1" applyBorder="1" applyAlignment="1">
      <alignment horizontal="right"/>
    </xf>
    <xf numFmtId="0" fontId="18" fillId="0" borderId="1" xfId="14" applyFont="1" applyFill="1" applyBorder="1"/>
    <xf numFmtId="1" fontId="18" fillId="0" borderId="1" xfId="14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9" fillId="0" borderId="0" xfId="0" applyFont="1" applyBorder="1" applyAlignment="1">
      <alignment vertical="center" wrapText="1"/>
    </xf>
    <xf numFmtId="0" fontId="20" fillId="0" borderId="0" xfId="0" applyFont="1" applyAlignment="1"/>
    <xf numFmtId="0" fontId="14" fillId="0" borderId="0" xfId="0" applyFont="1" applyFill="1" applyAlignment="1">
      <alignment horizontal="center" vertical="center"/>
    </xf>
    <xf numFmtId="0" fontId="20" fillId="0" borderId="0" xfId="0" applyFont="1"/>
    <xf numFmtId="164" fontId="14" fillId="0" borderId="0" xfId="0" applyNumberFormat="1" applyFont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/>
    </xf>
    <xf numFmtId="164" fontId="16" fillId="6" borderId="0" xfId="0" applyNumberFormat="1" applyFont="1" applyFill="1" applyAlignment="1">
      <alignment horizontal="center" vertical="center" wrapText="1"/>
    </xf>
    <xf numFmtId="164" fontId="16" fillId="0" borderId="0" xfId="0" applyNumberFormat="1" applyFont="1" applyFill="1" applyAlignment="1">
      <alignment horizontal="center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/>
    </xf>
    <xf numFmtId="168" fontId="26" fillId="0" borderId="0" xfId="3" applyNumberFormat="1" applyFont="1" applyFill="1" applyBorder="1" applyAlignment="1">
      <alignment horizontal="right" vertical="top" wrapText="1"/>
    </xf>
    <xf numFmtId="168" fontId="26" fillId="0" borderId="0" xfId="3" applyNumberFormat="1" applyFont="1" applyFill="1" applyBorder="1" applyAlignment="1">
      <alignment horizontal="right" wrapText="1"/>
    </xf>
    <xf numFmtId="166" fontId="26" fillId="0" borderId="0" xfId="3" applyNumberFormat="1" applyFont="1" applyFill="1" applyBorder="1" applyAlignment="1">
      <alignment horizontal="right" vertical="top" wrapText="1"/>
    </xf>
    <xf numFmtId="166" fontId="26" fillId="0" borderId="0" xfId="3" applyNumberFormat="1" applyFont="1" applyFill="1" applyBorder="1" applyAlignment="1">
      <alignment horizontal="right" wrapText="1"/>
    </xf>
    <xf numFmtId="0" fontId="34" fillId="0" borderId="0" xfId="0" applyFont="1" applyFill="1"/>
    <xf numFmtId="164" fontId="34" fillId="0" borderId="0" xfId="2" applyNumberFormat="1" applyFont="1" applyFill="1" applyBorder="1" applyAlignment="1"/>
    <xf numFmtId="0" fontId="1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indent="1"/>
    </xf>
    <xf numFmtId="164" fontId="16" fillId="0" borderId="0" xfId="0" applyNumberFormat="1" applyFont="1" applyBorder="1"/>
    <xf numFmtId="0" fontId="13" fillId="0" borderId="0" xfId="6" applyFont="1" applyAlignment="1">
      <alignment vertical="center" wrapText="1"/>
    </xf>
    <xf numFmtId="0" fontId="13" fillId="0" borderId="1" xfId="6" applyFont="1" applyBorder="1" applyAlignment="1">
      <alignment vertical="center" wrapText="1"/>
    </xf>
    <xf numFmtId="0" fontId="13" fillId="0" borderId="17" xfId="6" applyFont="1" applyBorder="1" applyAlignment="1">
      <alignment vertical="center" wrapText="1"/>
    </xf>
    <xf numFmtId="0" fontId="14" fillId="0" borderId="0" xfId="6" applyFont="1" applyAlignment="1">
      <alignment horizontal="left" vertical="center" wrapText="1" indent="1"/>
    </xf>
    <xf numFmtId="0" fontId="13" fillId="0" borderId="23" xfId="6" applyFont="1" applyBorder="1" applyAlignment="1">
      <alignment vertical="center" wrapText="1"/>
    </xf>
    <xf numFmtId="0" fontId="14" fillId="0" borderId="0" xfId="6" applyFont="1" applyBorder="1" applyAlignment="1">
      <alignment horizontal="left" vertical="center" wrapText="1" indent="1"/>
    </xf>
    <xf numFmtId="2" fontId="13" fillId="0" borderId="29" xfId="6" applyNumberFormat="1" applyFont="1" applyBorder="1" applyAlignment="1">
      <alignment horizontal="center" vertical="center" wrapText="1"/>
    </xf>
    <xf numFmtId="1" fontId="13" fillId="0" borderId="29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horizontal="center"/>
    </xf>
    <xf numFmtId="2" fontId="14" fillId="0" borderId="0" xfId="6" applyNumberFormat="1" applyFont="1" applyAlignment="1">
      <alignment horizontal="center" vertical="center" wrapText="1"/>
    </xf>
    <xf numFmtId="1" fontId="14" fillId="0" borderId="0" xfId="6" applyNumberFormat="1" applyFont="1" applyAlignment="1">
      <alignment horizontal="center" vertical="center" wrapText="1"/>
    </xf>
    <xf numFmtId="1" fontId="14" fillId="0" borderId="0" xfId="6" applyNumberFormat="1" applyFont="1" applyBorder="1" applyAlignment="1">
      <alignment horizontal="center" vertical="center" wrapText="1"/>
    </xf>
    <xf numFmtId="2" fontId="14" fillId="0" borderId="0" xfId="6" applyNumberFormat="1" applyFont="1" applyBorder="1" applyAlignment="1">
      <alignment horizontal="center" vertical="center" wrapText="1"/>
    </xf>
    <xf numFmtId="0" fontId="26" fillId="0" borderId="1" xfId="6" applyFont="1" applyBorder="1" applyAlignment="1">
      <alignment horizontal="center"/>
    </xf>
    <xf numFmtId="2" fontId="14" fillId="0" borderId="1" xfId="6" applyNumberFormat="1" applyFont="1" applyBorder="1" applyAlignment="1">
      <alignment horizontal="center" vertical="center" wrapText="1"/>
    </xf>
    <xf numFmtId="1" fontId="14" fillId="0" borderId="1" xfId="6" applyNumberFormat="1" applyFont="1" applyBorder="1" applyAlignment="1">
      <alignment horizontal="center" vertical="center" wrapText="1"/>
    </xf>
    <xf numFmtId="2" fontId="14" fillId="0" borderId="17" xfId="6" applyNumberFormat="1" applyFont="1" applyBorder="1" applyAlignment="1">
      <alignment horizontal="center" vertical="center" wrapText="1"/>
    </xf>
    <xf numFmtId="1" fontId="13" fillId="0" borderId="17" xfId="6" applyNumberFormat="1" applyFont="1" applyBorder="1" applyAlignment="1">
      <alignment horizontal="center" vertical="center" wrapText="1"/>
    </xf>
    <xf numFmtId="0" fontId="13" fillId="0" borderId="0" xfId="6" applyFont="1" applyAlignment="1">
      <alignment horizontal="center" vertical="center" wrapText="1"/>
    </xf>
    <xf numFmtId="0" fontId="14" fillId="0" borderId="0" xfId="6" applyFont="1" applyAlignment="1">
      <alignment horizontal="center" vertical="center" wrapText="1"/>
    </xf>
    <xf numFmtId="0" fontId="14" fillId="0" borderId="23" xfId="6" applyFont="1" applyBorder="1" applyAlignment="1">
      <alignment horizontal="center" vertical="center" wrapText="1"/>
    </xf>
    <xf numFmtId="2" fontId="14" fillId="0" borderId="23" xfId="6" applyNumberFormat="1" applyFont="1" applyBorder="1" applyAlignment="1">
      <alignment horizontal="center" vertical="center" wrapText="1"/>
    </xf>
    <xf numFmtId="1" fontId="14" fillId="0" borderId="23" xfId="6" applyNumberFormat="1" applyFont="1" applyBorder="1" applyAlignment="1">
      <alignment horizontal="center" vertical="center" wrapText="1"/>
    </xf>
    <xf numFmtId="0" fontId="14" fillId="0" borderId="0" xfId="6" applyFont="1" applyBorder="1" applyAlignment="1">
      <alignment horizontal="center" vertical="center" wrapText="1"/>
    </xf>
    <xf numFmtId="0" fontId="13" fillId="0" borderId="23" xfId="6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  <xf numFmtId="1" fontId="36" fillId="0" borderId="2" xfId="6" applyNumberFormat="1" applyFont="1" applyBorder="1" applyAlignment="1">
      <alignment horizontal="center"/>
    </xf>
    <xf numFmtId="2" fontId="36" fillId="0" borderId="2" xfId="6" applyNumberFormat="1" applyFont="1" applyBorder="1" applyAlignment="1">
      <alignment horizontal="center"/>
    </xf>
    <xf numFmtId="0" fontId="13" fillId="0" borderId="20" xfId="0" applyFont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4" fontId="14" fillId="0" borderId="0" xfId="0" applyNumberFormat="1" applyFont="1" applyFill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0" borderId="17" xfId="4" applyNumberFormat="1" applyFont="1" applyFill="1" applyBorder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30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13" fillId="0" borderId="4" xfId="0" applyFont="1" applyBorder="1" applyAlignment="1">
      <alignment vertical="center"/>
    </xf>
    <xf numFmtId="166" fontId="13" fillId="0" borderId="0" xfId="0" applyNumberFormat="1" applyFont="1" applyBorder="1" applyAlignment="1">
      <alignment horizontal="center" vertical="center"/>
    </xf>
    <xf numFmtId="166" fontId="13" fillId="0" borderId="12" xfId="0" applyNumberFormat="1" applyFont="1" applyBorder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164" fontId="14" fillId="0" borderId="1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166" fontId="13" fillId="0" borderId="9" xfId="0" applyNumberFormat="1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166" fontId="13" fillId="0" borderId="8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4" fillId="0" borderId="32" xfId="0" applyFont="1" applyBorder="1" applyAlignment="1">
      <alignment vertical="center"/>
    </xf>
    <xf numFmtId="0" fontId="13" fillId="0" borderId="28" xfId="0" applyFont="1" applyBorder="1" applyAlignment="1">
      <alignment vertical="center"/>
    </xf>
    <xf numFmtId="0" fontId="14" fillId="0" borderId="0" xfId="23" applyFont="1" applyFill="1" applyBorder="1" applyAlignment="1">
      <alignment horizontal="left" vertical="center" indent="1"/>
    </xf>
    <xf numFmtId="3" fontId="14" fillId="0" borderId="0" xfId="23" applyNumberFormat="1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164" fontId="14" fillId="2" borderId="0" xfId="3" applyNumberFormat="1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vertical="center"/>
    </xf>
    <xf numFmtId="2" fontId="13" fillId="2" borderId="17" xfId="0" applyNumberFormat="1" applyFont="1" applyFill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2" fontId="13" fillId="0" borderId="23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vertical="center"/>
    </xf>
    <xf numFmtId="0" fontId="19" fillId="0" borderId="23" xfId="0" applyFont="1" applyBorder="1" applyAlignment="1">
      <alignment horizontal="center" vertical="center"/>
    </xf>
    <xf numFmtId="2" fontId="37" fillId="0" borderId="0" xfId="0" applyNumberFormat="1" applyFont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8" fillId="0" borderId="17" xfId="0" applyFont="1" applyBorder="1"/>
    <xf numFmtId="1" fontId="14" fillId="0" borderId="0" xfId="3" applyNumberFormat="1" applyFont="1" applyFill="1" applyBorder="1" applyAlignment="1">
      <alignment horizontal="right" vertical="center"/>
    </xf>
    <xf numFmtId="167" fontId="16" fillId="0" borderId="0" xfId="3" applyNumberFormat="1" applyFont="1" applyFill="1" applyBorder="1" applyAlignment="1">
      <alignment horizontal="left"/>
    </xf>
    <xf numFmtId="2" fontId="14" fillId="0" borderId="0" xfId="0" applyNumberFormat="1" applyFont="1" applyFill="1" applyBorder="1" applyAlignment="1">
      <alignment vertical="center"/>
    </xf>
    <xf numFmtId="2" fontId="14" fillId="0" borderId="17" xfId="0" applyNumberFormat="1" applyFont="1" applyFill="1" applyBorder="1" applyAlignment="1">
      <alignment vertical="center"/>
    </xf>
    <xf numFmtId="2" fontId="20" fillId="0" borderId="0" xfId="0" applyNumberFormat="1" applyFont="1" applyFill="1" applyBorder="1" applyAlignment="1">
      <alignment vertical="center"/>
    </xf>
    <xf numFmtId="2" fontId="20" fillId="6" borderId="0" xfId="0" applyNumberFormat="1" applyFont="1" applyFill="1" applyBorder="1" applyAlignment="1">
      <alignment vertical="center"/>
    </xf>
    <xf numFmtId="1" fontId="18" fillId="0" borderId="23" xfId="0" applyNumberFormat="1" applyFont="1" applyBorder="1" applyAlignment="1">
      <alignment horizontal="right" vertical="center"/>
    </xf>
    <xf numFmtId="2" fontId="18" fillId="0" borderId="33" xfId="0" applyNumberFormat="1" applyFont="1" applyFill="1" applyBorder="1" applyAlignment="1">
      <alignment vertical="center" wrapText="1"/>
    </xf>
    <xf numFmtId="0" fontId="38" fillId="0" borderId="0" xfId="30" applyNumberFormat="1" applyFont="1" applyFill="1" applyBorder="1" applyAlignment="1" applyProtection="1"/>
    <xf numFmtId="4" fontId="38" fillId="0" borderId="0" xfId="30" applyNumberFormat="1" applyFont="1" applyFill="1" applyBorder="1" applyAlignment="1" applyProtection="1"/>
    <xf numFmtId="0" fontId="40" fillId="0" borderId="0" xfId="30" applyNumberFormat="1" applyFont="1" applyFill="1" applyBorder="1" applyAlignment="1" applyProtection="1"/>
    <xf numFmtId="0" fontId="38" fillId="0" borderId="0" xfId="30" applyFont="1" applyFill="1"/>
    <xf numFmtId="0" fontId="40" fillId="0" borderId="0" xfId="30" applyFont="1" applyFill="1"/>
    <xf numFmtId="164" fontId="40" fillId="0" borderId="0" xfId="30" applyNumberFormat="1" applyFont="1" applyFill="1" applyBorder="1" applyAlignment="1" applyProtection="1"/>
    <xf numFmtId="1" fontId="14" fillId="0" borderId="17" xfId="3" applyNumberFormat="1" applyFont="1" applyFill="1" applyBorder="1" applyAlignment="1">
      <alignment horizontal="right" vertical="center"/>
    </xf>
    <xf numFmtId="164" fontId="14" fillId="0" borderId="25" xfId="3" applyNumberFormat="1" applyFont="1" applyFill="1" applyBorder="1" applyAlignment="1">
      <alignment horizontal="right" vertical="center"/>
    </xf>
    <xf numFmtId="164" fontId="14" fillId="0" borderId="17" xfId="3" applyNumberFormat="1" applyFont="1" applyFill="1" applyBorder="1" applyAlignment="1">
      <alignment horizontal="right" vertical="center"/>
    </xf>
    <xf numFmtId="164" fontId="14" fillId="0" borderId="0" xfId="3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 vertical="center" indent="1"/>
    </xf>
    <xf numFmtId="1" fontId="18" fillId="0" borderId="1" xfId="0" applyNumberFormat="1" applyFont="1" applyBorder="1" applyAlignment="1">
      <alignment horizontal="center" vertical="center"/>
    </xf>
    <xf numFmtId="0" fontId="25" fillId="0" borderId="0" xfId="0" applyFont="1"/>
    <xf numFmtId="1" fontId="16" fillId="0" borderId="0" xfId="0" applyNumberFormat="1" applyFont="1" applyAlignment="1">
      <alignment horizontal="center"/>
    </xf>
    <xf numFmtId="0" fontId="25" fillId="0" borderId="1" xfId="0" applyFont="1" applyBorder="1"/>
    <xf numFmtId="1" fontId="16" fillId="0" borderId="1" xfId="0" applyNumberFormat="1" applyFont="1" applyBorder="1" applyAlignment="1">
      <alignment horizontal="center"/>
    </xf>
    <xf numFmtId="0" fontId="29" fillId="0" borderId="2" xfId="0" applyFont="1" applyBorder="1"/>
    <xf numFmtId="0" fontId="25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0" xfId="0" applyFont="1"/>
    <xf numFmtId="3" fontId="29" fillId="0" borderId="0" xfId="0" applyNumberFormat="1" applyFont="1"/>
    <xf numFmtId="3" fontId="25" fillId="0" borderId="0" xfId="0" applyNumberFormat="1" applyFont="1"/>
    <xf numFmtId="3" fontId="25" fillId="0" borderId="0" xfId="0" applyNumberFormat="1" applyFont="1" applyFill="1"/>
    <xf numFmtId="3" fontId="25" fillId="0" borderId="1" xfId="0" applyNumberFormat="1" applyFont="1" applyBorder="1"/>
    <xf numFmtId="1" fontId="18" fillId="0" borderId="1" xfId="0" applyNumberFormat="1" applyFont="1" applyBorder="1" applyAlignment="1">
      <alignment horizontal="center"/>
    </xf>
    <xf numFmtId="0" fontId="25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right" vertical="center"/>
    </xf>
    <xf numFmtId="0" fontId="14" fillId="0" borderId="1" xfId="0" applyFont="1" applyBorder="1" applyAlignment="1">
      <alignment horizontal="left" vertical="center" indent="1"/>
    </xf>
    <xf numFmtId="0" fontId="14" fillId="0" borderId="1" xfId="0" applyFont="1" applyBorder="1" applyAlignment="1">
      <alignment horizontal="right" vertical="center"/>
    </xf>
    <xf numFmtId="0" fontId="16" fillId="0" borderId="0" xfId="38" applyFont="1"/>
    <xf numFmtId="0" fontId="16" fillId="0" borderId="17" xfId="38" applyFont="1" applyBorder="1"/>
    <xf numFmtId="0" fontId="16" fillId="0" borderId="17" xfId="38" applyFont="1" applyBorder="1" applyAlignment="1">
      <alignment horizontal="center"/>
    </xf>
    <xf numFmtId="166" fontId="16" fillId="0" borderId="0" xfId="38" applyNumberFormat="1" applyFont="1" applyBorder="1"/>
    <xf numFmtId="166" fontId="25" fillId="0" borderId="0" xfId="39" applyNumberFormat="1" applyFont="1" applyFill="1" applyBorder="1" applyAlignment="1"/>
    <xf numFmtId="0" fontId="16" fillId="0" borderId="0" xfId="38" applyFont="1" applyAlignment="1">
      <alignment horizontal="left" indent="1"/>
    </xf>
    <xf numFmtId="0" fontId="16" fillId="0" borderId="17" xfId="38" applyFont="1" applyBorder="1" applyAlignment="1">
      <alignment horizontal="left" indent="1"/>
    </xf>
    <xf numFmtId="166" fontId="16" fillId="0" borderId="17" xfId="38" applyNumberFormat="1" applyFont="1" applyBorder="1"/>
    <xf numFmtId="0" fontId="16" fillId="0" borderId="23" xfId="38" applyFont="1" applyBorder="1" applyAlignment="1">
      <alignment horizontal="center"/>
    </xf>
    <xf numFmtId="0" fontId="25" fillId="0" borderId="0" xfId="38" applyFont="1"/>
    <xf numFmtId="0" fontId="26" fillId="0" borderId="0" xfId="40" applyFont="1"/>
    <xf numFmtId="4" fontId="26" fillId="0" borderId="0" xfId="40" applyNumberFormat="1" applyFont="1"/>
    <xf numFmtId="168" fontId="26" fillId="0" borderId="0" xfId="42" applyNumberFormat="1" applyFont="1" applyAlignment="1">
      <alignment horizontal="center"/>
    </xf>
    <xf numFmtId="0" fontId="26" fillId="0" borderId="17" xfId="40" applyFont="1" applyBorder="1"/>
    <xf numFmtId="0" fontId="26" fillId="0" borderId="17" xfId="40" applyFont="1" applyBorder="1" applyAlignment="1">
      <alignment horizontal="center"/>
    </xf>
    <xf numFmtId="164" fontId="26" fillId="0" borderId="0" xfId="40" applyNumberFormat="1" applyFont="1" applyAlignment="1">
      <alignment horizontal="center"/>
    </xf>
    <xf numFmtId="0" fontId="26" fillId="0" borderId="0" xfId="40" applyFont="1" applyBorder="1"/>
    <xf numFmtId="164" fontId="26" fillId="0" borderId="0" xfId="40" applyNumberFormat="1" applyFont="1" applyBorder="1" applyAlignment="1">
      <alignment horizontal="center"/>
    </xf>
    <xf numFmtId="0" fontId="26" fillId="0" borderId="23" xfId="40" applyFont="1" applyBorder="1"/>
    <xf numFmtId="164" fontId="26" fillId="0" borderId="23" xfId="40" applyNumberFormat="1" applyFont="1" applyBorder="1" applyAlignment="1">
      <alignment horizontal="center"/>
    </xf>
    <xf numFmtId="10" fontId="26" fillId="0" borderId="0" xfId="40" applyNumberFormat="1" applyFont="1" applyAlignment="1">
      <alignment horizontal="center"/>
    </xf>
    <xf numFmtId="166" fontId="16" fillId="0" borderId="0" xfId="38" applyNumberFormat="1" applyFont="1" applyFill="1" applyBorder="1"/>
    <xf numFmtId="166" fontId="16" fillId="0" borderId="17" xfId="38" applyNumberFormat="1" applyFont="1" applyFill="1" applyBorder="1"/>
    <xf numFmtId="168" fontId="26" fillId="0" borderId="0" xfId="42" applyNumberFormat="1" applyFont="1" applyAlignment="1">
      <alignment horizontal="left"/>
    </xf>
    <xf numFmtId="0" fontId="16" fillId="0" borderId="20" xfId="0" applyFont="1" applyBorder="1"/>
    <xf numFmtId="0" fontId="16" fillId="0" borderId="23" xfId="0" applyFont="1" applyBorder="1"/>
    <xf numFmtId="164" fontId="16" fillId="0" borderId="23" xfId="0" applyNumberFormat="1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17" xfId="0" applyFont="1" applyBorder="1"/>
    <xf numFmtId="164" fontId="16" fillId="0" borderId="17" xfId="0" applyNumberFormat="1" applyFont="1" applyBorder="1" applyAlignment="1">
      <alignment horizontal="center"/>
    </xf>
    <xf numFmtId="0" fontId="42" fillId="0" borderId="0" xfId="0" applyFont="1" applyBorder="1" applyAlignment="1"/>
    <xf numFmtId="0" fontId="16" fillId="0" borderId="0" xfId="0" applyFont="1" applyBorder="1"/>
    <xf numFmtId="0" fontId="16" fillId="0" borderId="17" xfId="0" applyFont="1" applyBorder="1" applyAlignment="1">
      <alignment horizontal="center"/>
    </xf>
    <xf numFmtId="164" fontId="16" fillId="0" borderId="0" xfId="2" applyNumberFormat="1" applyFont="1" applyFill="1" applyBorder="1" applyAlignment="1"/>
    <xf numFmtId="0" fontId="16" fillId="6" borderId="0" xfId="0" applyFont="1" applyFill="1"/>
    <xf numFmtId="0" fontId="18" fillId="0" borderId="23" xfId="0" applyFont="1" applyFill="1" applyBorder="1"/>
    <xf numFmtId="0" fontId="16" fillId="0" borderId="23" xfId="0" applyFont="1" applyFill="1" applyBorder="1"/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6" fillId="0" borderId="0" xfId="0" applyFont="1" applyFill="1" applyBorder="1"/>
    <xf numFmtId="0" fontId="25" fillId="0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25" xfId="0" applyFont="1" applyBorder="1" applyAlignment="1">
      <alignment horizontal="center" vertical="center" wrapText="1"/>
    </xf>
    <xf numFmtId="9" fontId="16" fillId="0" borderId="0" xfId="2" applyFont="1" applyBorder="1"/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33" xfId="0" applyFont="1" applyBorder="1" applyAlignment="1">
      <alignment vertical="center" wrapText="1"/>
    </xf>
    <xf numFmtId="0" fontId="14" fillId="0" borderId="33" xfId="0" applyFont="1" applyBorder="1" applyAlignment="1">
      <alignment horizontal="center" vertical="center" wrapText="1"/>
    </xf>
    <xf numFmtId="165" fontId="16" fillId="0" borderId="0" xfId="0" applyNumberFormat="1" applyFont="1"/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7" xfId="0" applyFont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6" fillId="0" borderId="0" xfId="17" applyFont="1" applyFill="1" applyAlignment="1">
      <alignment wrapText="1"/>
    </xf>
    <xf numFmtId="0" fontId="16" fillId="0" borderId="0" xfId="17" applyFont="1" applyAlignment="1">
      <alignment wrapText="1"/>
    </xf>
    <xf numFmtId="1" fontId="16" fillId="0" borderId="0" xfId="17" applyNumberFormat="1" applyFont="1" applyFill="1"/>
    <xf numFmtId="0" fontId="16" fillId="0" borderId="0" xfId="17" applyFont="1"/>
    <xf numFmtId="0" fontId="42" fillId="0" borderId="0" xfId="0" applyFont="1"/>
    <xf numFmtId="0" fontId="16" fillId="0" borderId="0" xfId="17" applyFont="1" applyFill="1"/>
    <xf numFmtId="1" fontId="16" fillId="0" borderId="0" xfId="0" applyNumberFormat="1" applyFont="1" applyFill="1"/>
    <xf numFmtId="1" fontId="16" fillId="9" borderId="0" xfId="0" applyNumberFormat="1" applyFont="1" applyFill="1"/>
    <xf numFmtId="3" fontId="18" fillId="0" borderId="1" xfId="0" applyNumberFormat="1" applyFont="1" applyFill="1" applyBorder="1" applyAlignment="1">
      <alignment horizontal="right"/>
    </xf>
    <xf numFmtId="14" fontId="16" fillId="0" borderId="0" xfId="0" applyNumberFormat="1" applyFont="1" applyBorder="1"/>
    <xf numFmtId="3" fontId="16" fillId="0" borderId="0" xfId="0" applyNumberFormat="1" applyFont="1" applyBorder="1"/>
    <xf numFmtId="14" fontId="16" fillId="0" borderId="0" xfId="0" applyNumberFormat="1" applyFont="1" applyFill="1" applyBorder="1"/>
    <xf numFmtId="3" fontId="16" fillId="0" borderId="0" xfId="0" applyNumberFormat="1" applyFont="1" applyFill="1" applyBorder="1"/>
    <xf numFmtId="14" fontId="16" fillId="0" borderId="0" xfId="0" applyNumberFormat="1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20" fillId="0" borderId="0" xfId="0" applyFont="1" applyAlignment="1">
      <alignment horizontal="right"/>
    </xf>
    <xf numFmtId="0" fontId="13" fillId="0" borderId="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164" fontId="16" fillId="6" borderId="0" xfId="0" applyNumberFormat="1" applyFont="1" applyFill="1"/>
    <xf numFmtId="0" fontId="16" fillId="0" borderId="0" xfId="48" applyFont="1"/>
    <xf numFmtId="0" fontId="18" fillId="0" borderId="0" xfId="48" applyFont="1"/>
    <xf numFmtId="164" fontId="16" fillId="0" borderId="0" xfId="48" applyNumberFormat="1" applyFont="1"/>
    <xf numFmtId="0" fontId="16" fillId="0" borderId="25" xfId="0" applyFont="1" applyBorder="1"/>
    <xf numFmtId="0" fontId="16" fillId="6" borderId="0" xfId="33" applyFont="1" applyFill="1"/>
    <xf numFmtId="164" fontId="14" fillId="6" borderId="3" xfId="33" applyNumberFormat="1" applyFont="1" applyFill="1" applyBorder="1" applyAlignment="1">
      <alignment horizontal="center" vertical="center"/>
    </xf>
    <xf numFmtId="0" fontId="14" fillId="6" borderId="3" xfId="33" applyFont="1" applyFill="1" applyBorder="1" applyAlignment="1">
      <alignment horizontal="center" vertical="center"/>
    </xf>
    <xf numFmtId="2" fontId="16" fillId="6" borderId="0" xfId="33" applyNumberFormat="1" applyFont="1" applyFill="1"/>
    <xf numFmtId="164" fontId="14" fillId="6" borderId="0" xfId="33" applyNumberFormat="1" applyFont="1" applyFill="1" applyAlignment="1">
      <alignment horizontal="center" vertical="center"/>
    </xf>
    <xf numFmtId="0" fontId="14" fillId="6" borderId="0" xfId="33" applyFont="1" applyFill="1" applyAlignment="1">
      <alignment horizontal="center" vertical="center"/>
    </xf>
    <xf numFmtId="164" fontId="14" fillId="6" borderId="1" xfId="33" applyNumberFormat="1" applyFont="1" applyFill="1" applyBorder="1" applyAlignment="1">
      <alignment horizontal="center" vertical="center"/>
    </xf>
    <xf numFmtId="0" fontId="14" fillId="6" borderId="1" xfId="33" applyFont="1" applyFill="1" applyBorder="1" applyAlignment="1">
      <alignment horizontal="center" vertical="center"/>
    </xf>
    <xf numFmtId="0" fontId="13" fillId="6" borderId="1" xfId="33" applyFont="1" applyFill="1" applyBorder="1" applyAlignment="1">
      <alignment horizontal="center" vertical="center"/>
    </xf>
    <xf numFmtId="0" fontId="14" fillId="6" borderId="0" xfId="33" applyFont="1" applyFill="1"/>
    <xf numFmtId="0" fontId="14" fillId="6" borderId="38" xfId="33" applyFont="1" applyFill="1" applyBorder="1" applyAlignment="1">
      <alignment horizontal="center" vertical="center" wrapText="1"/>
    </xf>
    <xf numFmtId="0" fontId="14" fillId="6" borderId="38" xfId="33" applyFont="1" applyFill="1" applyBorder="1" applyAlignment="1">
      <alignment vertical="center" wrapText="1"/>
    </xf>
    <xf numFmtId="0" fontId="16" fillId="6" borderId="38" xfId="33" applyFont="1" applyFill="1" applyBorder="1"/>
    <xf numFmtId="0" fontId="26" fillId="6" borderId="0" xfId="33" applyFont="1" applyFill="1" applyAlignment="1"/>
    <xf numFmtId="0" fontId="14" fillId="6" borderId="35" xfId="33" applyFont="1" applyFill="1" applyBorder="1" applyAlignment="1">
      <alignment vertical="center" wrapText="1"/>
    </xf>
    <xf numFmtId="0" fontId="14" fillId="6" borderId="35" xfId="33" applyFont="1" applyFill="1" applyBorder="1" applyAlignment="1">
      <alignment horizontal="center" vertical="center" wrapText="1"/>
    </xf>
    <xf numFmtId="2" fontId="14" fillId="6" borderId="35" xfId="36" applyNumberFormat="1" applyFont="1" applyFill="1" applyBorder="1" applyAlignment="1">
      <alignment vertical="center"/>
    </xf>
    <xf numFmtId="43" fontId="14" fillId="6" borderId="35" xfId="33" applyNumberFormat="1" applyFont="1" applyFill="1" applyBorder="1" applyAlignment="1">
      <alignment horizontal="center" vertical="center"/>
    </xf>
    <xf numFmtId="0" fontId="49" fillId="0" borderId="17" xfId="0" applyFont="1" applyBorder="1"/>
    <xf numFmtId="0" fontId="16" fillId="6" borderId="17" xfId="33" applyFont="1" applyFill="1" applyBorder="1"/>
    <xf numFmtId="2" fontId="14" fillId="6" borderId="38" xfId="36" applyNumberFormat="1" applyFont="1" applyFill="1" applyBorder="1" applyAlignment="1">
      <alignment vertical="center"/>
    </xf>
    <xf numFmtId="43" fontId="14" fillId="6" borderId="38" xfId="33" applyNumberFormat="1" applyFont="1" applyFill="1" applyBorder="1" applyAlignment="1">
      <alignment horizontal="center" vertical="center"/>
    </xf>
    <xf numFmtId="0" fontId="14" fillId="6" borderId="0" xfId="33" applyFont="1" applyFill="1" applyAlignment="1">
      <alignment vertical="center"/>
    </xf>
    <xf numFmtId="43" fontId="16" fillId="6" borderId="0" xfId="33" applyNumberFormat="1" applyFont="1" applyFill="1"/>
    <xf numFmtId="0" fontId="14" fillId="6" borderId="38" xfId="33" applyFont="1" applyFill="1" applyBorder="1" applyAlignment="1">
      <alignment horizontal="center" vertical="center"/>
    </xf>
    <xf numFmtId="2" fontId="16" fillId="6" borderId="38" xfId="33" applyNumberFormat="1" applyFont="1" applyFill="1" applyBorder="1"/>
    <xf numFmtId="0" fontId="18" fillId="0" borderId="0" xfId="0" applyFont="1" applyBorder="1"/>
    <xf numFmtId="0" fontId="16" fillId="0" borderId="0" xfId="0" applyFont="1" applyBorder="1" applyAlignment="1"/>
    <xf numFmtId="0" fontId="18" fillId="14" borderId="0" xfId="49" applyFont="1" applyFill="1" applyBorder="1" applyAlignment="1">
      <alignment horizontal="center"/>
    </xf>
    <xf numFmtId="0" fontId="18" fillId="15" borderId="0" xfId="49" applyFont="1" applyFill="1" applyBorder="1" applyAlignment="1">
      <alignment horizontal="center"/>
    </xf>
    <xf numFmtId="0" fontId="18" fillId="0" borderId="0" xfId="49" applyFont="1" applyFill="1" applyBorder="1" applyAlignment="1">
      <alignment horizontal="center"/>
    </xf>
    <xf numFmtId="2" fontId="29" fillId="15" borderId="0" xfId="49" applyNumberFormat="1" applyFont="1" applyFill="1" applyBorder="1" applyAlignment="1">
      <alignment horizontal="center"/>
    </xf>
    <xf numFmtId="173" fontId="16" fillId="14" borderId="0" xfId="0" applyNumberFormat="1" applyFont="1" applyFill="1" applyBorder="1" applyAlignment="1">
      <alignment horizontal="center"/>
    </xf>
    <xf numFmtId="173" fontId="16" fillId="0" borderId="0" xfId="0" applyNumberFormat="1" applyFont="1" applyFill="1" applyBorder="1" applyAlignment="1">
      <alignment horizontal="center"/>
    </xf>
    <xf numFmtId="2" fontId="16" fillId="0" borderId="0" xfId="0" applyNumberFormat="1" applyFont="1" applyFill="1" applyBorder="1"/>
    <xf numFmtId="2" fontId="29" fillId="15" borderId="0" xfId="49" applyNumberFormat="1" applyFont="1" applyFill="1" applyBorder="1" applyAlignment="1">
      <alignment horizontal="left"/>
    </xf>
    <xf numFmtId="1" fontId="16" fillId="0" borderId="0" xfId="0" applyNumberFormat="1" applyFont="1" applyFill="1" applyBorder="1" applyAlignment="1"/>
    <xf numFmtId="0" fontId="18" fillId="0" borderId="0" xfId="0" applyFont="1" applyFill="1" applyBorder="1" applyAlignment="1">
      <alignment horizontal="center" vertical="center"/>
    </xf>
    <xf numFmtId="164" fontId="16" fillId="0" borderId="0" xfId="0" applyNumberFormat="1" applyFont="1" applyFill="1" applyBorder="1" applyAlignment="1">
      <alignment horizontal="center" vertical="center"/>
    </xf>
    <xf numFmtId="2" fontId="29" fillId="0" borderId="0" xfId="49" applyNumberFormat="1" applyFont="1" applyFill="1" applyBorder="1" applyAlignment="1">
      <alignment horizontal="center"/>
    </xf>
    <xf numFmtId="0" fontId="45" fillId="0" borderId="0" xfId="0" applyFont="1"/>
    <xf numFmtId="0" fontId="16" fillId="0" borderId="0" xfId="33" applyFont="1" applyFill="1" applyBorder="1"/>
    <xf numFmtId="0" fontId="16" fillId="0" borderId="0" xfId="33" applyFont="1" applyBorder="1"/>
    <xf numFmtId="3" fontId="16" fillId="0" borderId="0" xfId="0" applyNumberFormat="1" applyFont="1"/>
    <xf numFmtId="165" fontId="16" fillId="0" borderId="0" xfId="2" applyNumberFormat="1" applyFont="1" applyFill="1" applyBorder="1"/>
    <xf numFmtId="43" fontId="25" fillId="0" borderId="0" xfId="4" applyNumberFormat="1" applyFont="1" applyFill="1" applyBorder="1" applyAlignment="1">
      <alignment horizontal="left" vertical="center"/>
    </xf>
    <xf numFmtId="0" fontId="45" fillId="0" borderId="0" xfId="4" applyFont="1" applyFill="1" applyAlignment="1">
      <alignment vertical="center"/>
    </xf>
    <xf numFmtId="0" fontId="45" fillId="0" borderId="0" xfId="4" applyFont="1" applyFill="1" applyBorder="1" applyAlignment="1">
      <alignment vertical="center"/>
    </xf>
    <xf numFmtId="0" fontId="18" fillId="0" borderId="26" xfId="0" applyFont="1" applyFill="1" applyBorder="1" applyAlignment="1">
      <alignment horizontal="left" indent="1"/>
    </xf>
    <xf numFmtId="1" fontId="18" fillId="0" borderId="0" xfId="0" applyNumberFormat="1" applyFont="1" applyFill="1" applyBorder="1" applyAlignment="1">
      <alignment horizontal="center"/>
    </xf>
    <xf numFmtId="2" fontId="18" fillId="0" borderId="25" xfId="0" applyNumberFormat="1" applyFont="1" applyFill="1" applyBorder="1" applyAlignment="1">
      <alignment horizontal="center"/>
    </xf>
    <xf numFmtId="0" fontId="50" fillId="0" borderId="17" xfId="0" applyFont="1" applyBorder="1"/>
    <xf numFmtId="0" fontId="13" fillId="6" borderId="1" xfId="33" applyFont="1" applyFill="1" applyBorder="1" applyAlignment="1">
      <alignment vertical="center"/>
    </xf>
    <xf numFmtId="0" fontId="13" fillId="6" borderId="1" xfId="33" applyFont="1" applyFill="1" applyBorder="1" applyAlignment="1">
      <alignment horizontal="center" vertical="center" wrapText="1"/>
    </xf>
    <xf numFmtId="0" fontId="13" fillId="6" borderId="2" xfId="33" applyFont="1" applyFill="1" applyBorder="1" applyAlignment="1">
      <alignment horizontal="center" vertical="center"/>
    </xf>
    <xf numFmtId="0" fontId="13" fillId="6" borderId="39" xfId="33" applyFont="1" applyFill="1" applyBorder="1" applyAlignment="1">
      <alignment horizontal="center" vertical="center"/>
    </xf>
    <xf numFmtId="0" fontId="14" fillId="6" borderId="1" xfId="33" applyFont="1" applyFill="1" applyBorder="1" applyAlignment="1">
      <alignment horizontal="center" vertical="center" wrapText="1"/>
    </xf>
    <xf numFmtId="0" fontId="14" fillId="6" borderId="0" xfId="33" applyFont="1" applyFill="1" applyAlignment="1">
      <alignment horizontal="center" vertical="center" wrapText="1"/>
    </xf>
    <xf numFmtId="164" fontId="51" fillId="6" borderId="0" xfId="33" applyNumberFormat="1" applyFont="1" applyFill="1" applyAlignment="1">
      <alignment horizontal="center" vertical="center"/>
    </xf>
    <xf numFmtId="2" fontId="14" fillId="6" borderId="0" xfId="33" applyNumberFormat="1" applyFont="1" applyFill="1" applyAlignment="1">
      <alignment horizontal="center" vertical="center"/>
    </xf>
    <xf numFmtId="0" fontId="14" fillId="6" borderId="1" xfId="33" applyFont="1" applyFill="1" applyBorder="1" applyAlignment="1">
      <alignment vertical="center"/>
    </xf>
    <xf numFmtId="164" fontId="51" fillId="6" borderId="1" xfId="33" applyNumberFormat="1" applyFont="1" applyFill="1" applyBorder="1" applyAlignment="1">
      <alignment horizontal="center" vertical="center"/>
    </xf>
    <xf numFmtId="164" fontId="13" fillId="6" borderId="1" xfId="33" applyNumberFormat="1" applyFont="1" applyFill="1" applyBorder="1" applyAlignment="1">
      <alignment horizontal="center" vertical="center"/>
    </xf>
    <xf numFmtId="164" fontId="52" fillId="6" borderId="1" xfId="33" applyNumberFormat="1" applyFont="1" applyFill="1" applyBorder="1" applyAlignment="1">
      <alignment horizontal="center" vertical="center"/>
    </xf>
    <xf numFmtId="0" fontId="16" fillId="0" borderId="0" xfId="0" applyFont="1" applyAlignment="1"/>
    <xf numFmtId="0" fontId="16" fillId="0" borderId="17" xfId="0" applyFont="1" applyBorder="1" applyAlignment="1"/>
    <xf numFmtId="0" fontId="53" fillId="0" borderId="0" xfId="0" applyFont="1" applyAlignment="1"/>
    <xf numFmtId="0" fontId="25" fillId="6" borderId="0" xfId="37" applyFont="1" applyFill="1"/>
    <xf numFmtId="0" fontId="25" fillId="6" borderId="17" xfId="37" applyFont="1" applyFill="1" applyBorder="1"/>
    <xf numFmtId="0" fontId="25" fillId="6" borderId="0" xfId="37" applyFont="1" applyFill="1" applyBorder="1"/>
    <xf numFmtId="0" fontId="42" fillId="0" borderId="1" xfId="40" applyFont="1" applyBorder="1" applyAlignment="1"/>
    <xf numFmtId="0" fontId="42" fillId="0" borderId="0" xfId="40" applyFont="1" applyBorder="1" applyAlignment="1"/>
    <xf numFmtId="0" fontId="26" fillId="0" borderId="25" xfId="40" applyFont="1" applyFill="1" applyBorder="1" applyAlignment="1">
      <alignment horizontal="left"/>
    </xf>
    <xf numFmtId="0" fontId="26" fillId="0" borderId="0" xfId="40" applyFont="1" applyFill="1" applyBorder="1" applyAlignment="1">
      <alignment horizontal="left" wrapText="1"/>
    </xf>
    <xf numFmtId="0" fontId="26" fillId="0" borderId="0" xfId="40" applyFont="1" applyFill="1" applyBorder="1" applyAlignment="1">
      <alignment horizontal="left"/>
    </xf>
    <xf numFmtId="0" fontId="16" fillId="0" borderId="25" xfId="0" applyFont="1" applyFill="1" applyBorder="1"/>
    <xf numFmtId="0" fontId="16" fillId="0" borderId="17" xfId="48" applyFont="1" applyBorder="1"/>
    <xf numFmtId="0" fontId="18" fillId="0" borderId="17" xfId="48" applyFont="1" applyBorder="1"/>
    <xf numFmtId="164" fontId="16" fillId="0" borderId="17" xfId="48" applyNumberFormat="1" applyFont="1" applyBorder="1"/>
    <xf numFmtId="0" fontId="44" fillId="0" borderId="0" xfId="48" applyFont="1" applyBorder="1"/>
    <xf numFmtId="0" fontId="14" fillId="0" borderId="0" xfId="0" applyFont="1" applyFill="1" applyAlignment="1">
      <alignment vertical="center"/>
    </xf>
    <xf numFmtId="0" fontId="16" fillId="0" borderId="1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9" fillId="0" borderId="16" xfId="0" applyFont="1" applyBorder="1" applyAlignment="1">
      <alignment horizontal="right" vertical="center" wrapText="1"/>
    </xf>
    <xf numFmtId="0" fontId="19" fillId="0" borderId="16" xfId="0" applyFont="1" applyBorder="1" applyAlignment="1">
      <alignment vertical="center"/>
    </xf>
    <xf numFmtId="0" fontId="19" fillId="0" borderId="16" xfId="0" applyFont="1" applyBorder="1" applyAlignment="1">
      <alignment vertical="center" wrapText="1"/>
    </xf>
    <xf numFmtId="164" fontId="16" fillId="0" borderId="0" xfId="0" applyNumberFormat="1" applyFont="1" applyFill="1" applyBorder="1"/>
    <xf numFmtId="0" fontId="16" fillId="0" borderId="0" xfId="0" applyFont="1" applyFill="1" applyBorder="1" applyAlignment="1">
      <alignment horizontal="right"/>
    </xf>
    <xf numFmtId="0" fontId="45" fillId="0" borderId="1" xfId="0" applyFont="1" applyBorder="1"/>
    <xf numFmtId="3" fontId="18" fillId="0" borderId="0" xfId="0" applyNumberFormat="1" applyFont="1" applyFill="1" applyBorder="1" applyAlignment="1">
      <alignment horizontal="right"/>
    </xf>
    <xf numFmtId="0" fontId="16" fillId="0" borderId="17" xfId="0" applyFont="1" applyFill="1" applyBorder="1"/>
    <xf numFmtId="164" fontId="16" fillId="0" borderId="17" xfId="0" applyNumberFormat="1" applyFont="1" applyFill="1" applyBorder="1"/>
    <xf numFmtId="1" fontId="16" fillId="0" borderId="17" xfId="0" applyNumberFormat="1" applyFont="1" applyFill="1" applyBorder="1"/>
    <xf numFmtId="1" fontId="16" fillId="9" borderId="17" xfId="0" applyNumberFormat="1" applyFont="1" applyFill="1" applyBorder="1"/>
    <xf numFmtId="0" fontId="42" fillId="0" borderId="1" xfId="0" applyFont="1" applyBorder="1"/>
    <xf numFmtId="2" fontId="16" fillId="0" borderId="0" xfId="0" applyNumberFormat="1" applyFont="1" applyAlignment="1">
      <alignment horizontal="right" vertical="center" wrapText="1"/>
    </xf>
    <xf numFmtId="0" fontId="25" fillId="0" borderId="1" xfId="0" applyFont="1" applyFill="1" applyBorder="1" applyAlignment="1">
      <alignment horizontal="left"/>
    </xf>
    <xf numFmtId="2" fontId="16" fillId="0" borderId="1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horizontal="left" indent="1"/>
    </xf>
    <xf numFmtId="171" fontId="16" fillId="0" borderId="0" xfId="0" applyNumberFormat="1" applyFont="1"/>
    <xf numFmtId="0" fontId="14" fillId="0" borderId="23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18" fillId="6" borderId="0" xfId="0" applyFont="1" applyFill="1" applyBorder="1"/>
    <xf numFmtId="0" fontId="16" fillId="6" borderId="25" xfId="0" applyFont="1" applyFill="1" applyBorder="1"/>
    <xf numFmtId="2" fontId="16" fillId="6" borderId="25" xfId="0" applyNumberFormat="1" applyFont="1" applyFill="1" applyBorder="1"/>
    <xf numFmtId="2" fontId="16" fillId="0" borderId="25" xfId="0" applyNumberFormat="1" applyFont="1" applyBorder="1"/>
    <xf numFmtId="0" fontId="16" fillId="6" borderId="17" xfId="0" applyFont="1" applyFill="1" applyBorder="1"/>
    <xf numFmtId="2" fontId="16" fillId="6" borderId="17" xfId="0" applyNumberFormat="1" applyFont="1" applyFill="1" applyBorder="1"/>
    <xf numFmtId="2" fontId="16" fillId="0" borderId="17" xfId="0" applyNumberFormat="1" applyFont="1" applyBorder="1"/>
    <xf numFmtId="2" fontId="16" fillId="6" borderId="0" xfId="0" applyNumberFormat="1" applyFont="1" applyFill="1"/>
    <xf numFmtId="4" fontId="16" fillId="0" borderId="0" xfId="0" applyNumberFormat="1" applyFont="1"/>
    <xf numFmtId="0" fontId="36" fillId="0" borderId="29" xfId="6" applyFont="1" applyBorder="1"/>
    <xf numFmtId="0" fontId="16" fillId="0" borderId="17" xfId="6" applyFont="1" applyBorder="1"/>
    <xf numFmtId="0" fontId="16" fillId="0" borderId="0" xfId="6" applyFont="1" applyAlignment="1">
      <alignment vertical="center" wrapText="1"/>
    </xf>
    <xf numFmtId="1" fontId="26" fillId="0" borderId="0" xfId="6" applyNumberFormat="1" applyFont="1" applyAlignment="1">
      <alignment horizontal="center" vertical="center" wrapText="1"/>
    </xf>
    <xf numFmtId="1" fontId="26" fillId="0" borderId="23" xfId="6" applyNumberFormat="1" applyFont="1" applyBorder="1" applyAlignment="1">
      <alignment horizontal="center" vertical="center" wrapText="1"/>
    </xf>
    <xf numFmtId="0" fontId="18" fillId="0" borderId="17" xfId="16" applyFont="1" applyFill="1" applyBorder="1" applyAlignment="1">
      <alignment vertical="top" wrapText="1"/>
    </xf>
    <xf numFmtId="0" fontId="18" fillId="0" borderId="17" xfId="16" applyFont="1" applyFill="1" applyBorder="1" applyAlignment="1">
      <alignment horizontal="right" vertical="top" wrapText="1"/>
    </xf>
    <xf numFmtId="0" fontId="18" fillId="0" borderId="17" xfId="16" applyFont="1" applyFill="1" applyBorder="1" applyAlignment="1">
      <alignment wrapText="1"/>
    </xf>
    <xf numFmtId="0" fontId="18" fillId="0" borderId="17" xfId="16" applyFont="1" applyFill="1" applyBorder="1" applyAlignment="1">
      <alignment horizontal="right" wrapText="1"/>
    </xf>
    <xf numFmtId="0" fontId="29" fillId="0" borderId="0" xfId="16" applyFont="1" applyFill="1" applyBorder="1"/>
    <xf numFmtId="3" fontId="16" fillId="0" borderId="0" xfId="16" applyNumberFormat="1" applyFont="1" applyFill="1" applyBorder="1" applyProtection="1">
      <protection locked="0"/>
    </xf>
    <xf numFmtId="0" fontId="25" fillId="0" borderId="0" xfId="16" applyFont="1" applyFill="1" applyBorder="1"/>
    <xf numFmtId="0" fontId="16" fillId="0" borderId="0" xfId="0" applyFont="1" applyAlignment="1">
      <alignment horizontal="right"/>
    </xf>
    <xf numFmtId="0" fontId="25" fillId="0" borderId="0" xfId="0" applyFont="1" applyAlignment="1">
      <alignment wrapText="1"/>
    </xf>
    <xf numFmtId="9" fontId="29" fillId="0" borderId="0" xfId="2" applyFont="1"/>
    <xf numFmtId="9" fontId="25" fillId="0" borderId="0" xfId="2" applyFont="1"/>
    <xf numFmtId="0" fontId="16" fillId="0" borderId="0" xfId="0" applyFont="1" applyAlignment="1">
      <alignment horizontal="right" indent="1"/>
    </xf>
    <xf numFmtId="3" fontId="29" fillId="0" borderId="0" xfId="16" applyNumberFormat="1" applyFont="1" applyFill="1" applyBorder="1"/>
    <xf numFmtId="3" fontId="55" fillId="0" borderId="0" xfId="16" applyNumberFormat="1" applyFont="1" applyFill="1" applyBorder="1" applyProtection="1">
      <protection locked="0"/>
    </xf>
    <xf numFmtId="3" fontId="25" fillId="0" borderId="0" xfId="16" applyNumberFormat="1" applyFont="1" applyFill="1" applyBorder="1" applyProtection="1">
      <protection locked="0"/>
    </xf>
    <xf numFmtId="3" fontId="25" fillId="0" borderId="0" xfId="16" applyNumberFormat="1" applyFont="1" applyFill="1" applyBorder="1"/>
    <xf numFmtId="0" fontId="14" fillId="2" borderId="5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 indent="1"/>
    </xf>
    <xf numFmtId="164" fontId="13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 indent="1"/>
    </xf>
    <xf numFmtId="164" fontId="14" fillId="2" borderId="0" xfId="0" applyNumberFormat="1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 indent="1"/>
    </xf>
    <xf numFmtId="164" fontId="14" fillId="0" borderId="1" xfId="0" applyNumberFormat="1" applyFont="1" applyBorder="1" applyAlignment="1">
      <alignment horizontal="center" vertical="center" wrapText="1"/>
    </xf>
    <xf numFmtId="0" fontId="45" fillId="0" borderId="1" xfId="0" applyFont="1" applyBorder="1" applyAlignment="1">
      <alignment vertical="center" wrapText="1"/>
    </xf>
    <xf numFmtId="164" fontId="13" fillId="8" borderId="0" xfId="0" applyNumberFormat="1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64" fontId="13" fillId="8" borderId="1" xfId="0" applyNumberFormat="1" applyFont="1" applyFill="1" applyBorder="1" applyAlignment="1">
      <alignment horizontal="center" vertical="center"/>
    </xf>
    <xf numFmtId="164" fontId="13" fillId="7" borderId="0" xfId="0" applyNumberFormat="1" applyFont="1" applyFill="1" applyAlignment="1">
      <alignment horizontal="center" vertical="center"/>
    </xf>
    <xf numFmtId="164" fontId="13" fillId="7" borderId="0" xfId="0" applyNumberFormat="1" applyFont="1" applyFill="1" applyAlignment="1">
      <alignment horizontal="center" vertical="center" wrapText="1"/>
    </xf>
    <xf numFmtId="164" fontId="13" fillId="7" borderId="1" xfId="0" applyNumberFormat="1" applyFont="1" applyFill="1" applyBorder="1" applyAlignment="1">
      <alignment horizontal="center" vertical="center"/>
    </xf>
    <xf numFmtId="164" fontId="13" fillId="7" borderId="1" xfId="0" applyNumberFormat="1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34" fillId="0" borderId="0" xfId="0" applyNumberFormat="1" applyFont="1" applyFill="1"/>
    <xf numFmtId="10" fontId="16" fillId="0" borderId="0" xfId="0" applyNumberFormat="1" applyFont="1" applyFill="1"/>
    <xf numFmtId="0" fontId="25" fillId="0" borderId="0" xfId="0" applyFont="1" applyFill="1"/>
    <xf numFmtId="0" fontId="18" fillId="0" borderId="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8" fillId="0" borderId="23" xfId="0" applyFont="1" applyBorder="1"/>
    <xf numFmtId="0" fontId="45" fillId="0" borderId="1" xfId="0" applyFont="1" applyFill="1" applyBorder="1" applyAlignment="1">
      <alignment vertical="center"/>
    </xf>
    <xf numFmtId="0" fontId="14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3" fontId="14" fillId="0" borderId="0" xfId="0" applyNumberFormat="1" applyFont="1" applyFill="1" applyAlignment="1">
      <alignment horizontal="center" vertical="center"/>
    </xf>
    <xf numFmtId="9" fontId="14" fillId="0" borderId="0" xfId="0" applyNumberFormat="1" applyFont="1" applyFill="1" applyAlignment="1">
      <alignment horizontal="center" vertical="center"/>
    </xf>
    <xf numFmtId="0" fontId="13" fillId="0" borderId="2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16" fillId="0" borderId="0" xfId="0" applyFont="1" applyFill="1" applyAlignment="1">
      <alignment horizontal="right"/>
    </xf>
    <xf numFmtId="3" fontId="14" fillId="0" borderId="0" xfId="0" applyNumberFormat="1" applyFont="1" applyFill="1" applyAlignment="1">
      <alignment horizontal="right" vertical="center"/>
    </xf>
    <xf numFmtId="0" fontId="14" fillId="0" borderId="0" xfId="0" applyFont="1" applyFill="1" applyAlignment="1">
      <alignment horizontal="left" vertical="center" indent="2"/>
    </xf>
    <xf numFmtId="9" fontId="14" fillId="0" borderId="0" xfId="0" applyNumberFormat="1" applyFont="1" applyFill="1" applyAlignment="1">
      <alignment horizontal="right" vertical="center"/>
    </xf>
    <xf numFmtId="0" fontId="14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right" vertical="center"/>
    </xf>
    <xf numFmtId="9" fontId="14" fillId="0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29" fillId="0" borderId="1" xfId="0" applyFont="1" applyFill="1" applyBorder="1"/>
    <xf numFmtId="170" fontId="29" fillId="0" borderId="1" xfId="0" applyNumberFormat="1" applyFont="1" applyFill="1" applyBorder="1" applyAlignment="1"/>
    <xf numFmtId="0" fontId="29" fillId="0" borderId="0" xfId="0" applyFont="1" applyFill="1"/>
    <xf numFmtId="164" fontId="25" fillId="0" borderId="0" xfId="0" applyNumberFormat="1" applyFont="1" applyFill="1"/>
    <xf numFmtId="10" fontId="25" fillId="0" borderId="0" xfId="0" applyNumberFormat="1" applyFont="1" applyFill="1"/>
    <xf numFmtId="0" fontId="25" fillId="0" borderId="1" xfId="0" applyFont="1" applyFill="1" applyBorder="1"/>
    <xf numFmtId="0" fontId="25" fillId="0" borderId="0" xfId="0" applyFont="1" applyFill="1" applyBorder="1"/>
    <xf numFmtId="164" fontId="25" fillId="0" borderId="0" xfId="0" applyNumberFormat="1" applyFont="1" applyFill="1" applyBorder="1"/>
    <xf numFmtId="164" fontId="25" fillId="0" borderId="0" xfId="0" applyNumberFormat="1" applyFont="1" applyFill="1" applyBorder="1" applyAlignment="1"/>
    <xf numFmtId="0" fontId="45" fillId="0" borderId="0" xfId="0" applyFont="1" applyBorder="1" applyAlignment="1">
      <alignment horizontal="center" vertical="center" wrapText="1"/>
    </xf>
    <xf numFmtId="12" fontId="29" fillId="0" borderId="1" xfId="9" applyNumberFormat="1" applyFont="1" applyFill="1" applyBorder="1" applyAlignment="1"/>
    <xf numFmtId="17" fontId="29" fillId="0" borderId="1" xfId="9" applyNumberFormat="1" applyFont="1" applyFill="1" applyBorder="1" applyAlignment="1"/>
    <xf numFmtId="17" fontId="29" fillId="0" borderId="1" xfId="3" applyNumberFormat="1" applyFont="1" applyFill="1" applyBorder="1" applyAlignment="1">
      <alignment horizontal="right"/>
    </xf>
    <xf numFmtId="166" fontId="16" fillId="0" borderId="0" xfId="0" applyNumberFormat="1" applyFont="1"/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4" xfId="0" applyFont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16" fillId="0" borderId="0" xfId="0" applyFont="1" applyFill="1" applyAlignment="1">
      <alignment vertical="center" wrapText="1"/>
    </xf>
    <xf numFmtId="0" fontId="16" fillId="0" borderId="4" xfId="0" applyFont="1" applyFill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2" fontId="16" fillId="0" borderId="12" xfId="0" applyNumberFormat="1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3" xfId="0" applyFont="1" applyBorder="1" applyAlignment="1">
      <alignment horizontal="right" vertical="center" wrapText="1"/>
    </xf>
    <xf numFmtId="0" fontId="57" fillId="0" borderId="0" xfId="0" applyFont="1"/>
    <xf numFmtId="0" fontId="58" fillId="0" borderId="0" xfId="1" applyFont="1"/>
    <xf numFmtId="0" fontId="59" fillId="5" borderId="18" xfId="0" applyFont="1" applyFill="1" applyBorder="1" applyAlignment="1">
      <alignment horizontal="center" vertical="center"/>
    </xf>
    <xf numFmtId="0" fontId="59" fillId="4" borderId="19" xfId="0" applyFont="1" applyFill="1" applyBorder="1" applyAlignment="1">
      <alignment horizontal="center" vertical="center"/>
    </xf>
    <xf numFmtId="0" fontId="59" fillId="5" borderId="19" xfId="0" applyFont="1" applyFill="1" applyBorder="1" applyAlignment="1">
      <alignment horizontal="center" vertical="center"/>
    </xf>
    <xf numFmtId="0" fontId="60" fillId="5" borderId="19" xfId="0" applyFont="1" applyFill="1" applyBorder="1" applyAlignment="1">
      <alignment horizontal="center" vertical="center"/>
    </xf>
    <xf numFmtId="0" fontId="26" fillId="0" borderId="0" xfId="30" applyNumberFormat="1" applyFont="1" applyFill="1" applyBorder="1" applyAlignment="1" applyProtection="1"/>
    <xf numFmtId="0" fontId="61" fillId="12" borderId="21" xfId="30" applyFont="1" applyFill="1" applyBorder="1" applyAlignment="1">
      <alignment vertical="center"/>
    </xf>
    <xf numFmtId="0" fontId="61" fillId="12" borderId="34" xfId="30" applyFont="1" applyFill="1" applyBorder="1" applyAlignment="1">
      <alignment vertical="center"/>
    </xf>
    <xf numFmtId="0" fontId="26" fillId="13" borderId="21" xfId="30" applyFont="1" applyFill="1" applyBorder="1" applyAlignment="1">
      <alignment vertical="center"/>
    </xf>
    <xf numFmtId="0" fontId="36" fillId="13" borderId="34" xfId="30" applyFont="1" applyFill="1" applyBorder="1" applyAlignment="1">
      <alignment horizontal="center" vertical="center"/>
    </xf>
    <xf numFmtId="0" fontId="36" fillId="13" borderId="34" xfId="31" applyFont="1" applyFill="1" applyBorder="1" applyAlignment="1">
      <alignment horizontal="center" vertical="center"/>
    </xf>
    <xf numFmtId="0" fontId="26" fillId="13" borderId="22" xfId="30" applyFont="1" applyFill="1" applyBorder="1" applyAlignment="1">
      <alignment vertical="center"/>
    </xf>
    <xf numFmtId="0" fontId="36" fillId="13" borderId="35" xfId="30" applyFont="1" applyFill="1" applyBorder="1" applyAlignment="1">
      <alignment horizontal="center" vertical="center"/>
    </xf>
    <xf numFmtId="0" fontId="36" fillId="13" borderId="35" xfId="31" applyFont="1" applyFill="1" applyBorder="1" applyAlignment="1">
      <alignment horizontal="center" vertical="center"/>
    </xf>
    <xf numFmtId="0" fontId="29" fillId="13" borderId="36" xfId="15" applyFont="1" applyFill="1" applyBorder="1" applyAlignment="1" applyProtection="1">
      <alignment horizontal="left" vertical="center"/>
      <protection locked="0"/>
    </xf>
    <xf numFmtId="0" fontId="29" fillId="13" borderId="36" xfId="15" applyFont="1" applyFill="1" applyBorder="1" applyAlignment="1" applyProtection="1">
      <alignment horizontal="center" vertical="center"/>
      <protection locked="0"/>
    </xf>
    <xf numFmtId="4" fontId="29" fillId="13" borderId="37" xfId="15" applyNumberFormat="1" applyFont="1" applyFill="1" applyBorder="1" applyAlignment="1" applyProtection="1">
      <alignment horizontal="right" vertical="center"/>
      <protection locked="0"/>
    </xf>
    <xf numFmtId="0" fontId="29" fillId="13" borderId="22" xfId="15" applyFont="1" applyFill="1" applyBorder="1" applyAlignment="1" applyProtection="1">
      <alignment horizontal="left" vertical="center"/>
      <protection locked="0"/>
    </xf>
    <xf numFmtId="0" fontId="29" fillId="13" borderId="22" xfId="15" applyFont="1" applyFill="1" applyBorder="1" applyAlignment="1" applyProtection="1">
      <alignment horizontal="center" vertical="center"/>
      <protection locked="0"/>
    </xf>
    <xf numFmtId="165" fontId="29" fillId="13" borderId="35" xfId="32" applyNumberFormat="1" applyFont="1" applyFill="1" applyBorder="1" applyAlignment="1" applyProtection="1">
      <alignment horizontal="right" vertical="center"/>
      <protection locked="0"/>
    </xf>
    <xf numFmtId="0" fontId="36" fillId="9" borderId="21" xfId="30" applyFont="1" applyFill="1" applyBorder="1" applyAlignment="1">
      <alignment vertical="center"/>
    </xf>
    <xf numFmtId="0" fontId="29" fillId="9" borderId="21" xfId="15" applyFont="1" applyFill="1" applyBorder="1" applyAlignment="1" applyProtection="1">
      <alignment horizontal="center" vertical="center"/>
      <protection locked="0"/>
    </xf>
    <xf numFmtId="0" fontId="25" fillId="0" borderId="21" xfId="15" applyFont="1" applyFill="1" applyBorder="1" applyAlignment="1" applyProtection="1">
      <alignment horizontal="center" vertical="center"/>
      <protection locked="0"/>
    </xf>
    <xf numFmtId="0" fontId="25" fillId="0" borderId="21" xfId="7" applyFont="1" applyFill="1" applyBorder="1" applyAlignment="1">
      <alignment horizontal="center" vertical="center" wrapText="1"/>
    </xf>
    <xf numFmtId="0" fontId="36" fillId="9" borderId="21" xfId="30" applyFont="1" applyFill="1" applyBorder="1" applyAlignment="1">
      <alignment horizontal="left" vertical="center"/>
    </xf>
    <xf numFmtId="0" fontId="26" fillId="0" borderId="21" xfId="33" applyFont="1" applyFill="1" applyBorder="1" applyAlignment="1">
      <alignment horizontal="center"/>
    </xf>
    <xf numFmtId="0" fontId="36" fillId="0" borderId="21" xfId="33" applyFont="1" applyBorder="1" applyAlignment="1">
      <alignment horizontal="center"/>
    </xf>
    <xf numFmtId="0" fontId="25" fillId="0" borderId="22" xfId="15" applyFont="1" applyFill="1" applyBorder="1" applyAlignment="1" applyProtection="1">
      <alignment horizontal="center" vertical="center"/>
      <protection locked="0"/>
    </xf>
    <xf numFmtId="0" fontId="36" fillId="9" borderId="34" xfId="33" applyFont="1" applyFill="1" applyBorder="1" applyAlignment="1">
      <alignment horizontal="left" indent="1"/>
    </xf>
    <xf numFmtId="0" fontId="29" fillId="0" borderId="21" xfId="15" applyFont="1" applyFill="1" applyBorder="1" applyAlignment="1" applyProtection="1">
      <alignment horizontal="center" vertical="center"/>
      <protection locked="0"/>
    </xf>
    <xf numFmtId="0" fontId="26" fillId="0" borderId="21" xfId="8" applyFont="1" applyFill="1" applyBorder="1" applyAlignment="1">
      <alignment horizontal="left" vertical="center" indent="3"/>
    </xf>
    <xf numFmtId="0" fontId="25" fillId="0" borderId="35" xfId="15" applyFont="1" applyFill="1" applyBorder="1" applyAlignment="1" applyProtection="1">
      <alignment horizontal="center" vertical="center"/>
      <protection locked="0"/>
    </xf>
    <xf numFmtId="0" fontId="29" fillId="13" borderId="37" xfId="15" applyFont="1" applyFill="1" applyBorder="1" applyAlignment="1" applyProtection="1">
      <alignment horizontal="center" vertical="center"/>
      <protection locked="0"/>
    </xf>
    <xf numFmtId="0" fontId="29" fillId="13" borderId="21" xfId="15" applyFont="1" applyFill="1" applyBorder="1" applyAlignment="1" applyProtection="1">
      <alignment horizontal="left" vertical="center"/>
      <protection locked="0"/>
    </xf>
    <xf numFmtId="0" fontId="29" fillId="13" borderId="34" xfId="15" applyFont="1" applyFill="1" applyBorder="1" applyAlignment="1" applyProtection="1">
      <alignment horizontal="center" vertical="center"/>
      <protection locked="0"/>
    </xf>
    <xf numFmtId="0" fontId="26" fillId="0" borderId="38" xfId="31" applyFont="1" applyFill="1" applyBorder="1"/>
    <xf numFmtId="0" fontId="26" fillId="0" borderId="38" xfId="30" applyNumberFormat="1" applyFont="1" applyFill="1" applyBorder="1" applyAlignment="1" applyProtection="1"/>
    <xf numFmtId="166" fontId="26" fillId="0" borderId="38" xfId="30" applyNumberFormat="1" applyFont="1" applyFill="1" applyBorder="1" applyAlignment="1" applyProtection="1">
      <alignment horizontal="right" vertical="center"/>
    </xf>
    <xf numFmtId="4" fontId="36" fillId="9" borderId="34" xfId="30" applyNumberFormat="1" applyFont="1" applyFill="1" applyBorder="1" applyAlignment="1" applyProtection="1">
      <alignment horizontal="right" vertical="center"/>
    </xf>
    <xf numFmtId="4" fontId="25" fillId="0" borderId="34" xfId="30" applyNumberFormat="1" applyFont="1" applyFill="1" applyBorder="1" applyAlignment="1" applyProtection="1">
      <alignment horizontal="right" vertical="center"/>
    </xf>
    <xf numFmtId="4" fontId="26" fillId="0" borderId="34" xfId="30" applyNumberFormat="1" applyFont="1" applyFill="1" applyBorder="1" applyAlignment="1" applyProtection="1">
      <alignment horizontal="right" vertical="center"/>
    </xf>
    <xf numFmtId="4" fontId="25" fillId="0" borderId="34" xfId="30" applyNumberFormat="1" applyFont="1" applyFill="1" applyBorder="1" applyAlignment="1">
      <alignment horizontal="right" vertical="center"/>
    </xf>
    <xf numFmtId="4" fontId="26" fillId="0" borderId="34" xfId="30" applyNumberFormat="1" applyFont="1" applyFill="1" applyBorder="1" applyAlignment="1">
      <alignment horizontal="right" vertical="center"/>
    </xf>
    <xf numFmtId="4" fontId="29" fillId="13" borderId="36" xfId="15" applyNumberFormat="1" applyFont="1" applyFill="1" applyBorder="1" applyAlignment="1" applyProtection="1">
      <alignment horizontal="right" vertical="center"/>
      <protection locked="0"/>
    </xf>
    <xf numFmtId="10" fontId="29" fillId="13" borderId="22" xfId="32" applyNumberFormat="1" applyFont="1" applyFill="1" applyBorder="1" applyAlignment="1" applyProtection="1">
      <alignment horizontal="right" vertical="center"/>
      <protection locked="0"/>
    </xf>
    <xf numFmtId="4" fontId="29" fillId="9" borderId="34" xfId="30" applyNumberFormat="1" applyFont="1" applyFill="1" applyBorder="1" applyAlignment="1" applyProtection="1">
      <alignment horizontal="right" vertical="center"/>
    </xf>
    <xf numFmtId="4" fontId="29" fillId="14" borderId="37" xfId="15" applyNumberFormat="1" applyFont="1" applyFill="1" applyBorder="1" applyAlignment="1" applyProtection="1">
      <alignment horizontal="right" vertical="center"/>
      <protection locked="0"/>
    </xf>
    <xf numFmtId="10" fontId="29" fillId="13" borderId="34" xfId="32" applyNumberFormat="1" applyFont="1" applyFill="1" applyBorder="1" applyAlignment="1" applyProtection="1">
      <alignment horizontal="right" vertical="center"/>
      <protection locked="0"/>
    </xf>
    <xf numFmtId="0" fontId="26" fillId="0" borderId="34" xfId="33" applyFont="1" applyFill="1" applyBorder="1" applyAlignment="1">
      <alignment horizontal="left" vertical="center" indent="3"/>
    </xf>
    <xf numFmtId="0" fontId="26" fillId="0" borderId="34" xfId="33" applyFont="1" applyBorder="1" applyAlignment="1">
      <alignment horizontal="left" vertical="center" indent="5"/>
    </xf>
    <xf numFmtId="0" fontId="26" fillId="0" borderId="34" xfId="33" applyFont="1" applyFill="1" applyBorder="1" applyAlignment="1">
      <alignment horizontal="left" vertical="center" indent="7"/>
    </xf>
    <xf numFmtId="0" fontId="26" fillId="0" borderId="34" xfId="33" applyFont="1" applyBorder="1" applyAlignment="1">
      <alignment horizontal="left" vertical="center" indent="7"/>
    </xf>
    <xf numFmtId="0" fontId="26" fillId="0" borderId="34" xfId="33" applyFont="1" applyBorder="1" applyAlignment="1">
      <alignment horizontal="left" vertical="center" indent="3"/>
    </xf>
    <xf numFmtId="0" fontId="36" fillId="0" borderId="34" xfId="33" applyFont="1" applyFill="1" applyBorder="1" applyAlignment="1">
      <alignment horizontal="left" vertical="center" indent="2"/>
    </xf>
    <xf numFmtId="0" fontId="36" fillId="0" borderId="34" xfId="33" applyFont="1" applyBorder="1" applyAlignment="1">
      <alignment horizontal="left" vertical="center" indent="2"/>
    </xf>
    <xf numFmtId="0" fontId="36" fillId="9" borderId="34" xfId="33" applyFont="1" applyFill="1" applyBorder="1" applyAlignment="1">
      <alignment horizontal="left" vertical="center"/>
    </xf>
    <xf numFmtId="0" fontId="26" fillId="0" borderId="34" xfId="33" applyFont="1" applyBorder="1" applyAlignment="1">
      <alignment horizontal="left" vertical="center" indent="2"/>
    </xf>
    <xf numFmtId="0" fontId="36" fillId="9" borderId="34" xfId="33" applyFont="1" applyFill="1" applyBorder="1" applyAlignment="1">
      <alignment horizontal="left" vertical="center" indent="1"/>
    </xf>
    <xf numFmtId="0" fontId="26" fillId="0" borderId="34" xfId="33" applyFont="1" applyFill="1" applyBorder="1" applyAlignment="1">
      <alignment horizontal="left" vertical="center" indent="2"/>
    </xf>
    <xf numFmtId="0" fontId="26" fillId="0" borderId="35" xfId="33" applyFont="1" applyFill="1" applyBorder="1" applyAlignment="1">
      <alignment horizontal="left" vertical="center" indent="2"/>
    </xf>
    <xf numFmtId="0" fontId="26" fillId="0" borderId="34" xfId="33" applyFont="1" applyFill="1" applyBorder="1" applyAlignment="1">
      <alignment horizontal="left" vertical="center" wrapText="1" indent="3"/>
    </xf>
    <xf numFmtId="0" fontId="26" fillId="0" borderId="34" xfId="33" applyFont="1" applyBorder="1" applyAlignment="1">
      <alignment horizontal="left" vertical="center" wrapText="1" indent="3"/>
    </xf>
    <xf numFmtId="0" fontId="26" fillId="0" borderId="34" xfId="33" applyFont="1" applyBorder="1" applyAlignment="1">
      <alignment horizontal="left" vertical="center" wrapText="1" indent="2"/>
    </xf>
    <xf numFmtId="0" fontId="29" fillId="13" borderId="35" xfId="31" applyFont="1" applyFill="1" applyBorder="1" applyAlignment="1">
      <alignment horizontal="center" vertical="center"/>
    </xf>
    <xf numFmtId="3" fontId="18" fillId="0" borderId="0" xfId="3" applyNumberFormat="1" applyFont="1" applyFill="1" applyBorder="1" applyAlignment="1">
      <alignment horizontal="right" vertical="center"/>
    </xf>
    <xf numFmtId="3" fontId="14" fillId="0" borderId="0" xfId="3" applyNumberFormat="1" applyFont="1" applyFill="1" applyBorder="1" applyAlignment="1">
      <alignment horizontal="right" vertical="center"/>
    </xf>
    <xf numFmtId="3" fontId="14" fillId="6" borderId="0" xfId="3" applyNumberFormat="1" applyFont="1" applyFill="1" applyBorder="1" applyAlignment="1">
      <alignment horizontal="right" vertical="center"/>
    </xf>
    <xf numFmtId="3" fontId="18" fillId="0" borderId="17" xfId="3" applyNumberFormat="1" applyFont="1" applyFill="1" applyBorder="1" applyAlignment="1">
      <alignment horizontal="right" vertical="center"/>
    </xf>
    <xf numFmtId="3" fontId="18" fillId="6" borderId="17" xfId="3" applyNumberFormat="1" applyFont="1" applyFill="1" applyBorder="1" applyAlignment="1">
      <alignment horizontal="right" vertical="center"/>
    </xf>
    <xf numFmtId="3" fontId="14" fillId="0" borderId="0" xfId="3" applyNumberFormat="1" applyFont="1" applyFill="1" applyBorder="1" applyAlignment="1">
      <alignment vertical="center"/>
    </xf>
    <xf numFmtId="3" fontId="16" fillId="0" borderId="0" xfId="3" applyNumberFormat="1" applyFont="1" applyFill="1" applyBorder="1" applyAlignment="1">
      <alignment horizontal="right"/>
    </xf>
    <xf numFmtId="164" fontId="16" fillId="0" borderId="17" xfId="0" applyNumberFormat="1" applyFont="1" applyBorder="1"/>
    <xf numFmtId="2" fontId="14" fillId="6" borderId="0" xfId="0" applyNumberFormat="1" applyFont="1" applyFill="1" applyAlignment="1">
      <alignment horizontal="right" vertical="center"/>
    </xf>
    <xf numFmtId="2" fontId="14" fillId="6" borderId="0" xfId="0" applyNumberFormat="1" applyFont="1" applyFill="1" applyAlignment="1">
      <alignment horizontal="right" vertical="center" wrapText="1"/>
    </xf>
    <xf numFmtId="0" fontId="20" fillId="0" borderId="0" xfId="0" applyFont="1" applyBorder="1"/>
    <xf numFmtId="0" fontId="42" fillId="0" borderId="1" xfId="0" applyFont="1" applyBorder="1" applyAlignment="1"/>
    <xf numFmtId="0" fontId="25" fillId="0" borderId="0" xfId="0" applyFont="1" applyBorder="1" applyAlignment="1">
      <alignment horizontal="center" vertical="center" wrapText="1"/>
    </xf>
    <xf numFmtId="3" fontId="29" fillId="0" borderId="0" xfId="0" applyNumberFormat="1" applyFont="1" applyBorder="1"/>
    <xf numFmtId="0" fontId="25" fillId="0" borderId="0" xfId="0" applyFont="1" applyBorder="1"/>
    <xf numFmtId="3" fontId="25" fillId="0" borderId="0" xfId="0" applyNumberFormat="1" applyFont="1" applyBorder="1"/>
    <xf numFmtId="3" fontId="25" fillId="0" borderId="0" xfId="0" applyNumberFormat="1" applyFont="1" applyFill="1" applyBorder="1"/>
    <xf numFmtId="164" fontId="16" fillId="0" borderId="0" xfId="0" applyNumberFormat="1" applyFont="1" applyBorder="1" applyAlignment="1">
      <alignment horizontal="center"/>
    </xf>
    <xf numFmtId="12" fontId="29" fillId="0" borderId="0" xfId="9" applyNumberFormat="1" applyFont="1" applyFill="1" applyBorder="1" applyAlignment="1"/>
    <xf numFmtId="17" fontId="29" fillId="0" borderId="0" xfId="9" applyNumberFormat="1" applyFont="1" applyFill="1" applyBorder="1" applyAlignment="1"/>
    <xf numFmtId="164" fontId="29" fillId="0" borderId="0" xfId="0" applyNumberFormat="1" applyFont="1" applyFill="1"/>
    <xf numFmtId="164" fontId="18" fillId="0" borderId="0" xfId="0" applyNumberFormat="1" applyFont="1"/>
    <xf numFmtId="164" fontId="29" fillId="0" borderId="0" xfId="0" applyNumberFormat="1" applyFont="1" applyFill="1" applyBorder="1" applyAlignment="1"/>
    <xf numFmtId="173" fontId="16" fillId="0" borderId="0" xfId="0" applyNumberFormat="1" applyFont="1" applyBorder="1"/>
    <xf numFmtId="1" fontId="16" fillId="0" borderId="0" xfId="0" applyNumberFormat="1" applyFont="1" applyBorder="1" applyAlignment="1"/>
    <xf numFmtId="0" fontId="45" fillId="0" borderId="0" xfId="0" applyFont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42" fillId="0" borderId="0" xfId="38" applyFont="1" applyBorder="1" applyAlignment="1">
      <alignment horizontal="left"/>
    </xf>
    <xf numFmtId="0" fontId="16" fillId="0" borderId="1" xfId="38" applyFont="1" applyBorder="1"/>
    <xf numFmtId="164" fontId="16" fillId="0" borderId="0" xfId="38" applyNumberFormat="1" applyFont="1"/>
    <xf numFmtId="0" fontId="16" fillId="0" borderId="0" xfId="0" applyFont="1" applyAlignment="1">
      <alignment horizontal="center" vertical="center"/>
    </xf>
    <xf numFmtId="2" fontId="19" fillId="0" borderId="23" xfId="0" applyNumberFormat="1" applyFont="1" applyBorder="1" applyAlignment="1">
      <alignment horizontal="center" vertical="center"/>
    </xf>
    <xf numFmtId="164" fontId="18" fillId="0" borderId="0" xfId="0" applyNumberFormat="1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64" fontId="18" fillId="0" borderId="1" xfId="0" applyNumberFormat="1" applyFont="1" applyBorder="1" applyAlignment="1">
      <alignment horizontal="right" vertical="center"/>
    </xf>
    <xf numFmtId="2" fontId="14" fillId="0" borderId="10" xfId="0" applyNumberFormat="1" applyFont="1" applyFill="1" applyBorder="1" applyAlignment="1">
      <alignment horizontal="center" vertical="center" wrapText="1"/>
    </xf>
    <xf numFmtId="2" fontId="14" fillId="0" borderId="10" xfId="0" applyNumberFormat="1" applyFont="1" applyFill="1" applyBorder="1" applyAlignment="1">
      <alignment vertical="center"/>
    </xf>
    <xf numFmtId="0" fontId="18" fillId="0" borderId="0" xfId="48" applyFont="1" applyFill="1"/>
    <xf numFmtId="164" fontId="18" fillId="0" borderId="0" xfId="48" applyNumberFormat="1" applyFont="1" applyFill="1"/>
    <xf numFmtId="0" fontId="16" fillId="0" borderId="0" xfId="48" applyFont="1" applyFill="1"/>
    <xf numFmtId="0" fontId="18" fillId="0" borderId="17" xfId="48" applyFont="1" applyFill="1" applyBorder="1"/>
    <xf numFmtId="0" fontId="62" fillId="0" borderId="1" xfId="0" applyFont="1" applyBorder="1" applyAlignment="1">
      <alignment vertical="center"/>
    </xf>
    <xf numFmtId="0" fontId="63" fillId="2" borderId="2" xfId="0" applyFont="1" applyFill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4" fillId="0" borderId="14" xfId="0" applyFont="1" applyBorder="1" applyAlignment="1">
      <alignment horizontal="center" vertical="center"/>
    </xf>
    <xf numFmtId="0" fontId="65" fillId="0" borderId="3" xfId="0" applyFont="1" applyBorder="1" applyAlignment="1">
      <alignment vertical="center" wrapText="1"/>
    </xf>
    <xf numFmtId="1" fontId="66" fillId="0" borderId="3" xfId="0" applyNumberFormat="1" applyFont="1" applyBorder="1" applyAlignment="1">
      <alignment horizontal="center" vertical="center"/>
    </xf>
    <xf numFmtId="1" fontId="66" fillId="0" borderId="0" xfId="0" applyNumberFormat="1" applyFont="1" applyBorder="1" applyAlignment="1">
      <alignment horizontal="center" vertical="center"/>
    </xf>
    <xf numFmtId="1" fontId="66" fillId="0" borderId="4" xfId="0" applyNumberFormat="1" applyFont="1" applyBorder="1" applyAlignment="1">
      <alignment horizontal="center" vertical="center"/>
    </xf>
    <xf numFmtId="0" fontId="65" fillId="0" borderId="0" xfId="0" applyFont="1" applyBorder="1" applyAlignment="1">
      <alignment vertical="center" wrapText="1"/>
    </xf>
    <xf numFmtId="1" fontId="66" fillId="0" borderId="0" xfId="0" applyNumberFormat="1" applyFont="1" applyBorder="1" applyAlignment="1">
      <alignment horizontal="center" vertical="center" wrapText="1"/>
    </xf>
    <xf numFmtId="1" fontId="66" fillId="0" borderId="0" xfId="0" applyNumberFormat="1" applyFont="1" applyFill="1" applyBorder="1" applyAlignment="1">
      <alignment horizontal="center" vertical="center"/>
    </xf>
    <xf numFmtId="1" fontId="66" fillId="0" borderId="4" xfId="0" applyNumberFormat="1" applyFont="1" applyFill="1" applyBorder="1" applyAlignment="1">
      <alignment horizontal="center" vertical="center"/>
    </xf>
    <xf numFmtId="1" fontId="66" fillId="0" borderId="4" xfId="0" applyNumberFormat="1" applyFont="1" applyBorder="1" applyAlignment="1">
      <alignment horizontal="center" vertical="center" wrapText="1"/>
    </xf>
    <xf numFmtId="0" fontId="65" fillId="0" borderId="17" xfId="0" applyFont="1" applyBorder="1" applyAlignment="1">
      <alignment vertical="center" wrapText="1"/>
    </xf>
    <xf numFmtId="1" fontId="66" fillId="0" borderId="17" xfId="0" applyNumberFormat="1" applyFont="1" applyBorder="1" applyAlignment="1">
      <alignment horizontal="center" vertical="center"/>
    </xf>
    <xf numFmtId="1" fontId="66" fillId="0" borderId="17" xfId="0" applyNumberFormat="1" applyFont="1" applyFill="1" applyBorder="1" applyAlignment="1">
      <alignment horizontal="center" vertical="center"/>
    </xf>
    <xf numFmtId="1" fontId="66" fillId="0" borderId="40" xfId="0" applyNumberFormat="1" applyFont="1" applyFill="1" applyBorder="1" applyAlignment="1">
      <alignment horizontal="center" vertical="center"/>
    </xf>
    <xf numFmtId="0" fontId="65" fillId="0" borderId="23" xfId="0" applyFont="1" applyBorder="1" applyAlignment="1">
      <alignment vertical="center" wrapText="1"/>
    </xf>
    <xf numFmtId="1" fontId="66" fillId="0" borderId="23" xfId="0" applyNumberFormat="1" applyFont="1" applyBorder="1" applyAlignment="1">
      <alignment horizontal="center" vertical="center"/>
    </xf>
    <xf numFmtId="1" fontId="66" fillId="0" borderId="23" xfId="0" applyNumberFormat="1" applyFont="1" applyFill="1" applyBorder="1" applyAlignment="1">
      <alignment horizontal="center" vertical="center"/>
    </xf>
    <xf numFmtId="1" fontId="66" fillId="0" borderId="41" xfId="0" applyNumberFormat="1" applyFont="1" applyFill="1" applyBorder="1" applyAlignment="1">
      <alignment horizontal="center" vertical="center"/>
    </xf>
    <xf numFmtId="166" fontId="14" fillId="0" borderId="12" xfId="0" applyNumberFormat="1" applyFont="1" applyBorder="1" applyAlignment="1">
      <alignment horizontal="center" vertical="center"/>
    </xf>
    <xf numFmtId="166" fontId="14" fillId="0" borderId="0" xfId="0" applyNumberFormat="1" applyFont="1" applyBorder="1" applyAlignment="1">
      <alignment horizontal="center" vertical="center"/>
    </xf>
    <xf numFmtId="166" fontId="14" fillId="0" borderId="4" xfId="0" applyNumberFormat="1" applyFont="1" applyBorder="1" applyAlignment="1">
      <alignment horizontal="center" vertical="center"/>
    </xf>
    <xf numFmtId="166" fontId="14" fillId="0" borderId="13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" fontId="25" fillId="0" borderId="17" xfId="3" applyNumberFormat="1" applyFont="1" applyFill="1" applyBorder="1" applyAlignment="1">
      <alignment horizontal="right" vertical="center"/>
    </xf>
    <xf numFmtId="164" fontId="18" fillId="0" borderId="0" xfId="0" applyNumberFormat="1" applyFont="1" applyFill="1" applyBorder="1" applyAlignment="1">
      <alignment vertical="center" wrapText="1"/>
    </xf>
    <xf numFmtId="164" fontId="18" fillId="6" borderId="0" xfId="0" applyNumberFormat="1" applyFont="1" applyFill="1" applyBorder="1" applyAlignment="1">
      <alignment vertical="center" wrapText="1"/>
    </xf>
    <xf numFmtId="164" fontId="29" fillId="6" borderId="0" xfId="0" applyNumberFormat="1" applyFont="1" applyFill="1" applyBorder="1" applyAlignment="1">
      <alignment vertical="center" wrapText="1"/>
    </xf>
    <xf numFmtId="164" fontId="18" fillId="0" borderId="33" xfId="0" applyNumberFormat="1" applyFont="1" applyFill="1" applyBorder="1" applyAlignment="1">
      <alignment vertical="center" wrapText="1"/>
    </xf>
    <xf numFmtId="164" fontId="16" fillId="0" borderId="0" xfId="3" applyNumberFormat="1" applyFont="1" applyFill="1" applyBorder="1" applyAlignment="1">
      <alignment horizontal="right"/>
    </xf>
    <xf numFmtId="0" fontId="19" fillId="0" borderId="0" xfId="0" applyFont="1" applyBorder="1" applyAlignment="1">
      <alignment vertical="top" wrapText="1"/>
    </xf>
    <xf numFmtId="2" fontId="13" fillId="0" borderId="1" xfId="0" applyNumberFormat="1" applyFont="1" applyFill="1" applyBorder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164" fontId="37" fillId="0" borderId="17" xfId="0" applyNumberFormat="1" applyFont="1" applyBorder="1" applyAlignment="1">
      <alignment horizontal="center" vertical="center"/>
    </xf>
    <xf numFmtId="2" fontId="16" fillId="0" borderId="0" xfId="0" applyNumberFormat="1" applyFont="1" applyFill="1"/>
    <xf numFmtId="2" fontId="16" fillId="0" borderId="25" xfId="0" applyNumberFormat="1" applyFont="1" applyFill="1" applyBorder="1"/>
    <xf numFmtId="2" fontId="16" fillId="0" borderId="17" xfId="0" applyNumberFormat="1" applyFont="1" applyFill="1" applyBorder="1"/>
    <xf numFmtId="164" fontId="13" fillId="0" borderId="17" xfId="6" applyNumberFormat="1" applyFont="1" applyBorder="1" applyAlignment="1">
      <alignment horizontal="center" vertical="center" wrapText="1"/>
    </xf>
    <xf numFmtId="166" fontId="14" fillId="0" borderId="12" xfId="0" applyNumberFormat="1" applyFont="1" applyFill="1" applyBorder="1" applyAlignment="1">
      <alignment horizontal="center" vertical="center"/>
    </xf>
    <xf numFmtId="166" fontId="14" fillId="0" borderId="0" xfId="0" applyNumberFormat="1" applyFont="1" applyFill="1" applyBorder="1" applyAlignment="1">
      <alignment horizontal="center" vertical="center"/>
    </xf>
    <xf numFmtId="166" fontId="14" fillId="0" borderId="13" xfId="0" applyNumberFormat="1" applyFont="1" applyFill="1" applyBorder="1" applyAlignment="1">
      <alignment horizontal="center" vertical="center"/>
    </xf>
    <xf numFmtId="166" fontId="14" fillId="0" borderId="1" xfId="0" applyNumberFormat="1" applyFont="1" applyFill="1" applyBorder="1" applyAlignment="1">
      <alignment horizontal="center" vertical="center"/>
    </xf>
    <xf numFmtId="166" fontId="14" fillId="0" borderId="0" xfId="0" applyNumberFormat="1" applyFont="1" applyFill="1" applyAlignment="1">
      <alignment horizontal="center" vertical="center"/>
    </xf>
    <xf numFmtId="166" fontId="13" fillId="0" borderId="13" xfId="0" applyNumberFormat="1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166" fontId="13" fillId="0" borderId="7" xfId="0" applyNumberFormat="1" applyFont="1" applyBorder="1" applyAlignment="1">
      <alignment horizontal="center" vertical="center"/>
    </xf>
    <xf numFmtId="0" fontId="13" fillId="0" borderId="0" xfId="50" applyFont="1" applyFill="1" applyBorder="1" applyAlignment="1">
      <alignment horizontal="left" vertical="center" wrapText="1" indent="1"/>
    </xf>
    <xf numFmtId="0" fontId="16" fillId="0" borderId="0" xfId="0" applyFont="1" applyFill="1" applyAlignment="1">
      <alignment horizontal="left" wrapText="1" indent="2"/>
    </xf>
    <xf numFmtId="0" fontId="13" fillId="0" borderId="20" xfId="0" applyFont="1" applyFill="1" applyBorder="1" applyAlignment="1">
      <alignment vertical="center"/>
    </xf>
    <xf numFmtId="0" fontId="36" fillId="0" borderId="29" xfId="6" applyFont="1" applyFill="1" applyBorder="1"/>
    <xf numFmtId="2" fontId="13" fillId="0" borderId="29" xfId="6" applyNumberFormat="1" applyFont="1" applyFill="1" applyBorder="1" applyAlignment="1">
      <alignment horizontal="center" vertical="center" wrapText="1"/>
    </xf>
    <xf numFmtId="1" fontId="13" fillId="0" borderId="29" xfId="6" applyNumberFormat="1" applyFont="1" applyFill="1" applyBorder="1" applyAlignment="1">
      <alignment horizontal="center" vertical="center" wrapText="1"/>
    </xf>
    <xf numFmtId="0" fontId="13" fillId="0" borderId="0" xfId="6" applyFont="1" applyFill="1" applyAlignment="1">
      <alignment vertical="center" wrapText="1"/>
    </xf>
    <xf numFmtId="0" fontId="26" fillId="0" borderId="0" xfId="6" applyFont="1" applyFill="1" applyAlignment="1">
      <alignment horizontal="center"/>
    </xf>
    <xf numFmtId="2" fontId="14" fillId="0" borderId="0" xfId="6" applyNumberFormat="1" applyFont="1" applyFill="1" applyAlignment="1">
      <alignment horizontal="center" vertical="center" wrapText="1"/>
    </xf>
    <xf numFmtId="1" fontId="14" fillId="0" borderId="0" xfId="6" applyNumberFormat="1" applyFont="1" applyFill="1" applyAlignment="1">
      <alignment horizontal="center" vertical="center" wrapText="1"/>
    </xf>
    <xf numFmtId="164" fontId="14" fillId="0" borderId="0" xfId="6" applyNumberFormat="1" applyFont="1" applyFill="1" applyAlignment="1">
      <alignment horizontal="center" vertical="center" wrapText="1"/>
    </xf>
    <xf numFmtId="1" fontId="14" fillId="0" borderId="0" xfId="6" applyNumberFormat="1" applyFont="1" applyFill="1" applyBorder="1" applyAlignment="1">
      <alignment horizontal="center" vertical="center" wrapText="1"/>
    </xf>
    <xf numFmtId="164" fontId="14" fillId="0" borderId="0" xfId="6" applyNumberFormat="1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vertical="center" wrapText="1"/>
    </xf>
    <xf numFmtId="0" fontId="26" fillId="0" borderId="1" xfId="6" applyFont="1" applyFill="1" applyBorder="1" applyAlignment="1">
      <alignment horizontal="center"/>
    </xf>
    <xf numFmtId="2" fontId="14" fillId="0" borderId="1" xfId="6" applyNumberFormat="1" applyFont="1" applyFill="1" applyBorder="1" applyAlignment="1">
      <alignment horizontal="center" vertical="center" wrapText="1"/>
    </xf>
    <xf numFmtId="1" fontId="14" fillId="0" borderId="1" xfId="6" applyNumberFormat="1" applyFont="1" applyFill="1" applyBorder="1" applyAlignment="1">
      <alignment horizontal="center" vertical="center" wrapText="1"/>
    </xf>
    <xf numFmtId="164" fontId="14" fillId="0" borderId="1" xfId="6" applyNumberFormat="1" applyFont="1" applyFill="1" applyBorder="1" applyAlignment="1">
      <alignment horizontal="center" vertical="center" wrapText="1"/>
    </xf>
    <xf numFmtId="0" fontId="26" fillId="0" borderId="0" xfId="6" applyFont="1" applyFill="1" applyBorder="1" applyAlignment="1">
      <alignment horizontal="center"/>
    </xf>
    <xf numFmtId="2" fontId="14" fillId="0" borderId="0" xfId="6" applyNumberFormat="1" applyFont="1" applyFill="1" applyBorder="1" applyAlignment="1">
      <alignment horizontal="center" vertical="center" wrapText="1"/>
    </xf>
    <xf numFmtId="0" fontId="25" fillId="0" borderId="0" xfId="51" applyFont="1" applyAlignment="1">
      <alignment horizontal="left" indent="2"/>
    </xf>
    <xf numFmtId="0" fontId="25" fillId="0" borderId="0" xfId="51" applyFont="1" applyAlignment="1">
      <alignment horizontal="center"/>
    </xf>
    <xf numFmtId="0" fontId="16" fillId="0" borderId="0" xfId="6" applyFont="1" applyAlignment="1">
      <alignment horizontal="center" vertical="center" wrapText="1"/>
    </xf>
    <xf numFmtId="0" fontId="25" fillId="0" borderId="0" xfId="51" applyFont="1" applyFill="1" applyBorder="1" applyAlignment="1">
      <alignment horizontal="left" indent="2"/>
    </xf>
    <xf numFmtId="0" fontId="16" fillId="0" borderId="23" xfId="6" applyFont="1" applyBorder="1"/>
    <xf numFmtId="1" fontId="13" fillId="0" borderId="23" xfId="6" applyNumberFormat="1" applyFont="1" applyBorder="1" applyAlignment="1">
      <alignment horizontal="center" vertical="center" wrapText="1"/>
    </xf>
    <xf numFmtId="2" fontId="13" fillId="0" borderId="23" xfId="6" applyNumberFormat="1" applyFont="1" applyBorder="1" applyAlignment="1">
      <alignment horizontal="center" vertical="center" wrapText="1"/>
    </xf>
    <xf numFmtId="164" fontId="14" fillId="0" borderId="0" xfId="6" applyNumberFormat="1" applyFont="1" applyAlignment="1">
      <alignment horizontal="center" vertical="center" wrapText="1"/>
    </xf>
    <xf numFmtId="164" fontId="26" fillId="0" borderId="0" xfId="6" applyNumberFormat="1" applyFont="1" applyAlignment="1">
      <alignment horizontal="center" vertical="center" wrapText="1"/>
    </xf>
    <xf numFmtId="164" fontId="14" fillId="0" borderId="23" xfId="6" applyNumberFormat="1" applyFont="1" applyBorder="1" applyAlignment="1">
      <alignment horizontal="center" vertical="center" wrapText="1"/>
    </xf>
    <xf numFmtId="164" fontId="14" fillId="0" borderId="0" xfId="6" applyNumberFormat="1" applyFont="1" applyBorder="1" applyAlignment="1">
      <alignment horizontal="center" vertical="center" wrapText="1"/>
    </xf>
    <xf numFmtId="164" fontId="26" fillId="0" borderId="23" xfId="6" applyNumberFormat="1" applyFont="1" applyBorder="1" applyAlignment="1">
      <alignment horizontal="center" vertical="center" wrapText="1"/>
    </xf>
    <xf numFmtId="164" fontId="36" fillId="0" borderId="2" xfId="6" applyNumberFormat="1" applyFont="1" applyBorder="1" applyAlignment="1">
      <alignment horizontal="center"/>
    </xf>
    <xf numFmtId="0" fontId="16" fillId="0" borderId="23" xfId="6" applyFont="1" applyBorder="1" applyAlignment="1">
      <alignment horizontal="center" vertical="center" wrapText="1"/>
    </xf>
    <xf numFmtId="0" fontId="13" fillId="0" borderId="0" xfId="6" applyFont="1" applyBorder="1" applyAlignment="1">
      <alignment vertical="center" wrapText="1"/>
    </xf>
    <xf numFmtId="0" fontId="26" fillId="0" borderId="0" xfId="6" applyFont="1" applyBorder="1" applyAlignment="1">
      <alignment horizontal="center"/>
    </xf>
    <xf numFmtId="164" fontId="13" fillId="0" borderId="29" xfId="6" applyNumberFormat="1" applyFont="1" applyBorder="1" applyAlignment="1">
      <alignment horizontal="center" vertical="center" wrapText="1"/>
    </xf>
    <xf numFmtId="164" fontId="14" fillId="0" borderId="1" xfId="6" applyNumberFormat="1" applyFont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164" fontId="14" fillId="0" borderId="0" xfId="0" applyNumberFormat="1" applyFont="1" applyFill="1" applyAlignment="1">
      <alignment horizontal="center" vertical="center" wrapText="1"/>
    </xf>
    <xf numFmtId="3" fontId="29" fillId="0" borderId="33" xfId="16" applyNumberFormat="1" applyFont="1" applyFill="1" applyBorder="1"/>
    <xf numFmtId="166" fontId="38" fillId="0" borderId="0" xfId="30" applyNumberFormat="1" applyFont="1" applyFill="1" applyBorder="1" applyAlignment="1" applyProtection="1"/>
    <xf numFmtId="0" fontId="13" fillId="6" borderId="39" xfId="33" applyFont="1" applyFill="1" applyBorder="1" applyAlignment="1">
      <alignment horizontal="center" vertical="center"/>
    </xf>
    <xf numFmtId="0" fontId="13" fillId="6" borderId="2" xfId="33" applyFont="1" applyFill="1" applyBorder="1" applyAlignment="1">
      <alignment horizontal="center" vertical="center"/>
    </xf>
    <xf numFmtId="0" fontId="19" fillId="6" borderId="3" xfId="33" applyFont="1" applyFill="1" applyBorder="1" applyAlignment="1">
      <alignment horizontal="right" vertical="top"/>
    </xf>
    <xf numFmtId="164" fontId="38" fillId="0" borderId="0" xfId="30" applyNumberFormat="1" applyFont="1" applyFill="1" applyBorder="1" applyAlignment="1" applyProtection="1"/>
    <xf numFmtId="0" fontId="13" fillId="0" borderId="0" xfId="0" applyFont="1" applyFill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6" fontId="13" fillId="0" borderId="9" xfId="0" applyNumberFormat="1" applyFont="1" applyFill="1" applyBorder="1" applyAlignment="1">
      <alignment horizontal="center" vertical="center"/>
    </xf>
    <xf numFmtId="166" fontId="13" fillId="0" borderId="3" xfId="0" applyNumberFormat="1" applyFont="1" applyFill="1" applyBorder="1" applyAlignment="1">
      <alignment horizontal="center" vertical="center"/>
    </xf>
    <xf numFmtId="166" fontId="13" fillId="0" borderId="12" xfId="0" applyNumberFormat="1" applyFont="1" applyFill="1" applyBorder="1" applyAlignment="1">
      <alignment horizontal="center" vertical="center"/>
    </xf>
    <xf numFmtId="166" fontId="13" fillId="0" borderId="0" xfId="0" applyNumberFormat="1" applyFont="1" applyFill="1" applyAlignment="1">
      <alignment horizontal="center" vertical="center"/>
    </xf>
    <xf numFmtId="166" fontId="13" fillId="0" borderId="0" xfId="0" applyNumberFormat="1" applyFont="1" applyFill="1" applyBorder="1" applyAlignment="1">
      <alignment horizontal="center" vertical="center"/>
    </xf>
    <xf numFmtId="166" fontId="13" fillId="0" borderId="13" xfId="0" applyNumberFormat="1" applyFont="1" applyFill="1" applyBorder="1" applyAlignment="1">
      <alignment horizontal="center" vertical="center"/>
    </xf>
    <xf numFmtId="166" fontId="13" fillId="0" borderId="1" xfId="0" applyNumberFormat="1" applyFont="1" applyFill="1" applyBorder="1" applyAlignment="1">
      <alignment horizontal="center" vertical="center"/>
    </xf>
    <xf numFmtId="0" fontId="68" fillId="0" borderId="0" xfId="48" applyFont="1" applyAlignment="1">
      <alignment horizontal="center"/>
    </xf>
    <xf numFmtId="0" fontId="68" fillId="0" borderId="0" xfId="48" applyFont="1" applyBorder="1" applyAlignment="1">
      <alignment horizontal="center"/>
    </xf>
    <xf numFmtId="0" fontId="44" fillId="0" borderId="0" xfId="48" applyFont="1" applyFill="1" applyBorder="1"/>
    <xf numFmtId="164" fontId="44" fillId="0" borderId="0" xfId="48" applyNumberFormat="1" applyFont="1" applyBorder="1"/>
    <xf numFmtId="3" fontId="18" fillId="0" borderId="0" xfId="16" applyNumberFormat="1" applyFont="1" applyFill="1" applyBorder="1"/>
    <xf numFmtId="3" fontId="16" fillId="0" borderId="0" xfId="16" applyNumberFormat="1" applyFont="1" applyFill="1" applyBorder="1"/>
    <xf numFmtId="0" fontId="29" fillId="0" borderId="17" xfId="16" applyFont="1" applyFill="1" applyBorder="1"/>
    <xf numFmtId="3" fontId="16" fillId="0" borderId="17" xfId="16" applyNumberFormat="1" applyFont="1" applyFill="1" applyBorder="1" applyProtection="1">
      <protection locked="0"/>
    </xf>
    <xf numFmtId="0" fontId="49" fillId="6" borderId="17" xfId="37" applyFont="1" applyFill="1" applyBorder="1"/>
    <xf numFmtId="0" fontId="45" fillId="0" borderId="1" xfId="0" applyFont="1" applyBorder="1" applyAlignment="1">
      <alignment vertical="center"/>
    </xf>
    <xf numFmtId="0" fontId="45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 wrapText="1"/>
    </xf>
    <xf numFmtId="164" fontId="16" fillId="0" borderId="0" xfId="0" applyNumberFormat="1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0" fontId="45" fillId="0" borderId="1" xfId="0" applyFont="1" applyBorder="1" applyAlignment="1">
      <alignment horizontal="left" vertical="center" wrapText="1"/>
    </xf>
    <xf numFmtId="0" fontId="45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42" fillId="0" borderId="1" xfId="0" applyFont="1" applyBorder="1" applyAlignment="1">
      <alignment horizontal="left"/>
    </xf>
    <xf numFmtId="0" fontId="42" fillId="0" borderId="0" xfId="0" applyFont="1" applyBorder="1" applyAlignment="1">
      <alignment horizontal="left"/>
    </xf>
    <xf numFmtId="0" fontId="45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45" fillId="0" borderId="0" xfId="0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42" fillId="0" borderId="1" xfId="38" applyFont="1" applyBorder="1" applyAlignment="1">
      <alignment horizontal="left"/>
    </xf>
    <xf numFmtId="0" fontId="70" fillId="6" borderId="0" xfId="37" applyFont="1" applyFill="1"/>
    <xf numFmtId="165" fontId="25" fillId="6" borderId="0" xfId="2" applyNumberFormat="1" applyFont="1" applyFill="1" applyBorder="1"/>
    <xf numFmtId="0" fontId="25" fillId="6" borderId="17" xfId="37" applyFont="1" applyFill="1" applyBorder="1" applyAlignment="1">
      <alignment horizontal="center"/>
    </xf>
    <xf numFmtId="165" fontId="25" fillId="6" borderId="17" xfId="2" applyNumberFormat="1" applyFont="1" applyFill="1" applyBorder="1"/>
    <xf numFmtId="164" fontId="25" fillId="6" borderId="0" xfId="37" applyNumberFormat="1" applyFont="1" applyFill="1" applyBorder="1"/>
    <xf numFmtId="1" fontId="25" fillId="6" borderId="0" xfId="37" applyNumberFormat="1" applyFont="1" applyFill="1" applyBorder="1"/>
    <xf numFmtId="0" fontId="29" fillId="6" borderId="17" xfId="37" applyFont="1" applyFill="1" applyBorder="1" applyAlignment="1">
      <alignment horizontal="center"/>
    </xf>
    <xf numFmtId="0" fontId="29" fillId="6" borderId="23" xfId="37" applyFont="1" applyFill="1" applyBorder="1" applyAlignment="1">
      <alignment horizontal="center"/>
    </xf>
    <xf numFmtId="164" fontId="25" fillId="6" borderId="17" xfId="37" applyNumberFormat="1" applyFont="1" applyFill="1" applyBorder="1"/>
    <xf numFmtId="1" fontId="25" fillId="6" borderId="17" xfId="37" applyNumberFormat="1" applyFont="1" applyFill="1" applyBorder="1"/>
    <xf numFmtId="9" fontId="25" fillId="6" borderId="0" xfId="2" applyFont="1" applyFill="1" applyBorder="1"/>
    <xf numFmtId="9" fontId="25" fillId="6" borderId="17" xfId="2" applyFont="1" applyFill="1" applyBorder="1"/>
    <xf numFmtId="0" fontId="16" fillId="0" borderId="17" xfId="0" applyFont="1" applyBorder="1" applyAlignment="1">
      <alignment horizontal="left" inden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justify" vertical="center"/>
    </xf>
    <xf numFmtId="3" fontId="16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justify" vertical="center"/>
    </xf>
    <xf numFmtId="3" fontId="1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3" fillId="0" borderId="23" xfId="0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0" fontId="14" fillId="0" borderId="17" xfId="0" applyFont="1" applyBorder="1" applyAlignment="1">
      <alignment horizontal="right" vertical="center"/>
    </xf>
    <xf numFmtId="0" fontId="14" fillId="0" borderId="0" xfId="0" applyFont="1" applyFill="1" applyAlignment="1">
      <alignment horizontal="left" vertical="center" indent="1"/>
    </xf>
    <xf numFmtId="0" fontId="16" fillId="0" borderId="0" xfId="31" applyFont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25" fillId="6" borderId="17" xfId="37" applyFont="1" applyFill="1" applyBorder="1" applyAlignment="1">
      <alignment horizontal="left"/>
    </xf>
    <xf numFmtId="0" fontId="57" fillId="0" borderId="17" xfId="0" applyFont="1" applyBorder="1" applyAlignment="1">
      <alignment wrapText="1"/>
    </xf>
    <xf numFmtId="0" fontId="57" fillId="0" borderId="0" xfId="0" applyFont="1" applyAlignment="1">
      <alignment wrapText="1"/>
    </xf>
    <xf numFmtId="0" fontId="59" fillId="4" borderId="19" xfId="0" applyFont="1" applyFill="1" applyBorder="1" applyAlignment="1">
      <alignment horizontal="center" vertical="center" wrapText="1"/>
    </xf>
    <xf numFmtId="0" fontId="59" fillId="5" borderId="19" xfId="0" applyFont="1" applyFill="1" applyBorder="1" applyAlignment="1">
      <alignment horizontal="center" vertical="center" wrapText="1"/>
    </xf>
    <xf numFmtId="0" fontId="59" fillId="0" borderId="19" xfId="0" applyFont="1" applyFill="1" applyBorder="1" applyAlignment="1">
      <alignment horizontal="center" vertical="center"/>
    </xf>
    <xf numFmtId="0" fontId="72" fillId="0" borderId="0" xfId="1" applyFont="1" applyAlignment="1">
      <alignment wrapText="1"/>
    </xf>
    <xf numFmtId="0" fontId="57" fillId="0" borderId="0" xfId="1" applyFont="1" applyFill="1" applyAlignment="1">
      <alignment wrapText="1"/>
    </xf>
    <xf numFmtId="0" fontId="57" fillId="0" borderId="0" xfId="1" applyFont="1" applyAlignment="1">
      <alignment wrapText="1"/>
    </xf>
    <xf numFmtId="0" fontId="57" fillId="0" borderId="0" xfId="0" applyFont="1" applyFill="1"/>
    <xf numFmtId="0" fontId="72" fillId="0" borderId="0" xfId="1" applyFont="1" applyFill="1" applyAlignment="1">
      <alignment wrapText="1"/>
    </xf>
    <xf numFmtId="0" fontId="73" fillId="0" borderId="17" xfId="0" applyFont="1" applyBorder="1" applyAlignment="1">
      <alignment wrapText="1"/>
    </xf>
    <xf numFmtId="0" fontId="74" fillId="0" borderId="17" xfId="0" applyFont="1" applyBorder="1"/>
    <xf numFmtId="0" fontId="12" fillId="0" borderId="0" xfId="1" applyFont="1" applyFill="1" applyAlignment="1">
      <alignment wrapText="1"/>
    </xf>
    <xf numFmtId="0" fontId="59" fillId="0" borderId="19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vertical="center"/>
    </xf>
    <xf numFmtId="164" fontId="16" fillId="0" borderId="17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center"/>
    </xf>
    <xf numFmtId="0" fontId="45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center"/>
    </xf>
    <xf numFmtId="14" fontId="16" fillId="0" borderId="0" xfId="0" applyNumberFormat="1" applyFont="1"/>
    <xf numFmtId="0" fontId="26" fillId="0" borderId="17" xfId="30" applyNumberFormat="1" applyFont="1" applyFill="1" applyBorder="1" applyAlignment="1" applyProtection="1"/>
    <xf numFmtId="0" fontId="36" fillId="0" borderId="17" xfId="30" applyNumberFormat="1" applyFont="1" applyFill="1" applyBorder="1" applyAlignment="1" applyProtection="1"/>
    <xf numFmtId="164" fontId="14" fillId="0" borderId="0" xfId="0" applyNumberFormat="1" applyFont="1" applyFill="1" applyBorder="1" applyAlignment="1">
      <alignment horizontal="right" vertical="center" wrapText="1"/>
    </xf>
    <xf numFmtId="1" fontId="14" fillId="0" borderId="17" xfId="0" applyNumberFormat="1" applyFont="1" applyFill="1" applyBorder="1" applyAlignment="1">
      <alignment horizontal="right" vertical="center" wrapText="1"/>
    </xf>
    <xf numFmtId="0" fontId="42" fillId="0" borderId="17" xfId="0" applyFont="1" applyBorder="1"/>
    <xf numFmtId="0" fontId="42" fillId="0" borderId="1" xfId="0" applyFont="1" applyBorder="1" applyAlignment="1">
      <alignment vertical="center" wrapText="1"/>
    </xf>
    <xf numFmtId="10" fontId="16" fillId="0" borderId="0" xfId="0" applyNumberFormat="1" applyFont="1"/>
    <xf numFmtId="0" fontId="45" fillId="0" borderId="17" xfId="0" applyFont="1" applyBorder="1"/>
    <xf numFmtId="0" fontId="70" fillId="0" borderId="25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20" fillId="0" borderId="17" xfId="0" applyFont="1" applyBorder="1"/>
    <xf numFmtId="174" fontId="16" fillId="0" borderId="0" xfId="0" applyNumberFormat="1" applyFont="1"/>
    <xf numFmtId="0" fontId="70" fillId="0" borderId="25" xfId="0" applyFont="1" applyBorder="1"/>
    <xf numFmtId="164" fontId="16" fillId="0" borderId="0" xfId="0" applyNumberFormat="1" applyFont="1" applyBorder="1" applyAlignment="1">
      <alignment horizontal="right"/>
    </xf>
    <xf numFmtId="166" fontId="25" fillId="0" borderId="42" xfId="0" applyNumberFormat="1" applyFont="1" applyFill="1" applyBorder="1" applyAlignment="1"/>
    <xf numFmtId="166" fontId="25" fillId="0" borderId="43" xfId="0" applyNumberFormat="1" applyFont="1" applyFill="1" applyBorder="1" applyAlignment="1"/>
    <xf numFmtId="166" fontId="25" fillId="0" borderId="38" xfId="0" applyNumberFormat="1" applyFont="1" applyFill="1" applyBorder="1" applyAlignment="1"/>
    <xf numFmtId="164" fontId="16" fillId="16" borderId="0" xfId="0" applyNumberFormat="1" applyFont="1" applyFill="1"/>
    <xf numFmtId="0" fontId="18" fillId="0" borderId="17" xfId="0" applyFont="1" applyBorder="1" applyAlignment="1">
      <alignment horizontal="center"/>
    </xf>
    <xf numFmtId="0" fontId="75" fillId="0" borderId="0" xfId="0" applyFont="1"/>
    <xf numFmtId="3" fontId="25" fillId="0" borderId="33" xfId="16" applyNumberFormat="1" applyFont="1" applyFill="1" applyBorder="1" applyProtection="1">
      <protection locked="0"/>
    </xf>
    <xf numFmtId="3" fontId="55" fillId="0" borderId="33" xfId="16" applyNumberFormat="1" applyFont="1" applyFill="1" applyBorder="1" applyProtection="1">
      <protection locked="0"/>
    </xf>
    <xf numFmtId="0" fontId="29" fillId="0" borderId="33" xfId="16" applyFont="1" applyFill="1" applyBorder="1"/>
    <xf numFmtId="164" fontId="14" fillId="0" borderId="0" xfId="0" applyNumberFormat="1" applyFont="1" applyFill="1" applyBorder="1" applyAlignment="1">
      <alignment horizontal="center" vertical="center"/>
    </xf>
    <xf numFmtId="164" fontId="37" fillId="0" borderId="17" xfId="0" applyNumberFormat="1" applyFont="1" applyBorder="1" applyAlignment="1">
      <alignment horizontal="center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9" xfId="0" applyNumberFormat="1" applyFont="1" applyBorder="1" applyAlignment="1">
      <alignment horizontal="right" vertical="center"/>
    </xf>
    <xf numFmtId="3" fontId="29" fillId="0" borderId="33" xfId="66" applyNumberFormat="1" applyFont="1" applyFill="1" applyBorder="1"/>
    <xf numFmtId="2" fontId="16" fillId="0" borderId="0" xfId="0" applyNumberFormat="1" applyFont="1"/>
    <xf numFmtId="164" fontId="16" fillId="0" borderId="0" xfId="0" applyNumberFormat="1" applyFont="1"/>
    <xf numFmtId="0" fontId="25" fillId="0" borderId="42" xfId="0" applyNumberFormat="1" applyFont="1" applyFill="1" applyBorder="1" applyAlignment="1"/>
    <xf numFmtId="0" fontId="25" fillId="0" borderId="43" xfId="0" applyNumberFormat="1" applyFont="1" applyFill="1" applyBorder="1" applyAlignment="1"/>
    <xf numFmtId="0" fontId="25" fillId="0" borderId="38" xfId="0" applyNumberFormat="1" applyFont="1" applyFill="1" applyBorder="1" applyAlignment="1"/>
    <xf numFmtId="3" fontId="18" fillId="0" borderId="17" xfId="16" applyNumberFormat="1" applyFont="1" applyFill="1" applyBorder="1"/>
    <xf numFmtId="0" fontId="19" fillId="0" borderId="0" xfId="0" applyFont="1" applyBorder="1" applyAlignment="1">
      <alignment horizontal="right" vertical="center"/>
    </xf>
    <xf numFmtId="0" fontId="77" fillId="0" borderId="0" xfId="0" applyFont="1"/>
    <xf numFmtId="0" fontId="19" fillId="0" borderId="0" xfId="0" applyFont="1" applyBorder="1" applyAlignment="1">
      <alignment horizontal="right" vertical="center"/>
    </xf>
    <xf numFmtId="164" fontId="13" fillId="2" borderId="17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 vertical="center"/>
    </xf>
    <xf numFmtId="164" fontId="13" fillId="0" borderId="23" xfId="0" applyNumberFormat="1" applyFont="1" applyBorder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/>
    </xf>
    <xf numFmtId="169" fontId="16" fillId="0" borderId="0" xfId="0" applyNumberFormat="1" applyFont="1"/>
    <xf numFmtId="173" fontId="16" fillId="0" borderId="0" xfId="0" applyNumberFormat="1" applyFont="1" applyFill="1"/>
    <xf numFmtId="173" fontId="16" fillId="0" borderId="0" xfId="0" applyNumberFormat="1" applyFont="1"/>
    <xf numFmtId="0" fontId="76" fillId="0" borderId="0" xfId="0" applyFont="1" applyAlignment="1">
      <alignment horizontal="left"/>
    </xf>
    <xf numFmtId="164" fontId="19" fillId="0" borderId="3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vertical="center"/>
    </xf>
    <xf numFmtId="0" fontId="45" fillId="0" borderId="1" xfId="0" applyFont="1" applyBorder="1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164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right" vertical="center"/>
    </xf>
    <xf numFmtId="0" fontId="20" fillId="0" borderId="2" xfId="0" applyFont="1" applyFill="1" applyBorder="1" applyAlignment="1">
      <alignment horizontal="left" vertical="center" wrapText="1"/>
    </xf>
    <xf numFmtId="2" fontId="16" fillId="0" borderId="0" xfId="0" applyNumberFormat="1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2" fontId="16" fillId="0" borderId="0" xfId="0" applyNumberFormat="1" applyFont="1" applyFill="1" applyAlignment="1">
      <alignment horizontal="center" vertical="center" wrapText="1"/>
    </xf>
    <xf numFmtId="164" fontId="16" fillId="0" borderId="0" xfId="0" applyNumberFormat="1" applyFont="1" applyFill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 wrapText="1"/>
    </xf>
    <xf numFmtId="0" fontId="45" fillId="0" borderId="1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45" fillId="0" borderId="1" xfId="0" applyFont="1" applyFill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right" indent="1"/>
    </xf>
    <xf numFmtId="0" fontId="31" fillId="0" borderId="0" xfId="0" applyFont="1" applyBorder="1" applyAlignment="1">
      <alignment horizontal="left" vertical="top" wrapText="1"/>
    </xf>
    <xf numFmtId="0" fontId="31" fillId="0" borderId="3" xfId="0" applyFont="1" applyBorder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0" fontId="19" fillId="0" borderId="3" xfId="0" applyFont="1" applyBorder="1" applyAlignment="1">
      <alignment horizontal="center" vertical="top" wrapText="1"/>
    </xf>
    <xf numFmtId="0" fontId="19" fillId="0" borderId="3" xfId="0" applyFont="1" applyFill="1" applyBorder="1" applyAlignment="1">
      <alignment horizontal="right" vertical="center"/>
    </xf>
    <xf numFmtId="0" fontId="18" fillId="0" borderId="20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20" fillId="0" borderId="3" xfId="0" applyFont="1" applyBorder="1" applyAlignment="1">
      <alignment horizontal="right"/>
    </xf>
    <xf numFmtId="0" fontId="45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19" fillId="0" borderId="3" xfId="0" applyFont="1" applyBorder="1" applyAlignment="1">
      <alignment horizontal="right" vertical="center" wrapText="1" indent="2"/>
    </xf>
    <xf numFmtId="0" fontId="13" fillId="0" borderId="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6" fillId="0" borderId="3" xfId="0" applyFont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vertical="center"/>
    </xf>
    <xf numFmtId="0" fontId="61" fillId="12" borderId="24" xfId="30" applyFont="1" applyFill="1" applyBorder="1" applyAlignment="1">
      <alignment horizontal="center" vertical="center"/>
    </xf>
    <xf numFmtId="0" fontId="61" fillId="12" borderId="0" xfId="30" applyFont="1" applyFill="1" applyBorder="1" applyAlignment="1">
      <alignment horizontal="center" vertical="center"/>
    </xf>
    <xf numFmtId="0" fontId="61" fillId="12" borderId="21" xfId="30" applyFont="1" applyFill="1" applyBorder="1" applyAlignment="1">
      <alignment horizontal="center" vertical="center"/>
    </xf>
    <xf numFmtId="0" fontId="36" fillId="13" borderId="34" xfId="30" applyFont="1" applyFill="1" applyBorder="1" applyAlignment="1">
      <alignment horizontal="center" vertical="center"/>
    </xf>
    <xf numFmtId="0" fontId="36" fillId="13" borderId="35" xfId="30" applyFont="1" applyFill="1" applyBorder="1" applyAlignment="1">
      <alignment horizontal="center" vertical="center"/>
    </xf>
    <xf numFmtId="0" fontId="42" fillId="0" borderId="1" xfId="0" applyFont="1" applyBorder="1" applyAlignment="1">
      <alignment horizontal="left"/>
    </xf>
    <xf numFmtId="0" fontId="42" fillId="0" borderId="0" xfId="0" applyFont="1" applyBorder="1" applyAlignment="1">
      <alignment horizontal="left"/>
    </xf>
    <xf numFmtId="0" fontId="45" fillId="0" borderId="1" xfId="0" applyFont="1" applyBorder="1" applyAlignment="1">
      <alignment horizontal="left"/>
    </xf>
    <xf numFmtId="0" fontId="45" fillId="0" borderId="1" xfId="0" applyFont="1" applyBorder="1" applyAlignment="1">
      <alignment horizontal="center"/>
    </xf>
    <xf numFmtId="164" fontId="19" fillId="0" borderId="0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right" vertical="center"/>
    </xf>
    <xf numFmtId="0" fontId="45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left" vertical="center"/>
    </xf>
    <xf numFmtId="0" fontId="45" fillId="2" borderId="1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right" vertical="center"/>
    </xf>
    <xf numFmtId="3" fontId="13" fillId="0" borderId="3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right" vertical="center" wrapText="1"/>
    </xf>
    <xf numFmtId="0" fontId="45" fillId="0" borderId="1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5" fillId="0" borderId="1" xfId="0" applyFont="1" applyBorder="1" applyAlignment="1">
      <alignment horizontal="justify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3" xfId="0" applyFont="1" applyBorder="1" applyAlignment="1">
      <alignment horizontal="center"/>
    </xf>
    <xf numFmtId="0" fontId="19" fillId="2" borderId="0" xfId="0" applyFont="1" applyFill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/>
    </xf>
    <xf numFmtId="0" fontId="45" fillId="0" borderId="0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vertical="center" wrapText="1"/>
    </xf>
    <xf numFmtId="0" fontId="13" fillId="0" borderId="1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19" fillId="0" borderId="16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45" fillId="0" borderId="1" xfId="0" applyFont="1" applyFill="1" applyBorder="1" applyAlignment="1">
      <alignment horizontal="justify" vertical="center" wrapText="1"/>
    </xf>
    <xf numFmtId="0" fontId="69" fillId="0" borderId="3" xfId="0" applyFont="1" applyFill="1" applyBorder="1" applyAlignment="1">
      <alignment horizontal="center" vertical="center"/>
    </xf>
    <xf numFmtId="0" fontId="69" fillId="0" borderId="2" xfId="0" applyFont="1" applyFill="1" applyBorder="1" applyAlignment="1">
      <alignment horizontal="center" vertical="center"/>
    </xf>
    <xf numFmtId="0" fontId="42" fillId="0" borderId="17" xfId="38" applyFont="1" applyBorder="1" applyAlignment="1">
      <alignment horizontal="left"/>
    </xf>
    <xf numFmtId="0" fontId="42" fillId="0" borderId="1" xfId="38" applyFont="1" applyBorder="1" applyAlignment="1">
      <alignment horizontal="left"/>
    </xf>
    <xf numFmtId="0" fontId="45" fillId="6" borderId="1" xfId="33" applyFont="1" applyFill="1" applyBorder="1" applyAlignment="1">
      <alignment vertical="center"/>
    </xf>
    <xf numFmtId="0" fontId="14" fillId="6" borderId="3" xfId="33" applyFont="1" applyFill="1" applyBorder="1" applyAlignment="1">
      <alignment horizontal="left" vertical="center" wrapText="1"/>
    </xf>
    <xf numFmtId="0" fontId="70" fillId="6" borderId="25" xfId="37" applyFont="1" applyFill="1" applyBorder="1" applyAlignment="1">
      <alignment horizontal="right"/>
    </xf>
    <xf numFmtId="0" fontId="70" fillId="6" borderId="25" xfId="37" applyFont="1" applyFill="1" applyBorder="1" applyAlignment="1">
      <alignment horizontal="left"/>
    </xf>
    <xf numFmtId="0" fontId="70" fillId="6" borderId="25" xfId="37" applyFont="1" applyFill="1" applyBorder="1" applyAlignment="1">
      <alignment horizontal="left" wrapText="1"/>
    </xf>
    <xf numFmtId="0" fontId="70" fillId="6" borderId="0" xfId="37" applyFont="1" applyFill="1" applyBorder="1" applyAlignment="1">
      <alignment horizontal="left"/>
    </xf>
    <xf numFmtId="0" fontId="25" fillId="6" borderId="0" xfId="37" applyFont="1" applyFill="1" applyAlignment="1">
      <alignment horizontal="left" vertical="top" wrapText="1"/>
    </xf>
    <xf numFmtId="0" fontId="20" fillId="0" borderId="25" xfId="0" applyFont="1" applyBorder="1" applyAlignment="1">
      <alignment horizontal="right"/>
    </xf>
    <xf numFmtId="0" fontId="63" fillId="2" borderId="2" xfId="0" applyFont="1" applyFill="1" applyBorder="1" applyAlignment="1">
      <alignment horizontal="center" vertical="center" wrapText="1"/>
    </xf>
    <xf numFmtId="0" fontId="63" fillId="0" borderId="2" xfId="0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</cellXfs>
  <cellStyles count="72">
    <cellStyle name="_x000a_386grabber=S" xfId="9"/>
    <cellStyle name="=D:\WINNT\SYSTEM32\COMMAND.COM" xfId="10"/>
    <cellStyle name="Accent5" xfId="19"/>
    <cellStyle name="Accent6" xfId="18"/>
    <cellStyle name="Čiarka" xfId="3" builtinId="3"/>
    <cellStyle name="Čiarka 2" xfId="24"/>
    <cellStyle name="Čiarka 2 2" xfId="42"/>
    <cellStyle name="Čiarka 2 3" xfId="61"/>
    <cellStyle name="Čiarka 3" xfId="35"/>
    <cellStyle name="Čiarka 4" xfId="36"/>
    <cellStyle name="Čiarka 4 2" xfId="68"/>
    <cellStyle name="Čiarka 5" xfId="46"/>
    <cellStyle name="Čiarka 5 2" xfId="70"/>
    <cellStyle name="Čiarka 6" xfId="52"/>
    <cellStyle name="Excel Built-in Normal" xfId="23"/>
    <cellStyle name="Hypertextové prepojenie" xfId="1" builtinId="8"/>
    <cellStyle name="Normal 3" xfId="49"/>
    <cellStyle name="Normal 45" xfId="34"/>
    <cellStyle name="Normal 45 2" xfId="41"/>
    <cellStyle name="Normal 45 2 2" xfId="69"/>
    <cellStyle name="Normal 45 3" xfId="67"/>
    <cellStyle name="Normal_TAB2 2" xfId="7"/>
    <cellStyle name="Normálna 11" xfId="4"/>
    <cellStyle name="Normálna 2 2" xfId="15"/>
    <cellStyle name="Normálna 3" xfId="31"/>
    <cellStyle name="Normálne" xfId="0" builtinId="0"/>
    <cellStyle name="normálne 10" xfId="30"/>
    <cellStyle name="Normálne 11" xfId="48"/>
    <cellStyle name="Normálne 11 2" xfId="71"/>
    <cellStyle name="Normálne 11 2 5" xfId="5"/>
    <cellStyle name="Normálne 11 2 5 2" xfId="25"/>
    <cellStyle name="Normálne 11 2 5 2 2" xfId="62"/>
    <cellStyle name="Normálne 11 2 5 3" xfId="53"/>
    <cellStyle name="Normálne 14" xfId="16"/>
    <cellStyle name="Normálne 14 2" xfId="29"/>
    <cellStyle name="Normálne 14 2 2" xfId="66"/>
    <cellStyle name="Normálne 14 3" xfId="57"/>
    <cellStyle name="Normálne 16" xfId="47"/>
    <cellStyle name="Normálne 2" xfId="6"/>
    <cellStyle name="Normálne 2 2" xfId="26"/>
    <cellStyle name="Normálne 2 2 2" xfId="63"/>
    <cellStyle name="Normálne 2 3" xfId="33"/>
    <cellStyle name="Normálne 2 4" xfId="54"/>
    <cellStyle name="Normálne 2 5" xfId="50"/>
    <cellStyle name="Normálne 3" xfId="13"/>
    <cellStyle name="Normálne 3 2" xfId="27"/>
    <cellStyle name="Normálne 3 2 2" xfId="64"/>
    <cellStyle name="Normálne 3 3" xfId="40"/>
    <cellStyle name="Normálne 3 4" xfId="55"/>
    <cellStyle name="Normálne 4" xfId="17"/>
    <cellStyle name="Normálne 4 2" xfId="39"/>
    <cellStyle name="Normálne 4 3" xfId="58"/>
    <cellStyle name="Normálne 5" xfId="20"/>
    <cellStyle name="Normálne 5 2" xfId="59"/>
    <cellStyle name="normálne 5 2 2" xfId="51"/>
    <cellStyle name="Normálne 50 2" xfId="22"/>
    <cellStyle name="Normálne 57" xfId="14"/>
    <cellStyle name="Normálne 57 2" xfId="28"/>
    <cellStyle name="Normálne 57 2 2" xfId="65"/>
    <cellStyle name="Normálne 57 3" xfId="56"/>
    <cellStyle name="Normálne 6" xfId="37"/>
    <cellStyle name="normálne 7" xfId="11"/>
    <cellStyle name="Normálne 8" xfId="38"/>
    <cellStyle name="Normálne 9" xfId="45"/>
    <cellStyle name="normálne 9_Tabulky IFP_casove rady-request_20111102_" xfId="8"/>
    <cellStyle name="Percentá" xfId="2" builtinId="5"/>
    <cellStyle name="Percentá 2" xfId="21"/>
    <cellStyle name="Percentá 2 2" xfId="32"/>
    <cellStyle name="Percentá 2 3" xfId="43"/>
    <cellStyle name="Percentá 2 4" xfId="60"/>
    <cellStyle name="percentá 3" xfId="12"/>
    <cellStyle name="Percentá 4" xfId="44"/>
  </cellStyles>
  <dxfs count="3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2C9B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externalLink" Target="externalLinks/externalLink52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3.xml"/><Relationship Id="rId84" Type="http://schemas.openxmlformats.org/officeDocument/2006/relationships/externalLink" Target="externalLinks/externalLink19.xml"/><Relationship Id="rId89" Type="http://schemas.openxmlformats.org/officeDocument/2006/relationships/externalLink" Target="externalLinks/externalLink24.xml"/><Relationship Id="rId112" Type="http://schemas.openxmlformats.org/officeDocument/2006/relationships/externalLink" Target="externalLinks/externalLink47.xml"/><Relationship Id="rId133" Type="http://schemas.openxmlformats.org/officeDocument/2006/relationships/externalLink" Target="externalLinks/externalLink68.xml"/><Relationship Id="rId138" Type="http://schemas.openxmlformats.org/officeDocument/2006/relationships/externalLink" Target="externalLinks/externalLink73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42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9.xml"/><Relationship Id="rId79" Type="http://schemas.openxmlformats.org/officeDocument/2006/relationships/externalLink" Target="externalLinks/externalLink14.xml"/><Relationship Id="rId102" Type="http://schemas.openxmlformats.org/officeDocument/2006/relationships/externalLink" Target="externalLinks/externalLink37.xml"/><Relationship Id="rId123" Type="http://schemas.openxmlformats.org/officeDocument/2006/relationships/externalLink" Target="externalLinks/externalLink58.xml"/><Relationship Id="rId128" Type="http://schemas.openxmlformats.org/officeDocument/2006/relationships/externalLink" Target="externalLinks/externalLink63.xml"/><Relationship Id="rId144" Type="http://schemas.openxmlformats.org/officeDocument/2006/relationships/externalLink" Target="externalLinks/externalLink79.xml"/><Relationship Id="rId14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25.xml"/><Relationship Id="rId95" Type="http://schemas.openxmlformats.org/officeDocument/2006/relationships/externalLink" Target="externalLinks/externalLink30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externalLink" Target="externalLinks/externalLink4.xml"/><Relationship Id="rId113" Type="http://schemas.openxmlformats.org/officeDocument/2006/relationships/externalLink" Target="externalLinks/externalLink48.xml"/><Relationship Id="rId118" Type="http://schemas.openxmlformats.org/officeDocument/2006/relationships/externalLink" Target="externalLinks/externalLink53.xml"/><Relationship Id="rId134" Type="http://schemas.openxmlformats.org/officeDocument/2006/relationships/externalLink" Target="externalLinks/externalLink69.xml"/><Relationship Id="rId139" Type="http://schemas.openxmlformats.org/officeDocument/2006/relationships/externalLink" Target="externalLinks/externalLink74.xml"/><Relationship Id="rId80" Type="http://schemas.openxmlformats.org/officeDocument/2006/relationships/externalLink" Target="externalLinks/externalLink15.xml"/><Relationship Id="rId85" Type="http://schemas.openxmlformats.org/officeDocument/2006/relationships/externalLink" Target="externalLinks/externalLink20.xml"/><Relationship Id="rId15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2.xml"/><Relationship Id="rId103" Type="http://schemas.openxmlformats.org/officeDocument/2006/relationships/externalLink" Target="externalLinks/externalLink38.xml"/><Relationship Id="rId108" Type="http://schemas.openxmlformats.org/officeDocument/2006/relationships/externalLink" Target="externalLinks/externalLink43.xml"/><Relationship Id="rId116" Type="http://schemas.openxmlformats.org/officeDocument/2006/relationships/externalLink" Target="externalLinks/externalLink51.xml"/><Relationship Id="rId124" Type="http://schemas.openxmlformats.org/officeDocument/2006/relationships/externalLink" Target="externalLinks/externalLink59.xml"/><Relationship Id="rId129" Type="http://schemas.openxmlformats.org/officeDocument/2006/relationships/externalLink" Target="externalLinks/externalLink64.xml"/><Relationship Id="rId137" Type="http://schemas.openxmlformats.org/officeDocument/2006/relationships/externalLink" Target="externalLinks/externalLink7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externalLink" Target="externalLinks/externalLink5.xml"/><Relationship Id="rId75" Type="http://schemas.openxmlformats.org/officeDocument/2006/relationships/externalLink" Target="externalLinks/externalLink10.xml"/><Relationship Id="rId83" Type="http://schemas.openxmlformats.org/officeDocument/2006/relationships/externalLink" Target="externalLinks/externalLink18.xml"/><Relationship Id="rId88" Type="http://schemas.openxmlformats.org/officeDocument/2006/relationships/externalLink" Target="externalLinks/externalLink23.xml"/><Relationship Id="rId91" Type="http://schemas.openxmlformats.org/officeDocument/2006/relationships/externalLink" Target="externalLinks/externalLink26.xml"/><Relationship Id="rId96" Type="http://schemas.openxmlformats.org/officeDocument/2006/relationships/externalLink" Target="externalLinks/externalLink31.xml"/><Relationship Id="rId111" Type="http://schemas.openxmlformats.org/officeDocument/2006/relationships/externalLink" Target="externalLinks/externalLink46.xml"/><Relationship Id="rId132" Type="http://schemas.openxmlformats.org/officeDocument/2006/relationships/externalLink" Target="externalLinks/externalLink67.xml"/><Relationship Id="rId140" Type="http://schemas.openxmlformats.org/officeDocument/2006/relationships/externalLink" Target="externalLinks/externalLink75.xml"/><Relationship Id="rId145" Type="http://schemas.openxmlformats.org/officeDocument/2006/relationships/externalLink" Target="externalLinks/externalLink8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41.xml"/><Relationship Id="rId114" Type="http://schemas.openxmlformats.org/officeDocument/2006/relationships/externalLink" Target="externalLinks/externalLink49.xml"/><Relationship Id="rId119" Type="http://schemas.openxmlformats.org/officeDocument/2006/relationships/externalLink" Target="externalLinks/externalLink54.xml"/><Relationship Id="rId127" Type="http://schemas.openxmlformats.org/officeDocument/2006/relationships/externalLink" Target="externalLinks/externalLink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8.xml"/><Relationship Id="rId78" Type="http://schemas.openxmlformats.org/officeDocument/2006/relationships/externalLink" Target="externalLinks/externalLink13.xml"/><Relationship Id="rId81" Type="http://schemas.openxmlformats.org/officeDocument/2006/relationships/externalLink" Target="externalLinks/externalLink16.xml"/><Relationship Id="rId86" Type="http://schemas.openxmlformats.org/officeDocument/2006/relationships/externalLink" Target="externalLinks/externalLink21.xml"/><Relationship Id="rId94" Type="http://schemas.openxmlformats.org/officeDocument/2006/relationships/externalLink" Target="externalLinks/externalLink29.xml"/><Relationship Id="rId99" Type="http://schemas.openxmlformats.org/officeDocument/2006/relationships/externalLink" Target="externalLinks/externalLink34.xml"/><Relationship Id="rId101" Type="http://schemas.openxmlformats.org/officeDocument/2006/relationships/externalLink" Target="externalLinks/externalLink36.xml"/><Relationship Id="rId122" Type="http://schemas.openxmlformats.org/officeDocument/2006/relationships/externalLink" Target="externalLinks/externalLink57.xml"/><Relationship Id="rId130" Type="http://schemas.openxmlformats.org/officeDocument/2006/relationships/externalLink" Target="externalLinks/externalLink65.xml"/><Relationship Id="rId135" Type="http://schemas.openxmlformats.org/officeDocument/2006/relationships/externalLink" Target="externalLinks/externalLink70.xml"/><Relationship Id="rId143" Type="http://schemas.openxmlformats.org/officeDocument/2006/relationships/externalLink" Target="externalLinks/externalLink78.xml"/><Relationship Id="rId14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44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11.xml"/><Relationship Id="rId97" Type="http://schemas.openxmlformats.org/officeDocument/2006/relationships/externalLink" Target="externalLinks/externalLink32.xml"/><Relationship Id="rId104" Type="http://schemas.openxmlformats.org/officeDocument/2006/relationships/externalLink" Target="externalLinks/externalLink39.xml"/><Relationship Id="rId120" Type="http://schemas.openxmlformats.org/officeDocument/2006/relationships/externalLink" Target="externalLinks/externalLink55.xml"/><Relationship Id="rId125" Type="http://schemas.openxmlformats.org/officeDocument/2006/relationships/externalLink" Target="externalLinks/externalLink60.xml"/><Relationship Id="rId141" Type="http://schemas.openxmlformats.org/officeDocument/2006/relationships/externalLink" Target="externalLinks/externalLink76.xml"/><Relationship Id="rId146" Type="http://schemas.openxmlformats.org/officeDocument/2006/relationships/externalLink" Target="externalLinks/externalLink8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.xml"/><Relationship Id="rId92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externalLink" Target="externalLinks/externalLink1.xml"/><Relationship Id="rId87" Type="http://schemas.openxmlformats.org/officeDocument/2006/relationships/externalLink" Target="externalLinks/externalLink22.xml"/><Relationship Id="rId110" Type="http://schemas.openxmlformats.org/officeDocument/2006/relationships/externalLink" Target="externalLinks/externalLink45.xml"/><Relationship Id="rId115" Type="http://schemas.openxmlformats.org/officeDocument/2006/relationships/externalLink" Target="externalLinks/externalLink50.xml"/><Relationship Id="rId131" Type="http://schemas.openxmlformats.org/officeDocument/2006/relationships/externalLink" Target="externalLinks/externalLink66.xml"/><Relationship Id="rId136" Type="http://schemas.openxmlformats.org/officeDocument/2006/relationships/externalLink" Target="externalLinks/externalLink71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12.xml"/><Relationship Id="rId100" Type="http://schemas.openxmlformats.org/officeDocument/2006/relationships/externalLink" Target="externalLinks/externalLink35.xml"/><Relationship Id="rId105" Type="http://schemas.openxmlformats.org/officeDocument/2006/relationships/externalLink" Target="externalLinks/externalLink40.xml"/><Relationship Id="rId126" Type="http://schemas.openxmlformats.org/officeDocument/2006/relationships/externalLink" Target="externalLinks/externalLink61.xml"/><Relationship Id="rId14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7.xml"/><Relationship Id="rId93" Type="http://schemas.openxmlformats.org/officeDocument/2006/relationships/externalLink" Target="externalLinks/externalLink28.xml"/><Relationship Id="rId98" Type="http://schemas.openxmlformats.org/officeDocument/2006/relationships/externalLink" Target="externalLinks/externalLink33.xml"/><Relationship Id="rId121" Type="http://schemas.openxmlformats.org/officeDocument/2006/relationships/externalLink" Target="externalLinks/externalLink56.xml"/><Relationship Id="rId142" Type="http://schemas.openxmlformats.org/officeDocument/2006/relationships/externalLink" Target="externalLinks/externalLink77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7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7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9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0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4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5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5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Nominálne saldo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9.05278414693547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6BD-49C1-A45B-7D2DEEE5882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2070378862580637E-2"/>
                  <c:y val="5.5436507936507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6BD-49C1-A45B-7D2DEEE5882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0351894312902082E-3"/>
                  <c:y val="1.0079365079365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6BD-49C1-A45B-7D2DEEE5882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1+2'!$B$20:$G$20</c:f>
              <c:strCache>
                <c:ptCount val="6"/>
                <c:pt idx="0">
                  <c:v>2016*</c:v>
                </c:pt>
                <c:pt idx="1">
                  <c:v>2017**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 1+2'!$B$21:$G$21</c:f>
              <c:numCache>
                <c:formatCode>0.0</c:formatCode>
                <c:ptCount val="6"/>
                <c:pt idx="0">
                  <c:v>-2.2064959832030882</c:v>
                </c:pt>
                <c:pt idx="1">
                  <c:v>-1.0407271892731618</c:v>
                </c:pt>
                <c:pt idx="2">
                  <c:v>-0.79910212580028939</c:v>
                </c:pt>
                <c:pt idx="3">
                  <c:v>-0.31517668539133092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6BD-49C1-A45B-7D2DEEE58825}"/>
            </c:ext>
          </c:extLst>
        </c:ser>
        <c:ser>
          <c:idx val="3"/>
          <c:order val="1"/>
          <c:tx>
            <c:v>Štrukturálne saldo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1+2'!$B$20:$G$20</c:f>
              <c:strCache>
                <c:ptCount val="6"/>
                <c:pt idx="0">
                  <c:v>2016*</c:v>
                </c:pt>
                <c:pt idx="1">
                  <c:v>2017**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 1+2'!$B$22:$G$22</c:f>
              <c:numCache>
                <c:formatCode>0.0</c:formatCode>
                <c:ptCount val="6"/>
                <c:pt idx="0">
                  <c:v>-2.0362071520030711</c:v>
                </c:pt>
                <c:pt idx="1">
                  <c:v>-1.0769884619963133</c:v>
                </c:pt>
                <c:pt idx="2">
                  <c:v>-1.0219281882893039</c:v>
                </c:pt>
                <c:pt idx="3">
                  <c:v>-0.7476754017966265</c:v>
                </c:pt>
                <c:pt idx="4">
                  <c:v>-0.42765578470995369</c:v>
                </c:pt>
                <c:pt idx="5">
                  <c:v>-0.31261420543608148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6BD-49C1-A45B-7D2DEEE58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4897304"/>
        <c:axId val="314897696"/>
        <c:extLst xmlns:c16r2="http://schemas.microsoft.com/office/drawing/2015/06/chart"/>
      </c:barChart>
      <c:lineChart>
        <c:grouping val="standard"/>
        <c:varyColors val="0"/>
        <c:ser>
          <c:idx val="6"/>
          <c:order val="2"/>
          <c:tx>
            <c:v>Konsolidačné úsilie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4389768690672782E-2"/>
                  <c:y val="-6.0564285714285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6BD-49C1-A45B-7D2DEEE5882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597198626637996E-2"/>
                  <c:y val="3.5189682539682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6BD-49C1-A45B-7D2DEEE58825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'Graf 1+2'!$B$23:$G$23</c:f>
              <c:numCache>
                <c:formatCode>0.0</c:formatCode>
                <c:ptCount val="6"/>
                <c:pt idx="0">
                  <c:v>0.75179018100000006</c:v>
                </c:pt>
                <c:pt idx="1">
                  <c:v>0.95921869000675786</c:v>
                </c:pt>
                <c:pt idx="2">
                  <c:v>5.5060273707009388E-2</c:v>
                </c:pt>
                <c:pt idx="3">
                  <c:v>0.27425278649267737</c:v>
                </c:pt>
                <c:pt idx="4">
                  <c:v>0.32001961708667281</c:v>
                </c:pt>
                <c:pt idx="5">
                  <c:v>0.11504157927387221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46BD-49C1-A45B-7D2DEEE58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897304"/>
        <c:axId val="314897696"/>
        <c:extLst xmlns:c16r2="http://schemas.microsoft.com/office/drawing/2015/06/chart"/>
      </c:lineChart>
      <c:catAx>
        <c:axId val="314897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14897696"/>
        <c:crosses val="autoZero"/>
        <c:auto val="1"/>
        <c:lblAlgn val="ctr"/>
        <c:lblOffset val="100"/>
        <c:noMultiLvlLbl val="0"/>
      </c:catAx>
      <c:valAx>
        <c:axId val="31489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14897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8.107896825396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6244080601036"/>
          <c:y val="5.0925925925925923E-2"/>
          <c:w val="0.85183685372661755"/>
          <c:h val="0.78625765529308833"/>
        </c:manualLayout>
      </c:layout>
      <c:lineChart>
        <c:grouping val="standard"/>
        <c:varyColors val="0"/>
        <c:ser>
          <c:idx val="2"/>
          <c:order val="0"/>
          <c:tx>
            <c:strRef>
              <c:f>'Graf 5+6'!$H$12</c:f>
              <c:strCache>
                <c:ptCount val="1"/>
                <c:pt idx="0">
                  <c:v>Inflačný cieľ ECB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5+6'!$I$12:$AT$12</c:f>
              <c:numCache>
                <c:formatCode>0.00</c:formatCode>
                <c:ptCount val="3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B4-4F2D-9BA6-86306C43C096}"/>
            </c:ext>
          </c:extLst>
        </c:ser>
        <c:ser>
          <c:idx val="0"/>
          <c:order val="1"/>
          <c:tx>
            <c:strRef>
              <c:f>'Graf 5+6'!$H$10</c:f>
              <c:strCache>
                <c:ptCount val="1"/>
                <c:pt idx="0">
                  <c:v>Inflácia v eurozóne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5+6'!$I$10:$AT$10</c:f>
              <c:numCache>
                <c:formatCode>#\ ##0.0</c:formatCode>
                <c:ptCount val="38"/>
                <c:pt idx="0">
                  <c:v>0.3</c:v>
                </c:pt>
                <c:pt idx="1">
                  <c:v>-0.2</c:v>
                </c:pt>
                <c:pt idx="2">
                  <c:v>0</c:v>
                </c:pt>
                <c:pt idx="3">
                  <c:v>-0.2</c:v>
                </c:pt>
                <c:pt idx="4">
                  <c:v>-0.1</c:v>
                </c:pt>
                <c:pt idx="5">
                  <c:v>0.1</c:v>
                </c:pt>
                <c:pt idx="6">
                  <c:v>0.2</c:v>
                </c:pt>
                <c:pt idx="7">
                  <c:v>0.2</c:v>
                </c:pt>
                <c:pt idx="8">
                  <c:v>0.4</c:v>
                </c:pt>
                <c:pt idx="9">
                  <c:v>0.5</c:v>
                </c:pt>
                <c:pt idx="10">
                  <c:v>0.6</c:v>
                </c:pt>
                <c:pt idx="11">
                  <c:v>1.1000000000000001</c:v>
                </c:pt>
                <c:pt idx="12">
                  <c:v>1.8</c:v>
                </c:pt>
                <c:pt idx="13">
                  <c:v>2</c:v>
                </c:pt>
                <c:pt idx="14">
                  <c:v>1.5</c:v>
                </c:pt>
                <c:pt idx="15">
                  <c:v>1.9</c:v>
                </c:pt>
                <c:pt idx="16">
                  <c:v>1.4</c:v>
                </c:pt>
                <c:pt idx="17">
                  <c:v>1.3</c:v>
                </c:pt>
                <c:pt idx="18">
                  <c:v>1.3</c:v>
                </c:pt>
                <c:pt idx="19">
                  <c:v>1.5</c:v>
                </c:pt>
                <c:pt idx="20">
                  <c:v>1.5</c:v>
                </c:pt>
                <c:pt idx="21">
                  <c:v>1.4</c:v>
                </c:pt>
                <c:pt idx="22">
                  <c:v>1.5</c:v>
                </c:pt>
                <c:pt idx="23">
                  <c:v>1.4</c:v>
                </c:pt>
                <c:pt idx="24">
                  <c:v>1.3</c:v>
                </c:pt>
                <c:pt idx="25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B4-4F2D-9BA6-86306C43C096}"/>
            </c:ext>
          </c:extLst>
        </c:ser>
        <c:ser>
          <c:idx val="1"/>
          <c:order val="2"/>
          <c:tx>
            <c:strRef>
              <c:f>'Graf 5+6'!$H$11</c:f>
              <c:strCache>
                <c:ptCount val="1"/>
                <c:pt idx="0">
                  <c:v>Inflačné očakávania v roku 2018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5+6'!$I$11:$AT$11</c:f>
              <c:numCache>
                <c:formatCode>General</c:formatCode>
                <c:ptCount val="38"/>
                <c:pt idx="0">
                  <c:v>1.5149999999999999</c:v>
                </c:pt>
                <c:pt idx="1">
                  <c:v>1.361</c:v>
                </c:pt>
                <c:pt idx="2">
                  <c:v>1.407</c:v>
                </c:pt>
                <c:pt idx="3">
                  <c:v>1.4710000000000001</c:v>
                </c:pt>
                <c:pt idx="4">
                  <c:v>1.4750000000000001</c:v>
                </c:pt>
                <c:pt idx="5">
                  <c:v>1.3180000000000001</c:v>
                </c:pt>
                <c:pt idx="6">
                  <c:v>1.3395999999999999</c:v>
                </c:pt>
                <c:pt idx="7">
                  <c:v>1.302</c:v>
                </c:pt>
                <c:pt idx="8">
                  <c:v>1.355</c:v>
                </c:pt>
                <c:pt idx="9">
                  <c:v>1.4646999999999999</c:v>
                </c:pt>
                <c:pt idx="10">
                  <c:v>1.619</c:v>
                </c:pt>
                <c:pt idx="11">
                  <c:v>1.7435</c:v>
                </c:pt>
                <c:pt idx="12">
                  <c:v>1.8</c:v>
                </c:pt>
                <c:pt idx="13">
                  <c:v>1.696</c:v>
                </c:pt>
                <c:pt idx="14">
                  <c:v>1.5597000000000001</c:v>
                </c:pt>
                <c:pt idx="15">
                  <c:v>1.6267</c:v>
                </c:pt>
                <c:pt idx="16">
                  <c:v>1.5625</c:v>
                </c:pt>
                <c:pt idx="17">
                  <c:v>1.5791999999999999</c:v>
                </c:pt>
                <c:pt idx="18">
                  <c:v>1.62</c:v>
                </c:pt>
                <c:pt idx="19">
                  <c:v>1.605</c:v>
                </c:pt>
                <c:pt idx="20">
                  <c:v>1.6180000000000001</c:v>
                </c:pt>
                <c:pt idx="21">
                  <c:v>1.6597</c:v>
                </c:pt>
                <c:pt idx="22">
                  <c:v>1.6950000000000001</c:v>
                </c:pt>
                <c:pt idx="23">
                  <c:v>1.72</c:v>
                </c:pt>
                <c:pt idx="24">
                  <c:v>1.7310000000000001</c:v>
                </c:pt>
                <c:pt idx="25">
                  <c:v>1.7242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7B4-4F2D-9BA6-86306C43C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193168"/>
        <c:axId val="322193560"/>
      </c:lineChart>
      <c:dateAx>
        <c:axId val="32219316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193560"/>
        <c:crosses val="autoZero"/>
        <c:auto val="1"/>
        <c:lblOffset val="100"/>
        <c:baseTimeUnit val="months"/>
      </c:dateAx>
      <c:valAx>
        <c:axId val="322193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19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937869878221868"/>
          <c:y val="0.63165369748627309"/>
          <c:w val="0.61384660250801981"/>
          <c:h val="0.20167980184194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627062706270626E-2"/>
          <c:y val="5.1103368176538912E-2"/>
          <c:w val="0.90329201424079419"/>
          <c:h val="0.841123030352913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 54'!$L$16</c:f>
              <c:strCache>
                <c:ptCount val="1"/>
                <c:pt idx="0">
                  <c:v>p. b. HDP 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54'!$K$29:$K$38</c:f>
              <c:strCache>
                <c:ptCount val="10"/>
                <c:pt idx="0">
                  <c:v>10. Social protection</c:v>
                </c:pt>
                <c:pt idx="1">
                  <c:v>9. Education</c:v>
                </c:pt>
                <c:pt idx="2">
                  <c:v>8. Recreation, culture  and religion</c:v>
                </c:pt>
                <c:pt idx="3">
                  <c:v>7. Health</c:v>
                </c:pt>
                <c:pt idx="4">
                  <c:v>6. housing and community amenities</c:v>
                </c:pt>
                <c:pt idx="5">
                  <c:v>5. Environmental protection</c:v>
                </c:pt>
                <c:pt idx="6">
                  <c:v>4. Economic affairs </c:v>
                </c:pt>
                <c:pt idx="7">
                  <c:v>3. Public order and safety</c:v>
                </c:pt>
                <c:pt idx="8">
                  <c:v>2. Defense</c:v>
                </c:pt>
                <c:pt idx="9">
                  <c:v>1. General public services</c:v>
                </c:pt>
              </c:strCache>
            </c:strRef>
          </c:cat>
          <c:val>
            <c:numRef>
              <c:f>'Graf 54'!$M$29:$M$38</c:f>
              <c:numCache>
                <c:formatCode>0.00</c:formatCode>
                <c:ptCount val="10"/>
                <c:pt idx="0">
                  <c:v>-1.03</c:v>
                </c:pt>
                <c:pt idx="1">
                  <c:v>0.05</c:v>
                </c:pt>
                <c:pt idx="2">
                  <c:v>-0.19</c:v>
                </c:pt>
                <c:pt idx="3">
                  <c:v>-0.55000000000000004</c:v>
                </c:pt>
                <c:pt idx="4">
                  <c:v>0.01</c:v>
                </c:pt>
                <c:pt idx="5">
                  <c:v>-7.0000000000000007E-2</c:v>
                </c:pt>
                <c:pt idx="6">
                  <c:v>0.04</c:v>
                </c:pt>
                <c:pt idx="7">
                  <c:v>-0.28000000000000003</c:v>
                </c:pt>
                <c:pt idx="8">
                  <c:v>0.4</c:v>
                </c:pt>
                <c:pt idx="9">
                  <c:v>-0.32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E1-4EF5-9B94-BB520AFB3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453808208"/>
        <c:axId val="453808600"/>
      </c:barChart>
      <c:catAx>
        <c:axId val="45380820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low"/>
        <c:crossAx val="453808600"/>
        <c:crossesAt val="0"/>
        <c:auto val="1"/>
        <c:lblAlgn val="ctr"/>
        <c:lblOffset val="100"/>
        <c:noMultiLvlLbl val="0"/>
      </c:catAx>
      <c:valAx>
        <c:axId val="453808600"/>
        <c:scaling>
          <c:orientation val="minMax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8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981677058443782E-2"/>
          <c:y val="3.1890353795739658E-2"/>
          <c:w val="0.88085165415765387"/>
          <c:h val="0.641723174836524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55'!$P$7</c:f>
              <c:strCache>
                <c:ptCount val="1"/>
                <c:pt idx="0">
                  <c:v>assessed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  <a:effectLst/>
          </c:spPr>
          <c:invertIfNegative val="0"/>
          <c:dLbls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60B2-4DC3-B568-750EBE7C0281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0B2-4DC3-B568-750EBE7C0281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60B2-4DC3-B568-750EBE7C0281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0B2-4DC3-B568-750EBE7C0281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60B2-4DC3-B568-750EBE7C0281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0B2-4DC3-B568-750EBE7C0281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0B2-4DC3-B568-750EBE7C028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55'!$O$8:$O$22</c:f>
              <c:strCache>
                <c:ptCount val="15"/>
                <c:pt idx="0">
                  <c:v>Healh insurance</c:v>
                </c:pt>
                <c:pt idx="1">
                  <c:v>Transportation</c:v>
                </c:pt>
                <c:pt idx="2">
                  <c:v>Internal affairs</c:v>
                </c:pt>
                <c:pt idx="3">
                  <c:v>Jobs and social items</c:v>
                </c:pt>
                <c:pt idx="4">
                  <c:v>Education</c:v>
                </c:pt>
                <c:pt idx="5">
                  <c:v>Defense</c:v>
                </c:pt>
                <c:pt idx="6">
                  <c:v>Agriculture</c:v>
                </c:pt>
                <c:pt idx="7">
                  <c:v>Social insurance</c:v>
                </c:pt>
                <c:pt idx="8">
                  <c:v>Finance</c:v>
                </c:pt>
                <c:pt idx="9">
                  <c:v>Justice</c:v>
                </c:pt>
                <c:pt idx="10">
                  <c:v>Culture</c:v>
                </c:pt>
                <c:pt idx="11">
                  <c:v>Environment</c:v>
                </c:pt>
                <c:pt idx="12">
                  <c:v>Economy</c:v>
                </c:pt>
                <c:pt idx="13">
                  <c:v>Healthcare</c:v>
                </c:pt>
                <c:pt idx="14">
                  <c:v>Foreign affairs</c:v>
                </c:pt>
              </c:strCache>
            </c:strRef>
          </c:cat>
          <c:val>
            <c:numRef>
              <c:f>'Graf 55'!$P$8:$P$22</c:f>
              <c:numCache>
                <c:formatCode>0.0%</c:formatCode>
                <c:ptCount val="15"/>
                <c:pt idx="0">
                  <c:v>5.6060843594908788E-2</c:v>
                </c:pt>
                <c:pt idx="1">
                  <c:v>2.67056792778636E-2</c:v>
                </c:pt>
                <c:pt idx="2">
                  <c:v>1.5518954269589441E-2</c:v>
                </c:pt>
                <c:pt idx="3">
                  <c:v>2.570380190484783E-2</c:v>
                </c:pt>
                <c:pt idx="4">
                  <c:v>1.263387722197452E-2</c:v>
                </c:pt>
                <c:pt idx="5">
                  <c:v>1.7919400779693135E-4</c:v>
                </c:pt>
                <c:pt idx="6">
                  <c:v>6.7991179105650931E-5</c:v>
                </c:pt>
                <c:pt idx="7">
                  <c:v>1.0867126548517111E-2</c:v>
                </c:pt>
                <c:pt idx="8">
                  <c:v>1.9742177266376297E-3</c:v>
                </c:pt>
                <c:pt idx="9">
                  <c:v>4.087907393319627E-4</c:v>
                </c:pt>
                <c:pt idx="10">
                  <c:v>1.4825598985864324E-4</c:v>
                </c:pt>
                <c:pt idx="11">
                  <c:v>2.9070765425041217E-3</c:v>
                </c:pt>
                <c:pt idx="12">
                  <c:v>2.6728531622395234E-5</c:v>
                </c:pt>
                <c:pt idx="13">
                  <c:v>9.3116768787926109E-5</c:v>
                </c:pt>
                <c:pt idx="14">
                  <c:v>5.8757257157673994E-5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60B2-4DC3-B568-750EBE7C0281}"/>
            </c:ext>
          </c:extLst>
        </c:ser>
        <c:ser>
          <c:idx val="1"/>
          <c:order val="1"/>
          <c:tx>
            <c:strRef>
              <c:f>'Graf 55'!$Q$7</c:f>
              <c:strCache>
                <c:ptCount val="1"/>
                <c:pt idx="0">
                  <c:v>non-assessed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0B2-4DC3-B568-750EBE7C028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0B2-4DC3-B568-750EBE7C0281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60B2-4DC3-B568-750EBE7C0281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60B2-4DC3-B568-750EBE7C0281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"/>
                  <c:y val="-2.899123072339969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60B2-4DC3-B568-750EBE7C028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55'!$O$8:$O$22</c:f>
              <c:strCache>
                <c:ptCount val="15"/>
                <c:pt idx="0">
                  <c:v>Healh insurance</c:v>
                </c:pt>
                <c:pt idx="1">
                  <c:v>Transportation</c:v>
                </c:pt>
                <c:pt idx="2">
                  <c:v>Internal affairs</c:v>
                </c:pt>
                <c:pt idx="3">
                  <c:v>Jobs and social items</c:v>
                </c:pt>
                <c:pt idx="4">
                  <c:v>Education</c:v>
                </c:pt>
                <c:pt idx="5">
                  <c:v>Defense</c:v>
                </c:pt>
                <c:pt idx="6">
                  <c:v>Agriculture</c:v>
                </c:pt>
                <c:pt idx="7">
                  <c:v>Social insurance</c:v>
                </c:pt>
                <c:pt idx="8">
                  <c:v>Finance</c:v>
                </c:pt>
                <c:pt idx="9">
                  <c:v>Justice</c:v>
                </c:pt>
                <c:pt idx="10">
                  <c:v>Culture</c:v>
                </c:pt>
                <c:pt idx="11">
                  <c:v>Environment</c:v>
                </c:pt>
                <c:pt idx="12">
                  <c:v>Economy</c:v>
                </c:pt>
                <c:pt idx="13">
                  <c:v>Healthcare</c:v>
                </c:pt>
                <c:pt idx="14">
                  <c:v>Foreign affairs</c:v>
                </c:pt>
              </c:strCache>
            </c:strRef>
          </c:cat>
          <c:val>
            <c:numRef>
              <c:f>'Graf 55'!$Q$8:$Q$22</c:f>
              <c:numCache>
                <c:formatCode>0.0%</c:formatCode>
                <c:ptCount val="15"/>
                <c:pt idx="0">
                  <c:v>0</c:v>
                </c:pt>
                <c:pt idx="1">
                  <c:v>2.5403704177728867E-3</c:v>
                </c:pt>
                <c:pt idx="2">
                  <c:v>1.336750880107627E-2</c:v>
                </c:pt>
                <c:pt idx="3">
                  <c:v>0</c:v>
                </c:pt>
                <c:pt idx="4">
                  <c:v>2.111899270362194E-3</c:v>
                </c:pt>
                <c:pt idx="5">
                  <c:v>1.2512337659511392E-2</c:v>
                </c:pt>
                <c:pt idx="6">
                  <c:v>1.2323460596582866E-2</c:v>
                </c:pt>
                <c:pt idx="7">
                  <c:v>0</c:v>
                </c:pt>
                <c:pt idx="8">
                  <c:v>3.0995623061783489E-3</c:v>
                </c:pt>
                <c:pt idx="9">
                  <c:v>4.2053851712640887E-3</c:v>
                </c:pt>
                <c:pt idx="10">
                  <c:v>3.1090860667929961E-3</c:v>
                </c:pt>
                <c:pt idx="11">
                  <c:v>0</c:v>
                </c:pt>
                <c:pt idx="12">
                  <c:v>2.8206369557446927E-3</c:v>
                </c:pt>
                <c:pt idx="13">
                  <c:v>1.9044078444082136E-3</c:v>
                </c:pt>
                <c:pt idx="14">
                  <c:v>1.3256592555090706E-3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60B2-4DC3-B568-750EBE7C028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100"/>
        <c:axId val="453809384"/>
        <c:axId val="453809776"/>
      </c:barChart>
      <c:catAx>
        <c:axId val="45380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9776"/>
        <c:crosses val="autoZero"/>
        <c:auto val="1"/>
        <c:lblAlgn val="ctr"/>
        <c:lblOffset val="100"/>
        <c:noMultiLvlLbl val="0"/>
      </c:catAx>
      <c:valAx>
        <c:axId val="45380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60233209174424451"/>
          <c:y val="0.26698024373178775"/>
          <c:w val="0.35322631204097932"/>
          <c:h val="0.1503894456733146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3C3-4E39-80BB-E6916608860A}"/>
              </c:ext>
            </c:extLst>
          </c:dPt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2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2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43C3-4E39-80BB-E6916608860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56+57'!$K$6:$K$27</c:f>
              <c:strCache>
                <c:ptCount val="22"/>
                <c:pt idx="0">
                  <c:v>Sweden</c:v>
                </c:pt>
                <c:pt idx="1">
                  <c:v>Dannmark</c:v>
                </c:pt>
                <c:pt idx="2">
                  <c:v>Finland</c:v>
                </c:pt>
                <c:pt idx="3">
                  <c:v>Estonia</c:v>
                </c:pt>
                <c:pt idx="4">
                  <c:v>Lithuania</c:v>
                </c:pt>
                <c:pt idx="5">
                  <c:v>France</c:v>
                </c:pt>
                <c:pt idx="6">
                  <c:v>Latvia</c:v>
                </c:pt>
                <c:pt idx="7">
                  <c:v>Luxembourg</c:v>
                </c:pt>
                <c:pt idx="8">
                  <c:v>Austria</c:v>
                </c:pt>
                <c:pt idx="9">
                  <c:v>Slovakia</c:v>
                </c:pt>
                <c:pt idx="10">
                  <c:v>Czech rep.</c:v>
                </c:pt>
                <c:pt idx="11">
                  <c:v>Slovenia</c:v>
                </c:pt>
                <c:pt idx="12">
                  <c:v>UK</c:v>
                </c:pt>
                <c:pt idx="13">
                  <c:v>Belgium</c:v>
                </c:pt>
                <c:pt idx="14">
                  <c:v>Poland</c:v>
                </c:pt>
                <c:pt idx="15">
                  <c:v>Greece</c:v>
                </c:pt>
                <c:pt idx="16">
                  <c:v>Portugal</c:v>
                </c:pt>
                <c:pt idx="17">
                  <c:v>The Netherlands</c:v>
                </c:pt>
                <c:pt idx="18">
                  <c:v>Ireland</c:v>
                </c:pt>
                <c:pt idx="19">
                  <c:v>Spian</c:v>
                </c:pt>
                <c:pt idx="20">
                  <c:v>Italy</c:v>
                </c:pt>
                <c:pt idx="21">
                  <c:v>Germany</c:v>
                </c:pt>
              </c:strCache>
            </c:strRef>
          </c:cat>
          <c:val>
            <c:numRef>
              <c:f>'Graf 56+57'!$L$6:$L$27</c:f>
              <c:numCache>
                <c:formatCode>0.0</c:formatCode>
                <c:ptCount val="22"/>
                <c:pt idx="0">
                  <c:v>144.24906585787031</c:v>
                </c:pt>
                <c:pt idx="1">
                  <c:v>143.32644560402196</c:v>
                </c:pt>
                <c:pt idx="2">
                  <c:v>112.07681435049754</c:v>
                </c:pt>
                <c:pt idx="3">
                  <c:v>107.90732736347444</c:v>
                </c:pt>
                <c:pt idx="4">
                  <c:v>104.89663008324568</c:v>
                </c:pt>
                <c:pt idx="5">
                  <c:v>90.578258371973021</c:v>
                </c:pt>
                <c:pt idx="6">
                  <c:v>89.387426947363494</c:v>
                </c:pt>
                <c:pt idx="7">
                  <c:v>88.503407381184175</c:v>
                </c:pt>
                <c:pt idx="8">
                  <c:v>84.349089697259274</c:v>
                </c:pt>
                <c:pt idx="9">
                  <c:v>81.087277185062533</c:v>
                </c:pt>
                <c:pt idx="10">
                  <c:v>80.444630453570326</c:v>
                </c:pt>
                <c:pt idx="11">
                  <c:v>80.419031599834895</c:v>
                </c:pt>
                <c:pt idx="12">
                  <c:v>78.354232587664512</c:v>
                </c:pt>
                <c:pt idx="13">
                  <c:v>75.677760207060004</c:v>
                </c:pt>
                <c:pt idx="14">
                  <c:v>70.718919581368226</c:v>
                </c:pt>
                <c:pt idx="15">
                  <c:v>67.508995944638173</c:v>
                </c:pt>
                <c:pt idx="16">
                  <c:v>65.948964011398928</c:v>
                </c:pt>
                <c:pt idx="17">
                  <c:v>65.551100410386411</c:v>
                </c:pt>
                <c:pt idx="18">
                  <c:v>64.977395485870062</c:v>
                </c:pt>
                <c:pt idx="19">
                  <c:v>63.027428085370786</c:v>
                </c:pt>
                <c:pt idx="20">
                  <c:v>56.424114568744294</c:v>
                </c:pt>
                <c:pt idx="21">
                  <c:v>55.661234289208963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7-43C3-4E39-80BB-E69166088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3810560"/>
        <c:axId val="453810952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7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8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9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1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B-43C3-4E39-80BB-E6916608860A}"/>
                </c:ext>
                <c:ext xmlns:c15="http://schemas.microsoft.com/office/drawing/2012/chart" uri="{CE6537A1-D6FC-4f65-9D91-7224C49458BB}"/>
              </c:extLst>
            </c:dLbl>
            <c:dLbl>
              <c:idx val="2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C-43C3-4E39-80BB-E6916608860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56+57'!$K$6:$K$27</c:f>
              <c:strCache>
                <c:ptCount val="22"/>
                <c:pt idx="0">
                  <c:v>Sweden</c:v>
                </c:pt>
                <c:pt idx="1">
                  <c:v>Dannmark</c:v>
                </c:pt>
                <c:pt idx="2">
                  <c:v>Finland</c:v>
                </c:pt>
                <c:pt idx="3">
                  <c:v>Estonia</c:v>
                </c:pt>
                <c:pt idx="4">
                  <c:v>Lithuania</c:v>
                </c:pt>
                <c:pt idx="5">
                  <c:v>France</c:v>
                </c:pt>
                <c:pt idx="6">
                  <c:v>Latvia</c:v>
                </c:pt>
                <c:pt idx="7">
                  <c:v>Luxembourg</c:v>
                </c:pt>
                <c:pt idx="8">
                  <c:v>Austria</c:v>
                </c:pt>
                <c:pt idx="9">
                  <c:v>Slovakia</c:v>
                </c:pt>
                <c:pt idx="10">
                  <c:v>Czech rep.</c:v>
                </c:pt>
                <c:pt idx="11">
                  <c:v>Slovenia</c:v>
                </c:pt>
                <c:pt idx="12">
                  <c:v>UK</c:v>
                </c:pt>
                <c:pt idx="13">
                  <c:v>Belgium</c:v>
                </c:pt>
                <c:pt idx="14">
                  <c:v>Poland</c:v>
                </c:pt>
                <c:pt idx="15">
                  <c:v>Greece</c:v>
                </c:pt>
                <c:pt idx="16">
                  <c:v>Portugal</c:v>
                </c:pt>
                <c:pt idx="17">
                  <c:v>The Netherlands</c:v>
                </c:pt>
                <c:pt idx="18">
                  <c:v>Ireland</c:v>
                </c:pt>
                <c:pt idx="19">
                  <c:v>Spian</c:v>
                </c:pt>
                <c:pt idx="20">
                  <c:v>Italy</c:v>
                </c:pt>
                <c:pt idx="21">
                  <c:v>Germany</c:v>
                </c:pt>
              </c:strCache>
            </c:strRef>
          </c:cat>
          <c:val>
            <c:numRef>
              <c:f>'Graf 56+57'!$M$6:$M$27</c:f>
              <c:numCache>
                <c:formatCode>0</c:formatCode>
                <c:ptCount val="22"/>
                <c:pt idx="0">
                  <c:v>85.048888639412169</c:v>
                </c:pt>
                <c:pt idx="1">
                  <c:v>85.048888639412169</c:v>
                </c:pt>
                <c:pt idx="2">
                  <c:v>85.048888639412169</c:v>
                </c:pt>
                <c:pt idx="3">
                  <c:v>85.048888639412169</c:v>
                </c:pt>
                <c:pt idx="4">
                  <c:v>85.048888639412169</c:v>
                </c:pt>
                <c:pt idx="5">
                  <c:v>85.048888639412169</c:v>
                </c:pt>
                <c:pt idx="6">
                  <c:v>85.048888639412169</c:v>
                </c:pt>
                <c:pt idx="7">
                  <c:v>85.048888639412169</c:v>
                </c:pt>
                <c:pt idx="8">
                  <c:v>85.048888639412169</c:v>
                </c:pt>
                <c:pt idx="9">
                  <c:v>85.048888639412169</c:v>
                </c:pt>
                <c:pt idx="10">
                  <c:v>85.048888639412169</c:v>
                </c:pt>
                <c:pt idx="11">
                  <c:v>85.048888639412169</c:v>
                </c:pt>
                <c:pt idx="12">
                  <c:v>85.048888639412169</c:v>
                </c:pt>
                <c:pt idx="13">
                  <c:v>85.048888639412169</c:v>
                </c:pt>
                <c:pt idx="14">
                  <c:v>85.048888639412169</c:v>
                </c:pt>
                <c:pt idx="15">
                  <c:v>85.048888639412169</c:v>
                </c:pt>
                <c:pt idx="16">
                  <c:v>85.048888639412169</c:v>
                </c:pt>
                <c:pt idx="17">
                  <c:v>85.048888639412169</c:v>
                </c:pt>
                <c:pt idx="18">
                  <c:v>85.048888639412169</c:v>
                </c:pt>
                <c:pt idx="19">
                  <c:v>85.048888639412169</c:v>
                </c:pt>
                <c:pt idx="20">
                  <c:v>85.048888639412169</c:v>
                </c:pt>
                <c:pt idx="21">
                  <c:v>85.048888639412169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D-43C3-4E39-80BB-E69166088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3810560"/>
        <c:axId val="453810952"/>
      </c:lineChart>
      <c:catAx>
        <c:axId val="45381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10952"/>
        <c:crosses val="autoZero"/>
        <c:auto val="1"/>
        <c:lblAlgn val="ctr"/>
        <c:lblOffset val="100"/>
        <c:noMultiLvlLbl val="0"/>
      </c:catAx>
      <c:valAx>
        <c:axId val="45381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1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56+57'!$M$33:$M$41</c:f>
              <c:strCache>
                <c:ptCount val="9"/>
                <c:pt idx="0">
                  <c:v>primary school teachers</c:v>
                </c:pt>
                <c:pt idx="1">
                  <c:v>secondary school teachers</c:v>
                </c:pt>
                <c:pt idx="2">
                  <c:v>university teachers</c:v>
                </c:pt>
                <c:pt idx="3">
                  <c:v>doctors</c:v>
                </c:pt>
                <c:pt idx="4">
                  <c:v>nurses</c:v>
                </c:pt>
                <c:pt idx="5">
                  <c:v>police officers</c:v>
                </c:pt>
                <c:pt idx="6">
                  <c:v>armed forces</c:v>
                </c:pt>
                <c:pt idx="7">
                  <c:v>fire brigade</c:v>
                </c:pt>
                <c:pt idx="8">
                  <c:v>judiciary</c:v>
                </c:pt>
              </c:strCache>
            </c:strRef>
          </c:cat>
          <c:val>
            <c:numRef>
              <c:f>'Graf 56+57'!$L$33:$L$41</c:f>
              <c:numCache>
                <c:formatCode>0%</c:formatCode>
                <c:ptCount val="9"/>
                <c:pt idx="0">
                  <c:v>-0.11627906976744184</c:v>
                </c:pt>
                <c:pt idx="1">
                  <c:v>5.738143594674594E-2</c:v>
                </c:pt>
                <c:pt idx="2">
                  <c:v>0.21538461538461551</c:v>
                </c:pt>
                <c:pt idx="3">
                  <c:v>2.941176470588247E-2</c:v>
                </c:pt>
                <c:pt idx="4">
                  <c:v>-0.3666666666666667</c:v>
                </c:pt>
                <c:pt idx="5">
                  <c:v>0.20588235294117641</c:v>
                </c:pt>
                <c:pt idx="6">
                  <c:v>-0.42000000000000004</c:v>
                </c:pt>
                <c:pt idx="7">
                  <c:v>-3.4091419962835157E-2</c:v>
                </c:pt>
                <c:pt idx="8">
                  <c:v>0.23204085671781582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8A-4816-B929-0C607E802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4586216"/>
        <c:axId val="454586608"/>
      </c:barChart>
      <c:catAx>
        <c:axId val="454586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86608"/>
        <c:crosses val="autoZero"/>
        <c:auto val="1"/>
        <c:lblAlgn val="ctr"/>
        <c:lblOffset val="100"/>
        <c:noMultiLvlLbl val="0"/>
      </c:catAx>
      <c:valAx>
        <c:axId val="454586608"/>
        <c:scaling>
          <c:orientation val="minMax"/>
          <c:max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86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621862651666072E-2"/>
          <c:y val="6.3654158799128072E-2"/>
          <c:w val="0.92485240840528238"/>
          <c:h val="0.7710377678304548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403948447079757E-2"/>
                  <c:y val="-5.9485882172825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632034632034632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650178388878013E-2"/>
                  <c:y val="-4.7912398754802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51806315063979E-2"/>
                  <c:y val="-4.7680929086442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169663499157572E-2"/>
                  <c:y val="-4.7680929086442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290043290043288E-2"/>
                  <c:y val="-3.33333479148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175941082376847E-2"/>
                  <c:y val="-5.9716896192232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1746070515342686E-2"/>
                  <c:y val="-4.7449915067035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8533587468281243E-2"/>
                  <c:y val="-4.698743137926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6.3492063492063391E-2"/>
                  <c:y val="-2.2222231943233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6378026327125431E-2"/>
                  <c:y val="-2.8933708545058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5.1948051948051951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3839264382353698E-2"/>
                  <c:y val="-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F75-4C4F-A2BA-69588C7BDC3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'Graf 58'!#REF!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5F75-4C4F-A2BA-69588C7BDC3D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58'!#REF!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58'!#REF!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739570889706216E-2"/>
                  <c:y val="2.3146966836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83926438235349E-2"/>
                  <c:y val="4.6293933672093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29908047794189E-2"/>
                  <c:y val="2.3146966836046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7938957875000777E-2"/>
                  <c:y val="2.8933708545058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2299080477941911E-2"/>
                  <c:y val="4.050719196308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2299080477941862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511901917647132E-2"/>
                  <c:y val="2.3146966836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2299080477941862E-2"/>
                  <c:y val="3.47204502540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255950958823566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255950958823566E-2"/>
                  <c:y val="4.0507191963081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5379448286765013E-2"/>
                  <c:y val="3.47204502540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5379448286765326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5F75-4C4F-A2BA-69588C7BDC3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'Graf 58'!#REF!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5F75-4C4F-A2BA-69588C7BDC3D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58'!#REF!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58'!#REF!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587392"/>
        <c:axId val="454587784"/>
      </c:lineChart>
      <c:catAx>
        <c:axId val="45458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87784"/>
        <c:crosses val="autoZero"/>
        <c:auto val="1"/>
        <c:lblAlgn val="ctr"/>
        <c:lblOffset val="100"/>
        <c:noMultiLvlLbl val="0"/>
      </c:catAx>
      <c:valAx>
        <c:axId val="45458778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8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467272279958181"/>
          <c:y val="0.62748556504115416"/>
          <c:w val="0.21674137653864292"/>
          <c:h val="0.17324775638455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58'!$AP$27</c:f>
              <c:strCache>
                <c:ptCount val="1"/>
                <c:pt idx="0">
                  <c:v>nič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58'!$AQ$27:$BA$27</c:f>
              <c:numCache>
                <c:formatCode>0.0</c:formatCode>
                <c:ptCount val="11"/>
                <c:pt idx="0">
                  <c:v>0</c:v>
                </c:pt>
                <c:pt idx="1">
                  <c:v>320.86500000000001</c:v>
                </c:pt>
                <c:pt idx="2">
                  <c:v>276.702</c:v>
                </c:pt>
                <c:pt idx="3">
                  <c:v>250.042</c:v>
                </c:pt>
                <c:pt idx="4">
                  <c:v>236.852</c:v>
                </c:pt>
                <c:pt idx="5">
                  <c:v>232.57500000000002</c:v>
                </c:pt>
                <c:pt idx="6">
                  <c:v>231.27200000000002</c:v>
                </c:pt>
                <c:pt idx="7">
                  <c:v>228.27200000000002</c:v>
                </c:pt>
                <c:pt idx="8">
                  <c:v>227.38600000000002</c:v>
                </c:pt>
                <c:pt idx="9">
                  <c:v>227.20400000000004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DE-402C-AA6D-A9140B6B19FA}"/>
            </c:ext>
          </c:extLst>
        </c:ser>
        <c:ser>
          <c:idx val="1"/>
          <c:order val="1"/>
          <c:tx>
            <c:strRef>
              <c:f>'Graf 58'!$Q$8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  <a:effectLst/>
          </c:spPr>
          <c:invertIfNegative val="0"/>
          <c:dLbls>
            <c:dLbl>
              <c:idx val="1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EDE-402C-AA6D-A9140B6B19F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58'!$AQ$13:$BA$13</c:f>
              <c:numCache>
                <c:formatCode>0.0</c:formatCode>
                <c:ptCount val="11"/>
                <c:pt idx="0">
                  <c:v>411.36500000000001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EDE-402C-AA6D-A9140B6B19FA}"/>
            </c:ext>
          </c:extLst>
        </c:ser>
        <c:ser>
          <c:idx val="2"/>
          <c:order val="2"/>
          <c:tx>
            <c:strRef>
              <c:f>'Graf 58'!$AP$14</c:f>
              <c:strCache>
                <c:ptCount val="1"/>
                <c:pt idx="0">
                  <c:v>učitelia RŠ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58'!$AQ$14:$BA$14</c:f>
              <c:numCache>
                <c:formatCode>0.0</c:formatCode>
                <c:ptCount val="11"/>
                <c:pt idx="1">
                  <c:v>90.5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EDE-402C-AA6D-A9140B6B19FA}"/>
            </c:ext>
          </c:extLst>
        </c:ser>
        <c:ser>
          <c:idx val="3"/>
          <c:order val="3"/>
          <c:tx>
            <c:strRef>
              <c:f>'Graf 58'!$AP$16</c:f>
              <c:strCache>
                <c:ptCount val="1"/>
                <c:pt idx="0">
                  <c:v>policajti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58'!$AQ$16:$BA$16</c:f>
              <c:numCache>
                <c:formatCode>0.0</c:formatCode>
                <c:ptCount val="11"/>
                <c:pt idx="2">
                  <c:v>44.162999999999997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EDE-402C-AA6D-A9140B6B19FA}"/>
            </c:ext>
          </c:extLst>
        </c:ser>
        <c:ser>
          <c:idx val="4"/>
          <c:order val="4"/>
          <c:tx>
            <c:strRef>
              <c:f>'Graf 58'!$AP$17</c:f>
              <c:strCache>
                <c:ptCount val="1"/>
                <c:pt idx="0">
                  <c:v>HZZ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58'!$AQ$17:$BA$17</c:f>
              <c:numCache>
                <c:formatCode>0.0</c:formatCode>
                <c:ptCount val="11"/>
                <c:pt idx="3">
                  <c:v>26.66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EDE-402C-AA6D-A9140B6B19FA}"/>
            </c:ext>
          </c:extLst>
        </c:ser>
        <c:ser>
          <c:idx val="5"/>
          <c:order val="5"/>
          <c:tx>
            <c:strRef>
              <c:f>'Graf 58'!$AP$18</c:f>
              <c:strCache>
                <c:ptCount val="1"/>
                <c:pt idx="0">
                  <c:v>vojaci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58'!$AQ$18:$BA$18</c:f>
              <c:numCache>
                <c:formatCode>0.0</c:formatCode>
                <c:ptCount val="11"/>
                <c:pt idx="4">
                  <c:v>13.19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EDE-402C-AA6D-A9140B6B19FA}"/>
            </c:ext>
          </c:extLst>
        </c:ser>
        <c:ser>
          <c:idx val="6"/>
          <c:order val="6"/>
          <c:tx>
            <c:strRef>
              <c:f>'Graf 58'!$AP$19</c:f>
              <c:strCache>
                <c:ptCount val="1"/>
                <c:pt idx="0">
                  <c:v>health care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dLbl>
              <c:idx val="5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DEDE-402C-AA6D-A9140B6B19F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58'!$AQ$19:$BA$19</c:f>
              <c:numCache>
                <c:formatCode>0.0</c:formatCode>
                <c:ptCount val="11"/>
                <c:pt idx="5">
                  <c:v>4.2770000000000001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EDE-402C-AA6D-A9140B6B19FA}"/>
            </c:ext>
          </c:extLst>
        </c:ser>
        <c:ser>
          <c:idx val="7"/>
          <c:order val="7"/>
          <c:tx>
            <c:strRef>
              <c:f>'Graf 58'!$AP$20</c:f>
              <c:strCache>
                <c:ptCount val="1"/>
                <c:pt idx="0">
                  <c:v>colníci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58'!$AQ$20:$BA$20</c:f>
              <c:numCache>
                <c:formatCode>0.0</c:formatCode>
                <c:ptCount val="11"/>
                <c:pt idx="6">
                  <c:v>1.3029999999999999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DEDE-402C-AA6D-A9140B6B19FA}"/>
            </c:ext>
          </c:extLst>
        </c:ser>
        <c:ser>
          <c:idx val="8"/>
          <c:order val="8"/>
          <c:tx>
            <c:strRef>
              <c:f>'Graf 58'!$AP$21</c:f>
              <c:strCache>
                <c:ptCount val="1"/>
                <c:pt idx="0">
                  <c:v>sudcovia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58'!$AQ$20:$BA$20</c:f>
              <c:numCache>
                <c:formatCode>0.0</c:formatCode>
                <c:ptCount val="11"/>
                <c:pt idx="6">
                  <c:v>1.3029999999999999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DEDE-402C-AA6D-A9140B6B19FA}"/>
            </c:ext>
          </c:extLst>
        </c:ser>
        <c:ser>
          <c:idx val="9"/>
          <c:order val="9"/>
          <c:tx>
            <c:strRef>
              <c:f>'Graf 58'!$AP$21</c:f>
              <c:strCache>
                <c:ptCount val="1"/>
                <c:pt idx="0">
                  <c:v>sudcovia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58'!$AQ$21:$BA$21</c:f>
              <c:numCache>
                <c:formatCode>0.0</c:formatCode>
                <c:ptCount val="11"/>
                <c:pt idx="7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DEDE-402C-AA6D-A9140B6B19FA}"/>
            </c:ext>
          </c:extLst>
        </c:ser>
        <c:ser>
          <c:idx val="10"/>
          <c:order val="10"/>
          <c:tx>
            <c:strRef>
              <c:f>'Graf 58'!$AP$22</c:f>
              <c:strCache>
                <c:ptCount val="1"/>
                <c:pt idx="0">
                  <c:v>prokuratúra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58'!$AQ$22:$BA$22</c:f>
              <c:numCache>
                <c:formatCode>0.0</c:formatCode>
                <c:ptCount val="11"/>
                <c:pt idx="8">
                  <c:v>0.88600000000000001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DEDE-402C-AA6D-A9140B6B19FA}"/>
            </c:ext>
          </c:extLst>
        </c:ser>
        <c:ser>
          <c:idx val="11"/>
          <c:order val="11"/>
          <c:tx>
            <c:strRef>
              <c:f>'Graf 58'!$AP$23</c:f>
              <c:strCache>
                <c:ptCount val="1"/>
                <c:pt idx="0">
                  <c:v>poslanci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58'!$AQ$23:$BA$23</c:f>
              <c:numCache>
                <c:formatCode>0.0</c:formatCode>
                <c:ptCount val="11"/>
                <c:pt idx="9">
                  <c:v>0.182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DEDE-402C-AA6D-A9140B6B19FA}"/>
            </c:ext>
          </c:extLst>
        </c:ser>
        <c:ser>
          <c:idx val="14"/>
          <c:order val="12"/>
          <c:tx>
            <c:strRef>
              <c:f>'Graf 58'!$Q$19</c:f>
              <c:strCache>
                <c:ptCount val="1"/>
                <c:pt idx="0">
                  <c:v>Central government - not a public service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58'!$AQ$26:$BA$26</c:f>
              <c:numCache>
                <c:formatCode>0.0</c:formatCode>
                <c:ptCount val="11"/>
                <c:pt idx="10">
                  <c:v>81.724000000000046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DEDE-402C-AA6D-A9140B6B19FA}"/>
            </c:ext>
          </c:extLst>
        </c:ser>
        <c:ser>
          <c:idx val="13"/>
          <c:order val="13"/>
          <c:tx>
            <c:strRef>
              <c:f>'Graf 58'!$Q$20</c:f>
              <c:strCache>
                <c:ptCount val="1"/>
                <c:pt idx="0">
                  <c:v>Central Government - Public Service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58'!$AQ$25:$BA$25</c:f>
              <c:numCache>
                <c:formatCode>0.0</c:formatCode>
                <c:ptCount val="11"/>
                <c:pt idx="10">
                  <c:v>46.98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DEDE-402C-AA6D-A9140B6B19FA}"/>
            </c:ext>
          </c:extLst>
        </c:ser>
        <c:ser>
          <c:idx val="12"/>
          <c:order val="14"/>
          <c:tx>
            <c:strRef>
              <c:f>'Graf 58'!$Q$21</c:f>
              <c:strCache>
                <c:ptCount val="1"/>
                <c:pt idx="0">
                  <c:v>Territorial and Local Government - Public Service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rgbClr val="7030A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58'!$Q$8:$Q$18</c:f>
              <c:strCache>
                <c:ptCount val="11"/>
                <c:pt idx="0">
                  <c:v>Total</c:v>
                </c:pt>
                <c:pt idx="1">
                  <c:v>Teachers (regions + Universities</c:v>
                </c:pt>
                <c:pt idx="2">
                  <c:v>health service</c:v>
                </c:pt>
                <c:pt idx="3">
                  <c:v>Police officers</c:v>
                </c:pt>
                <c:pt idx="4">
                  <c:v>military</c:v>
                </c:pt>
                <c:pt idx="5">
                  <c:v>fire brigade</c:v>
                </c:pt>
                <c:pt idx="6">
                  <c:v>judiciary</c:v>
                </c:pt>
                <c:pt idx="7">
                  <c:v>Customs officers</c:v>
                </c:pt>
                <c:pt idx="8">
                  <c:v>prosecutors</c:v>
                </c:pt>
                <c:pt idx="9">
                  <c:v>Ministers</c:v>
                </c:pt>
                <c:pt idx="10">
                  <c:v>Scope of the review of reimbursement charges</c:v>
                </c:pt>
              </c:strCache>
            </c:strRef>
          </c:cat>
          <c:val>
            <c:numRef>
              <c:f>'Graf 58'!$AQ$24:$BA$24</c:f>
              <c:numCache>
                <c:formatCode>0.0</c:formatCode>
                <c:ptCount val="11"/>
                <c:pt idx="10">
                  <c:v>98.5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0-DEDE-402C-AA6D-A9140B6B19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2"/>
        <c:overlap val="100"/>
        <c:axId val="454588568"/>
        <c:axId val="454588960"/>
      </c:barChart>
      <c:catAx>
        <c:axId val="454588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88960"/>
        <c:crosses val="autoZero"/>
        <c:auto val="1"/>
        <c:lblAlgn val="ctr"/>
        <c:lblOffset val="100"/>
        <c:noMultiLvlLbl val="0"/>
      </c:catAx>
      <c:valAx>
        <c:axId val="454588960"/>
        <c:scaling>
          <c:orientation val="minMax"/>
          <c:max val="4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88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0.32374005010975365"/>
          <c:y val="0.30947803836193599"/>
          <c:w val="0.40956110567593351"/>
          <c:h val="0.2273466514717806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621862651666072E-2"/>
          <c:y val="6.3654158799128072E-2"/>
          <c:w val="0.92485240840528238"/>
          <c:h val="0.7710377678304548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403948447079757E-2"/>
                  <c:y val="-5.9485882172825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632034632034632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650178388878013E-2"/>
                  <c:y val="-4.7912398754802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51806315063979E-2"/>
                  <c:y val="-4.7680929086442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169663499157572E-2"/>
                  <c:y val="-4.7680929086442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290043290043288E-2"/>
                  <c:y val="-3.33333479148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175941082376847E-2"/>
                  <c:y val="-5.9716896192232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1746070515342686E-2"/>
                  <c:y val="-4.7449915067035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8533587468281243E-2"/>
                  <c:y val="-4.698743137926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6.3492063492063391E-2"/>
                  <c:y val="-2.2222231943233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6378026327125431E-2"/>
                  <c:y val="-2.8933708545058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5.1948051948051951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3839264382353698E-2"/>
                  <c:y val="-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F75-4C4F-A2BA-69588C7BDC3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 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5F75-4C4F-A2BA-69588C7BDC3D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'Tab 27'!#REF!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'Tab 27'!#REF!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739570889706216E-2"/>
                  <c:y val="2.3146966836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83926438235349E-2"/>
                  <c:y val="4.6293933672093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29908047794189E-2"/>
                  <c:y val="2.3146966836046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7938957875000777E-2"/>
                  <c:y val="2.8933708545058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2299080477941911E-2"/>
                  <c:y val="4.050719196308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2299080477941862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511901917647132E-2"/>
                  <c:y val="2.3146966836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2299080477941862E-2"/>
                  <c:y val="3.47204502540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255950958823566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255950958823566E-2"/>
                  <c:y val="4.0507191963081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5379448286765013E-2"/>
                  <c:y val="3.47204502540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5379448286765326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5F75-4C4F-A2BA-69588C7BDC3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'Tab 27'!#REF!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5F75-4C4F-A2BA-69588C7BDC3D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'Tab 27'!#REF!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'Tab 27'!#REF!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589744"/>
        <c:axId val="454590136"/>
      </c:lineChart>
      <c:catAx>
        <c:axId val="454589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0136"/>
        <c:crosses val="autoZero"/>
        <c:auto val="1"/>
        <c:lblAlgn val="ctr"/>
        <c:lblOffset val="100"/>
        <c:noMultiLvlLbl val="0"/>
      </c:catAx>
      <c:valAx>
        <c:axId val="45459013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8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467272279958181"/>
          <c:y val="0.62748556504115416"/>
          <c:w val="0.21674137653864292"/>
          <c:h val="0.17324775638455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621862651666072E-2"/>
          <c:y val="6.3654158799128072E-2"/>
          <c:w val="0.92485240840528238"/>
          <c:h val="0.7710377678304548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403948447079757E-2"/>
                  <c:y val="-5.9485882172825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632034632034632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650178388878013E-2"/>
                  <c:y val="-4.7912398754802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51806315063979E-2"/>
                  <c:y val="-4.7680929086442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169663499157572E-2"/>
                  <c:y val="-4.7680929086442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290043290043288E-2"/>
                  <c:y val="-3.33333479148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175941082376847E-2"/>
                  <c:y val="-5.9716896192232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1746070515342686E-2"/>
                  <c:y val="-4.7449915067035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8533587468281243E-2"/>
                  <c:y val="-4.698743137926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6.3492063492063391E-2"/>
                  <c:y val="-2.2222231943233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6378026327125431E-2"/>
                  <c:y val="-2.8933708545058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5.1948051948051951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3839264382353698E-2"/>
                  <c:y val="-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F75-4C4F-A2BA-69588C7BDC3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'Graf 59'!#REF!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5F75-4C4F-A2BA-69588C7BDC3D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59'!#REF!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59'!#REF!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739570889706216E-2"/>
                  <c:y val="2.3146966836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83926438235349E-2"/>
                  <c:y val="4.6293933672093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29908047794189E-2"/>
                  <c:y val="2.3146966836046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7938957875000777E-2"/>
                  <c:y val="2.8933708545058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2299080477941911E-2"/>
                  <c:y val="4.050719196308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2299080477941862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511901917647132E-2"/>
                  <c:y val="2.3146966836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2299080477941862E-2"/>
                  <c:y val="3.47204502540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255950958823566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255950958823566E-2"/>
                  <c:y val="4.0507191963081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5379448286765013E-2"/>
                  <c:y val="3.47204502540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5379448286765326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5F75-4C4F-A2BA-69588C7BDC3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'Graf 59'!#REF!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5F75-4C4F-A2BA-69588C7BDC3D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59'!#REF!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59'!#REF!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4590920"/>
        <c:axId val="454591312"/>
      </c:lineChart>
      <c:catAx>
        <c:axId val="454590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1312"/>
        <c:crosses val="autoZero"/>
        <c:auto val="1"/>
        <c:lblAlgn val="ctr"/>
        <c:lblOffset val="100"/>
        <c:noMultiLvlLbl val="0"/>
      </c:catAx>
      <c:valAx>
        <c:axId val="4545913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0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467272279958181"/>
          <c:y val="0.62748556504115416"/>
          <c:w val="0.21674137653864292"/>
          <c:h val="0.17324775638455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1"/>
          <c:tx>
            <c:strRef>
              <c:f>'Graf 59'!$P$8</c:f>
              <c:strCache>
                <c:ptCount val="1"/>
                <c:pt idx="0">
                  <c:v>Estimation of costs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 w="0">
                <a:solidFill>
                  <a:srgbClr val="00206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C3-4B2F-AB13-FC14CEEF9C1E}"/>
              </c:ext>
            </c:extLst>
          </c:dPt>
          <c:dPt>
            <c:idx val="1"/>
            <c:invertIfNegative val="0"/>
            <c:bubble3D val="0"/>
            <c:spPr>
              <a:solidFill>
                <a:srgbClr val="002060"/>
              </a:solidFill>
              <a:ln w="88900">
                <a:solidFill>
                  <a:srgbClr val="00206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C3-4B2F-AB13-FC14CEEF9C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59'!$O$9:$O$10</c:f>
              <c:strCache>
                <c:ptCount val="2"/>
                <c:pt idx="0">
                  <c:v>Second stage</c:v>
                </c:pt>
                <c:pt idx="1">
                  <c:v>First stage</c:v>
                </c:pt>
              </c:strCache>
            </c:strRef>
          </c:cat>
          <c:val>
            <c:numRef>
              <c:f>'Graf 59'!$P$9:$P$10</c:f>
              <c:numCache>
                <c:formatCode>General</c:formatCode>
                <c:ptCount val="2"/>
                <c:pt idx="0">
                  <c:v>200</c:v>
                </c:pt>
                <c:pt idx="1">
                  <c:v>189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DC3-4B2F-AB13-FC14CEEF9C1E}"/>
            </c:ext>
          </c:extLst>
        </c:ser>
        <c:ser>
          <c:idx val="1"/>
          <c:order val="2"/>
          <c:tx>
            <c:strRef>
              <c:f>'Graf 59'!$Q$8</c:f>
              <c:strCache>
                <c:ptCount val="1"/>
                <c:pt idx="0">
                  <c:v>Potential for further cost savings</c:v>
                </c:pt>
              </c:strCache>
            </c:strRef>
          </c:tx>
          <c:spPr>
            <a:pattFill prst="dkUpDiag">
              <a:fgClr>
                <a:srgbClr val="002060"/>
              </a:fgClr>
              <a:bgClr>
                <a:schemeClr val="bg1">
                  <a:lumMod val="75000"/>
                </a:schemeClr>
              </a:bgClr>
            </a:patt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59'!$O$9:$O$10</c:f>
              <c:strCache>
                <c:ptCount val="2"/>
                <c:pt idx="0">
                  <c:v>Second stage</c:v>
                </c:pt>
                <c:pt idx="1">
                  <c:v>First stage</c:v>
                </c:pt>
              </c:strCache>
            </c:strRef>
          </c:cat>
          <c:val>
            <c:numRef>
              <c:f>'Graf 59'!$Q$9:$Q$10</c:f>
              <c:numCache>
                <c:formatCode>General</c:formatCode>
                <c:ptCount val="2"/>
                <c:pt idx="0">
                  <c:v>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DC3-4B2F-AB13-FC14CEEF9C1E}"/>
            </c:ext>
          </c:extLst>
        </c:ser>
        <c:ser>
          <c:idx val="2"/>
          <c:order val="3"/>
          <c:tx>
            <c:strRef>
              <c:f>'Graf 59'!$R$8</c:f>
              <c:strCache>
                <c:ptCount val="1"/>
                <c:pt idx="0">
                  <c:v>Reduced costs compared to December 2016</c:v>
                </c:pt>
              </c:strCache>
            </c:strRef>
          </c:tx>
          <c:spPr>
            <a:solidFill>
              <a:srgbClr val="00B0F0"/>
            </a:solidFill>
            <a:ln w="88900">
              <a:solidFill>
                <a:srgbClr val="00B0F0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59'!$O$9:$O$10</c:f>
              <c:strCache>
                <c:ptCount val="2"/>
                <c:pt idx="0">
                  <c:v>Second stage</c:v>
                </c:pt>
                <c:pt idx="1">
                  <c:v>First stage</c:v>
                </c:pt>
              </c:strCache>
            </c:strRef>
          </c:cat>
          <c:val>
            <c:numRef>
              <c:f>'Graf 59'!$R$9:$R$10</c:f>
              <c:numCache>
                <c:formatCode>General</c:formatCode>
                <c:ptCount val="2"/>
                <c:pt idx="0">
                  <c:v>79</c:v>
                </c:pt>
                <c:pt idx="1">
                  <c:v>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DC3-4B2F-AB13-FC14CEEF9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54592096"/>
        <c:axId val="454592488"/>
      </c:barChart>
      <c:barChart>
        <c:barDir val="bar"/>
        <c:grouping val="stacked"/>
        <c:varyColors val="0"/>
        <c:ser>
          <c:idx val="3"/>
          <c:order val="0"/>
          <c:tx>
            <c:strRef>
              <c:f>'Graf 59'!$S$8</c:f>
              <c:strCache>
                <c:ptCount val="1"/>
                <c:pt idx="0">
                  <c:v> Initial cost estimate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44023433837046461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DC3-4B2F-AB13-FC14CEEF9C1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3154248916314645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DC3-4B2F-AB13-FC14CEEF9C1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59'!$O$9:$O$10</c:f>
              <c:strCache>
                <c:ptCount val="2"/>
                <c:pt idx="0">
                  <c:v>Second stage</c:v>
                </c:pt>
                <c:pt idx="1">
                  <c:v>First stage</c:v>
                </c:pt>
              </c:strCache>
            </c:strRef>
          </c:cat>
          <c:val>
            <c:numRef>
              <c:f>'Graf 59'!$S$9:$S$10</c:f>
              <c:numCache>
                <c:formatCode>General</c:formatCode>
                <c:ptCount val="2"/>
                <c:pt idx="0">
                  <c:v>314</c:v>
                </c:pt>
                <c:pt idx="1">
                  <c:v>222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ADC3-4B2F-AB13-FC14CEEF9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100"/>
        <c:axId val="454593272"/>
        <c:axId val="454592880"/>
      </c:barChart>
      <c:catAx>
        <c:axId val="45459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2488"/>
        <c:crosses val="autoZero"/>
        <c:auto val="1"/>
        <c:lblAlgn val="ctr"/>
        <c:lblOffset val="100"/>
        <c:noMultiLvlLbl val="0"/>
      </c:catAx>
      <c:valAx>
        <c:axId val="454592488"/>
        <c:scaling>
          <c:orientation val="minMax"/>
          <c:max val="32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2096"/>
        <c:crosses val="autoZero"/>
        <c:crossBetween val="between"/>
        <c:majorUnit val="25"/>
      </c:valAx>
      <c:valAx>
        <c:axId val="45459288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54593272"/>
        <c:crosses val="max"/>
        <c:crossBetween val="between"/>
      </c:valAx>
      <c:catAx>
        <c:axId val="4545932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45928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513427063655256E-2"/>
          <c:y val="5.0056882821387941E-2"/>
          <c:w val="0.89617800959593419"/>
          <c:h val="0.6867116354482993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'Graf 60+61+62'!$AJ$3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25400"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 w="2540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66-4879-908C-4020B833EBE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/>
              </a:solidFill>
              <a:ln w="25400"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66-4879-908C-4020B833EBEA}"/>
              </c:ext>
            </c:extLst>
          </c:dPt>
          <c:val>
            <c:numRef>
              <c:f>'Graf 60+61+62'!$AJ$4:$AJ$33</c:f>
              <c:numCache>
                <c:formatCode>0</c:formatCode>
                <c:ptCount val="30"/>
                <c:pt idx="0">
                  <c:v>77.142857142857139</c:v>
                </c:pt>
                <c:pt idx="1">
                  <c:v>76.428571428571431</c:v>
                </c:pt>
                <c:pt idx="2">
                  <c:v>74.285714285714278</c:v>
                </c:pt>
                <c:pt idx="3">
                  <c:v>69.285714285714278</c:v>
                </c:pt>
                <c:pt idx="4">
                  <c:v>66.428571428571431</c:v>
                </c:pt>
                <c:pt idx="5">
                  <c:v>65.714285714285722</c:v>
                </c:pt>
                <c:pt idx="6">
                  <c:v>63.571428571428569</c:v>
                </c:pt>
                <c:pt idx="7">
                  <c:v>63.214285714285715</c:v>
                </c:pt>
                <c:pt idx="8">
                  <c:v>61.785714285714285</c:v>
                </c:pt>
                <c:pt idx="9">
                  <c:v>61.428571428571431</c:v>
                </c:pt>
                <c:pt idx="10">
                  <c:v>51.428571428571431</c:v>
                </c:pt>
                <c:pt idx="11">
                  <c:v>51.428571428571431</c:v>
                </c:pt>
                <c:pt idx="12">
                  <c:v>50.714285714285715</c:v>
                </c:pt>
                <c:pt idx="13">
                  <c:v>46.428571428571431</c:v>
                </c:pt>
                <c:pt idx="14">
                  <c:v>45</c:v>
                </c:pt>
                <c:pt idx="15">
                  <c:v>44.642857142857139</c:v>
                </c:pt>
                <c:pt idx="16">
                  <c:v>42.857142857142861</c:v>
                </c:pt>
                <c:pt idx="17">
                  <c:v>41.964285714285715</c:v>
                </c:pt>
                <c:pt idx="18">
                  <c:v>41.428571428571431</c:v>
                </c:pt>
                <c:pt idx="19">
                  <c:v>41.25</c:v>
                </c:pt>
                <c:pt idx="20">
                  <c:v>37.5</c:v>
                </c:pt>
                <c:pt idx="21">
                  <c:v>36.428571428571431</c:v>
                </c:pt>
                <c:pt idx="22">
                  <c:v>32.5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26.25</c:v>
                </c:pt>
                <c:pt idx="27">
                  <c:v>25</c:v>
                </c:pt>
                <c:pt idx="28">
                  <c:v>20</c:v>
                </c:pt>
                <c:pt idx="29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566-4879-908C-4020B833E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54594056"/>
        <c:axId val="454594448"/>
      </c:barChart>
      <c:lineChart>
        <c:grouping val="standard"/>
        <c:varyColors val="0"/>
        <c:ser>
          <c:idx val="2"/>
          <c:order val="0"/>
          <c:tx>
            <c:strRef>
              <c:f>'Graf 60+61+62'!$AK$3</c:f>
              <c:strCache>
                <c:ptCount val="1"/>
                <c:pt idx="0">
                  <c:v>EÚ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'Graf 60+61+62'!$AH$4:$AH$33</c:f>
              <c:strCache>
                <c:ptCount val="30"/>
                <c:pt idx="0">
                  <c:v>UK-OBR</c:v>
                </c:pt>
                <c:pt idx="1">
                  <c:v>ES-AIReF</c:v>
                </c:pt>
                <c:pt idx="2">
                  <c:v>IT-UPB</c:v>
                </c:pt>
                <c:pt idx="3">
                  <c:v>RO-FC</c:v>
                </c:pt>
                <c:pt idx="4">
                  <c:v>PT-CFP</c:v>
                </c:pt>
                <c:pt idx="5">
                  <c:v>MT-FAC</c:v>
                </c:pt>
                <c:pt idx="6">
                  <c:v>AT-FISK</c:v>
                </c:pt>
                <c:pt idx="7">
                  <c:v>IE-IFAC</c:v>
                </c:pt>
                <c:pt idx="8">
                  <c:v>CY-FC</c:v>
                </c:pt>
                <c:pt idx="9">
                  <c:v>NL-CPB</c:v>
                </c:pt>
                <c:pt idx="10">
                  <c:v>EL-FC</c:v>
                </c:pt>
                <c:pt idx="11">
                  <c:v>EE-FC</c:v>
                </c:pt>
                <c:pt idx="12">
                  <c:v>LT-NAO</c:v>
                </c:pt>
                <c:pt idx="13">
                  <c:v>FR-HCFP</c:v>
                </c:pt>
                <c:pt idx="14">
                  <c:v>LV-FDC</c:v>
                </c:pt>
                <c:pt idx="15">
                  <c:v>SK-CBR</c:v>
                </c:pt>
                <c:pt idx="16">
                  <c:v>SE-FPC</c:v>
                </c:pt>
                <c:pt idx="17">
                  <c:v>DE-BEIR</c:v>
                </c:pt>
                <c:pt idx="18">
                  <c:v>BG-FC</c:v>
                </c:pt>
                <c:pt idx="19">
                  <c:v>DK-DORS</c:v>
                </c:pt>
                <c:pt idx="20">
                  <c:v>FI-NAO</c:v>
                </c:pt>
                <c:pt idx="21">
                  <c:v>HU-FC</c:v>
                </c:pt>
                <c:pt idx="22">
                  <c:v>AT-WIFO</c:v>
                </c:pt>
                <c:pt idx="23">
                  <c:v>BE-FPB</c:v>
                </c:pt>
                <c:pt idx="24">
                  <c:v>BE-HCF</c:v>
                </c:pt>
                <c:pt idx="25">
                  <c:v>NL-RvS</c:v>
                </c:pt>
                <c:pt idx="26">
                  <c:v>LU-CNFP</c:v>
                </c:pt>
                <c:pt idx="27">
                  <c:v>HR-CFP</c:v>
                </c:pt>
                <c:pt idx="28">
                  <c:v>SI-IMAD</c:v>
                </c:pt>
                <c:pt idx="29">
                  <c:v>PL-SAO</c:v>
                </c:pt>
              </c:strCache>
            </c:strRef>
          </c:cat>
          <c:val>
            <c:numRef>
              <c:f>'Graf 60+61+62'!$AK$4:$AK$33</c:f>
              <c:numCache>
                <c:formatCode>0</c:formatCode>
                <c:ptCount val="30"/>
                <c:pt idx="0">
                  <c:v>47.470238095238088</c:v>
                </c:pt>
                <c:pt idx="1">
                  <c:v>47.470238095238088</c:v>
                </c:pt>
                <c:pt idx="2">
                  <c:v>47.470238095238088</c:v>
                </c:pt>
                <c:pt idx="3">
                  <c:v>47.470238095238088</c:v>
                </c:pt>
                <c:pt idx="4">
                  <c:v>47.470238095238088</c:v>
                </c:pt>
                <c:pt idx="5">
                  <c:v>47.470238095238088</c:v>
                </c:pt>
                <c:pt idx="6">
                  <c:v>47.470238095238088</c:v>
                </c:pt>
                <c:pt idx="7">
                  <c:v>47.470238095238088</c:v>
                </c:pt>
                <c:pt idx="8">
                  <c:v>47.470238095238088</c:v>
                </c:pt>
                <c:pt idx="9">
                  <c:v>47.470238095238088</c:v>
                </c:pt>
                <c:pt idx="10">
                  <c:v>47.470238095238088</c:v>
                </c:pt>
                <c:pt idx="11">
                  <c:v>47.470238095238088</c:v>
                </c:pt>
                <c:pt idx="12">
                  <c:v>47.470238095238088</c:v>
                </c:pt>
                <c:pt idx="13">
                  <c:v>47.470238095238088</c:v>
                </c:pt>
                <c:pt idx="14">
                  <c:v>47.470238095238088</c:v>
                </c:pt>
                <c:pt idx="15">
                  <c:v>47.470238095238088</c:v>
                </c:pt>
                <c:pt idx="16">
                  <c:v>47.470238095238088</c:v>
                </c:pt>
                <c:pt idx="17">
                  <c:v>47.470238095238088</c:v>
                </c:pt>
                <c:pt idx="18">
                  <c:v>47.470238095238088</c:v>
                </c:pt>
                <c:pt idx="19">
                  <c:v>47.470238095238088</c:v>
                </c:pt>
                <c:pt idx="20">
                  <c:v>47.470238095238088</c:v>
                </c:pt>
                <c:pt idx="21">
                  <c:v>47.470238095238088</c:v>
                </c:pt>
                <c:pt idx="22">
                  <c:v>47.470238095238088</c:v>
                </c:pt>
                <c:pt idx="23">
                  <c:v>47.470238095238088</c:v>
                </c:pt>
                <c:pt idx="24">
                  <c:v>47.470238095238088</c:v>
                </c:pt>
                <c:pt idx="25">
                  <c:v>47.470238095238088</c:v>
                </c:pt>
                <c:pt idx="26">
                  <c:v>47.470238095238088</c:v>
                </c:pt>
                <c:pt idx="27">
                  <c:v>47.470238095238088</c:v>
                </c:pt>
                <c:pt idx="28">
                  <c:v>47.470238095238088</c:v>
                </c:pt>
                <c:pt idx="29">
                  <c:v>47.470238095238088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566-4879-908C-4020B833E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4594056"/>
        <c:axId val="454594448"/>
      </c:lineChart>
      <c:scatterChart>
        <c:scatterStyle val="lineMarker"/>
        <c:varyColors val="0"/>
        <c:ser>
          <c:idx val="0"/>
          <c:order val="2"/>
          <c:tx>
            <c:strRef>
              <c:f>'Graf 60+61+62'!$AI$3</c:f>
              <c:strCache>
                <c:ptCount val="1"/>
                <c:pt idx="0">
                  <c:v>2015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strRef>
              <c:f>'Graf 60+61+62'!$AH$4:$AH$33</c:f>
              <c:strCache>
                <c:ptCount val="30"/>
                <c:pt idx="0">
                  <c:v>UK-OBR</c:v>
                </c:pt>
                <c:pt idx="1">
                  <c:v>ES-AIReF</c:v>
                </c:pt>
                <c:pt idx="2">
                  <c:v>IT-UPB</c:v>
                </c:pt>
                <c:pt idx="3">
                  <c:v>RO-FC</c:v>
                </c:pt>
                <c:pt idx="4">
                  <c:v>PT-CFP</c:v>
                </c:pt>
                <c:pt idx="5">
                  <c:v>MT-FAC</c:v>
                </c:pt>
                <c:pt idx="6">
                  <c:v>AT-FISK</c:v>
                </c:pt>
                <c:pt idx="7">
                  <c:v>IE-IFAC</c:v>
                </c:pt>
                <c:pt idx="8">
                  <c:v>CY-FC</c:v>
                </c:pt>
                <c:pt idx="9">
                  <c:v>NL-CPB</c:v>
                </c:pt>
                <c:pt idx="10">
                  <c:v>EL-FC</c:v>
                </c:pt>
                <c:pt idx="11">
                  <c:v>EE-FC</c:v>
                </c:pt>
                <c:pt idx="12">
                  <c:v>LT-NAO</c:v>
                </c:pt>
                <c:pt idx="13">
                  <c:v>FR-HCFP</c:v>
                </c:pt>
                <c:pt idx="14">
                  <c:v>LV-FDC</c:v>
                </c:pt>
                <c:pt idx="15">
                  <c:v>SK-CBR</c:v>
                </c:pt>
                <c:pt idx="16">
                  <c:v>SE-FPC</c:v>
                </c:pt>
                <c:pt idx="17">
                  <c:v>DE-BEIR</c:v>
                </c:pt>
                <c:pt idx="18">
                  <c:v>BG-FC</c:v>
                </c:pt>
                <c:pt idx="19">
                  <c:v>DK-DORS</c:v>
                </c:pt>
                <c:pt idx="20">
                  <c:v>FI-NAO</c:v>
                </c:pt>
                <c:pt idx="21">
                  <c:v>HU-FC</c:v>
                </c:pt>
                <c:pt idx="22">
                  <c:v>AT-WIFO</c:v>
                </c:pt>
                <c:pt idx="23">
                  <c:v>BE-FPB</c:v>
                </c:pt>
                <c:pt idx="24">
                  <c:v>BE-HCF</c:v>
                </c:pt>
                <c:pt idx="25">
                  <c:v>NL-RvS</c:v>
                </c:pt>
                <c:pt idx="26">
                  <c:v>LU-CNFP</c:v>
                </c:pt>
                <c:pt idx="27">
                  <c:v>HR-CFP</c:v>
                </c:pt>
                <c:pt idx="28">
                  <c:v>SI-IMAD</c:v>
                </c:pt>
                <c:pt idx="29">
                  <c:v>PL-SAO</c:v>
                </c:pt>
              </c:strCache>
            </c:strRef>
          </c:xVal>
          <c:yVal>
            <c:numRef>
              <c:f>'Graf 60+61+62'!$AI$4:$AI$33</c:f>
              <c:numCache>
                <c:formatCode>0</c:formatCode>
                <c:ptCount val="30"/>
                <c:pt idx="0">
                  <c:v>77.142857142857139</c:v>
                </c:pt>
                <c:pt idx="1">
                  <c:v>76.428571428571431</c:v>
                </c:pt>
                <c:pt idx="2">
                  <c:v>74.285714285714278</c:v>
                </c:pt>
                <c:pt idx="3">
                  <c:v>69.285714285714278</c:v>
                </c:pt>
                <c:pt idx="4">
                  <c:v>66.428571428571431</c:v>
                </c:pt>
                <c:pt idx="5">
                  <c:v>65.714285714285722</c:v>
                </c:pt>
                <c:pt idx="6">
                  <c:v>63.571428571428569</c:v>
                </c:pt>
                <c:pt idx="7">
                  <c:v>63.214285714285715</c:v>
                </c:pt>
                <c:pt idx="8">
                  <c:v>61.785714285714285</c:v>
                </c:pt>
                <c:pt idx="9">
                  <c:v>61.428571428571431</c:v>
                </c:pt>
                <c:pt idx="10">
                  <c:v>51.428571428571431</c:v>
                </c:pt>
                <c:pt idx="11">
                  <c:v>51.428571428571431</c:v>
                </c:pt>
                <c:pt idx="12">
                  <c:v>50.714285714285715</c:v>
                </c:pt>
                <c:pt idx="13">
                  <c:v>46.428571428571431</c:v>
                </c:pt>
                <c:pt idx="14">
                  <c:v>45</c:v>
                </c:pt>
                <c:pt idx="15">
                  <c:v>44.642857142857139</c:v>
                </c:pt>
                <c:pt idx="16">
                  <c:v>42.857142857142861</c:v>
                </c:pt>
                <c:pt idx="17">
                  <c:v>41.964285714285715</c:v>
                </c:pt>
                <c:pt idx="18">
                  <c:v>41.428571428571431</c:v>
                </c:pt>
                <c:pt idx="19">
                  <c:v>41.25</c:v>
                </c:pt>
                <c:pt idx="20">
                  <c:v>41.785714285714285</c:v>
                </c:pt>
                <c:pt idx="21">
                  <c:v>36.428571428571431</c:v>
                </c:pt>
                <c:pt idx="22">
                  <c:v>32.5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26.25</c:v>
                </c:pt>
                <c:pt idx="27">
                  <c:v>25</c:v>
                </c:pt>
                <c:pt idx="28">
                  <c:v>20</c:v>
                </c:pt>
                <c:pt idx="29">
                  <c:v>20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A566-4879-908C-4020B833E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94056"/>
        <c:axId val="454594448"/>
      </c:scatterChart>
      <c:catAx>
        <c:axId val="454594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4448"/>
        <c:crosses val="autoZero"/>
        <c:auto val="1"/>
        <c:lblAlgn val="ctr"/>
        <c:lblOffset val="100"/>
        <c:noMultiLvlLbl val="0"/>
      </c:catAx>
      <c:valAx>
        <c:axId val="45459444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4056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609135641484297"/>
          <c:y val="7.1271398242455195E-2"/>
          <c:w val="0.46295438560376029"/>
          <c:h val="9.11377173743693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70331135969799E-2"/>
          <c:y val="5.1400756493756007E-2"/>
          <c:w val="0.87073370351471469"/>
          <c:h val="0.76573470477047967"/>
        </c:manualLayout>
      </c:layout>
      <c:lineChart>
        <c:grouping val="standard"/>
        <c:varyColors val="0"/>
        <c:ser>
          <c:idx val="0"/>
          <c:order val="0"/>
          <c:tx>
            <c:strRef>
              <c:f>'Graf 5+6'!$H$18</c:f>
              <c:strCache>
                <c:ptCount val="1"/>
                <c:pt idx="0">
                  <c:v>Slovakia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5+6'!$I$2:$AT$2</c:f>
              <c:numCache>
                <c:formatCode>#\ ##0.0</c:formatCode>
                <c:ptCount val="38"/>
                <c:pt idx="0">
                  <c:v>0.9283095238095237</c:v>
                </c:pt>
                <c:pt idx="1">
                  <c:v>0.72789523809523815</c:v>
                </c:pt>
                <c:pt idx="2">
                  <c:v>0.67010434782608708</c:v>
                </c:pt>
                <c:pt idx="3">
                  <c:v>0.66787142857142867</c:v>
                </c:pt>
                <c:pt idx="4">
                  <c:v>0.73383636363636384</c:v>
                </c:pt>
                <c:pt idx="5">
                  <c:v>0.63875454545454546</c:v>
                </c:pt>
                <c:pt idx="6">
                  <c:v>0.44199523809523811</c:v>
                </c:pt>
                <c:pt idx="7">
                  <c:v>0.3148086956521739</c:v>
                </c:pt>
                <c:pt idx="8">
                  <c:v>0.31291818181818187</c:v>
                </c:pt>
                <c:pt idx="9">
                  <c:v>0.41142380952380958</c:v>
                </c:pt>
                <c:pt idx="10">
                  <c:v>0.69759090909090904</c:v>
                </c:pt>
                <c:pt idx="11">
                  <c:v>0.89878181818181835</c:v>
                </c:pt>
                <c:pt idx="12">
                  <c:v>0.94445909090909097</c:v>
                </c:pt>
                <c:pt idx="13">
                  <c:v>1.0089800000000002</c:v>
                </c:pt>
                <c:pt idx="14">
                  <c:v>1.0787043478260869</c:v>
                </c:pt>
                <c:pt idx="15">
                  <c:v>0.96891500000000019</c:v>
                </c:pt>
                <c:pt idx="16">
                  <c:v>0.99932173913043487</c:v>
                </c:pt>
                <c:pt idx="17">
                  <c:v>0.90037727272727264</c:v>
                </c:pt>
                <c:pt idx="18">
                  <c:v>1.0473571428571429</c:v>
                </c:pt>
                <c:pt idx="19">
                  <c:v>0.92276521739130435</c:v>
                </c:pt>
                <c:pt idx="20">
                  <c:v>0.92747619047619034</c:v>
                </c:pt>
                <c:pt idx="21">
                  <c:v>0.95942272727272726</c:v>
                </c:pt>
                <c:pt idx="22">
                  <c:v>0.89760000000000018</c:v>
                </c:pt>
                <c:pt idx="23">
                  <c:v>0.85988095238095241</c:v>
                </c:pt>
                <c:pt idx="24">
                  <c:v>0.9767434782608696</c:v>
                </c:pt>
                <c:pt idx="25">
                  <c:v>1.1443299999999998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202-42B6-92F1-C5946204F2BB}"/>
            </c:ext>
          </c:extLst>
        </c:ser>
        <c:ser>
          <c:idx val="1"/>
          <c:order val="1"/>
          <c:tx>
            <c:strRef>
              <c:f>'Graf 5+6'!$H$21</c:f>
              <c:strCache>
                <c:ptCount val="1"/>
                <c:pt idx="0">
                  <c:v>Czech Rep.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5+6'!$I$5:$AT$5</c:f>
              <c:numCache>
                <c:formatCode>#\ ##0.0</c:formatCode>
                <c:ptCount val="38"/>
                <c:pt idx="0">
                  <c:v>0.68361000000000005</c:v>
                </c:pt>
                <c:pt idx="1">
                  <c:v>0.51851904761904766</c:v>
                </c:pt>
                <c:pt idx="2">
                  <c:v>0.41133333333333333</c:v>
                </c:pt>
                <c:pt idx="3">
                  <c:v>0.48047142857142855</c:v>
                </c:pt>
                <c:pt idx="4">
                  <c:v>0.50405454545454542</c:v>
                </c:pt>
                <c:pt idx="5">
                  <c:v>0.48639999999999994</c:v>
                </c:pt>
                <c:pt idx="6">
                  <c:v>0.40719473684210522</c:v>
                </c:pt>
                <c:pt idx="7">
                  <c:v>0.32444782608695655</c:v>
                </c:pt>
                <c:pt idx="8">
                  <c:v>0.27961904761904754</c:v>
                </c:pt>
                <c:pt idx="9">
                  <c:v>0.39476499999999998</c:v>
                </c:pt>
                <c:pt idx="10">
                  <c:v>0.56897142857142868</c:v>
                </c:pt>
                <c:pt idx="11">
                  <c:v>0.5404714285714286</c:v>
                </c:pt>
                <c:pt idx="12">
                  <c:v>0.48396363636363637</c:v>
                </c:pt>
                <c:pt idx="13">
                  <c:v>0.61842000000000008</c:v>
                </c:pt>
                <c:pt idx="14">
                  <c:v>0.89155652173913047</c:v>
                </c:pt>
                <c:pt idx="15">
                  <c:v>0.98105555555555546</c:v>
                </c:pt>
                <c:pt idx="16">
                  <c:v>0.76698571428571427</c:v>
                </c:pt>
                <c:pt idx="17">
                  <c:v>0.81315454545454535</c:v>
                </c:pt>
                <c:pt idx="18">
                  <c:v>0.96085789473684191</c:v>
                </c:pt>
                <c:pt idx="19">
                  <c:v>0.90578260869565241</c:v>
                </c:pt>
                <c:pt idx="20">
                  <c:v>1.0397600000000002</c:v>
                </c:pt>
                <c:pt idx="21">
                  <c:v>1.46885</c:v>
                </c:pt>
                <c:pt idx="22">
                  <c:v>1.7219238095238096</c:v>
                </c:pt>
                <c:pt idx="23">
                  <c:v>1.5824315789473684</c:v>
                </c:pt>
                <c:pt idx="24">
                  <c:v>1.8400454545454543</c:v>
                </c:pt>
                <c:pt idx="25">
                  <c:v>1.8788049999999998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202-42B6-92F1-C5946204F2BB}"/>
            </c:ext>
          </c:extLst>
        </c:ser>
        <c:ser>
          <c:idx val="2"/>
          <c:order val="2"/>
          <c:tx>
            <c:strRef>
              <c:f>'Graf 5+6'!$H$22</c:f>
              <c:strCache>
                <c:ptCount val="1"/>
                <c:pt idx="0">
                  <c:v>Poland</c:v>
                </c:pt>
              </c:strCache>
            </c:strRef>
          </c:tx>
          <c:spPr>
            <a:ln w="19050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5+6'!$I$6:$AT$6</c:f>
              <c:numCache>
                <c:formatCode>0.0</c:formatCode>
                <c:ptCount val="38"/>
                <c:pt idx="0">
                  <c:v>3.2416842105263153</c:v>
                </c:pt>
                <c:pt idx="1">
                  <c:v>3.1186095238095235</c:v>
                </c:pt>
                <c:pt idx="2">
                  <c:v>3.0072772727272725</c:v>
                </c:pt>
                <c:pt idx="3">
                  <c:v>3.0621476190476189</c:v>
                </c:pt>
                <c:pt idx="4">
                  <c:v>3.1464749999999997</c:v>
                </c:pt>
                <c:pt idx="5">
                  <c:v>3.208690909090909</c:v>
                </c:pt>
                <c:pt idx="6">
                  <c:v>3.0013428571428569</c:v>
                </c:pt>
                <c:pt idx="7">
                  <c:v>2.8079818181818181</c:v>
                </c:pt>
                <c:pt idx="8">
                  <c:v>2.9055000000000004</c:v>
                </c:pt>
                <c:pt idx="9">
                  <c:v>3.0847476190476186</c:v>
                </c:pt>
                <c:pt idx="10">
                  <c:v>3.5049000000000006</c:v>
                </c:pt>
                <c:pt idx="11">
                  <c:v>3.5909047619047616</c:v>
                </c:pt>
                <c:pt idx="12">
                  <c:v>3.7377333333333334</c:v>
                </c:pt>
                <c:pt idx="13">
                  <c:v>3.7748100000000009</c:v>
                </c:pt>
                <c:pt idx="14">
                  <c:v>3.6015521739130429</c:v>
                </c:pt>
                <c:pt idx="15">
                  <c:v>3.3786736842105265</c:v>
                </c:pt>
                <c:pt idx="16">
                  <c:v>3.3145238095238092</c:v>
                </c:pt>
                <c:pt idx="17">
                  <c:v>3.1649142857142851</c:v>
                </c:pt>
                <c:pt idx="18">
                  <c:v>3.2747761904761901</c:v>
                </c:pt>
                <c:pt idx="19">
                  <c:v>3.3127090909090899</c:v>
                </c:pt>
                <c:pt idx="20">
                  <c:v>3.2552571428571428</c:v>
                </c:pt>
                <c:pt idx="21">
                  <c:v>3.3602227272727276</c:v>
                </c:pt>
                <c:pt idx="22">
                  <c:v>3.3820857142857141</c:v>
                </c:pt>
                <c:pt idx="23">
                  <c:v>3.264321052631578</c:v>
                </c:pt>
                <c:pt idx="24">
                  <c:v>3.3984863636363638</c:v>
                </c:pt>
                <c:pt idx="25">
                  <c:v>3.470969999999999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202-42B6-92F1-C5946204F2BB}"/>
            </c:ext>
          </c:extLst>
        </c:ser>
        <c:ser>
          <c:idx val="4"/>
          <c:order val="3"/>
          <c:tx>
            <c:strRef>
              <c:f>'Graf 5+6'!$H$19</c:f>
              <c:strCache>
                <c:ptCount val="1"/>
                <c:pt idx="0">
                  <c:v>Germany</c:v>
                </c:pt>
              </c:strCache>
            </c:strRef>
          </c:tx>
          <c:spPr>
            <a:ln w="19050">
              <a:solidFill>
                <a:srgbClr val="555555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5+6'!$I$3:$AT$3</c:f>
              <c:numCache>
                <c:formatCode>#\ ##0.0</c:formatCode>
                <c:ptCount val="38"/>
                <c:pt idx="0">
                  <c:v>0.51577499999999987</c:v>
                </c:pt>
                <c:pt idx="1">
                  <c:v>0.23044761904761907</c:v>
                </c:pt>
                <c:pt idx="2">
                  <c:v>0.22692857142857145</c:v>
                </c:pt>
                <c:pt idx="3">
                  <c:v>0.1868285714285714</c:v>
                </c:pt>
                <c:pt idx="4">
                  <c:v>0.17225454545454547</c:v>
                </c:pt>
                <c:pt idx="5">
                  <c:v>2.0881818181818178E-2</c:v>
                </c:pt>
                <c:pt idx="6">
                  <c:v>-8.9757142857142841E-2</c:v>
                </c:pt>
                <c:pt idx="7">
                  <c:v>-7.6173913043478245E-2</c:v>
                </c:pt>
                <c:pt idx="8">
                  <c:v>-4.4522727272727276E-2</c:v>
                </c:pt>
                <c:pt idx="9">
                  <c:v>5.3199999999999976E-2</c:v>
                </c:pt>
                <c:pt idx="10">
                  <c:v>0.25770909090909094</c:v>
                </c:pt>
                <c:pt idx="11">
                  <c:v>0.33298571428571433</c:v>
                </c:pt>
                <c:pt idx="12">
                  <c:v>0.35788636363636361</c:v>
                </c:pt>
                <c:pt idx="13">
                  <c:v>0.32168499999999994</c:v>
                </c:pt>
                <c:pt idx="14">
                  <c:v>0.40489999999999993</c:v>
                </c:pt>
                <c:pt idx="15">
                  <c:v>0.27734999999999999</c:v>
                </c:pt>
                <c:pt idx="16">
                  <c:v>0.41164545454545459</c:v>
                </c:pt>
                <c:pt idx="17">
                  <c:v>0.33973636363636356</c:v>
                </c:pt>
                <c:pt idx="18">
                  <c:v>0.56028571428571416</c:v>
                </c:pt>
                <c:pt idx="19">
                  <c:v>0.42349999999999993</c:v>
                </c:pt>
                <c:pt idx="20">
                  <c:v>0.42511904761904762</c:v>
                </c:pt>
                <c:pt idx="21">
                  <c:v>0.45890909090909099</c:v>
                </c:pt>
                <c:pt idx="22">
                  <c:v>0.40884545454545457</c:v>
                </c:pt>
                <c:pt idx="23">
                  <c:v>0.39493684210526309</c:v>
                </c:pt>
                <c:pt idx="24">
                  <c:v>0.57105909090909091</c:v>
                </c:pt>
                <c:pt idx="25">
                  <c:v>0.72683500000000001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202-42B6-92F1-C5946204F2BB}"/>
            </c:ext>
          </c:extLst>
        </c:ser>
        <c:ser>
          <c:idx val="5"/>
          <c:order val="4"/>
          <c:tx>
            <c:strRef>
              <c:f>'Graf 5+6'!$H$22</c:f>
              <c:strCache>
                <c:ptCount val="1"/>
                <c:pt idx="0">
                  <c:v>Poland</c:v>
                </c:pt>
              </c:strCache>
            </c:strRef>
          </c:tx>
          <c:spPr>
            <a:ln w="19050">
              <a:solidFill>
                <a:srgbClr val="9E9E9E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5+6'!$I$4:$AT$4</c:f>
              <c:numCache>
                <c:formatCode>#\ ##0.0</c:formatCode>
                <c:ptCount val="38"/>
                <c:pt idx="0">
                  <c:v>1.79738</c:v>
                </c:pt>
                <c:pt idx="1">
                  <c:v>1.7527619047619045</c:v>
                </c:pt>
                <c:pt idx="2">
                  <c:v>1.5795476190476192</c:v>
                </c:pt>
                <c:pt idx="3">
                  <c:v>1.5899047619047617</c:v>
                </c:pt>
                <c:pt idx="4">
                  <c:v>1.6271636363636361</c:v>
                </c:pt>
                <c:pt idx="5">
                  <c:v>1.5287090909090912</c:v>
                </c:pt>
                <c:pt idx="6">
                  <c:v>1.2014666666666667</c:v>
                </c:pt>
                <c:pt idx="7">
                  <c:v>1.029773913043478</c:v>
                </c:pt>
                <c:pt idx="8">
                  <c:v>1.0811363636363636</c:v>
                </c:pt>
                <c:pt idx="9">
                  <c:v>1.1373047619047618</c:v>
                </c:pt>
                <c:pt idx="10">
                  <c:v>1.4788590909090908</c:v>
                </c:pt>
                <c:pt idx="11">
                  <c:v>1.4786333333333332</c:v>
                </c:pt>
                <c:pt idx="12">
                  <c:v>1.53895</c:v>
                </c:pt>
                <c:pt idx="13">
                  <c:v>1.7396049999999998</c:v>
                </c:pt>
                <c:pt idx="14">
                  <c:v>1.7786304347826085</c:v>
                </c:pt>
                <c:pt idx="15">
                  <c:v>1.6752055555555556</c:v>
                </c:pt>
                <c:pt idx="16">
                  <c:v>1.634218181818182</c:v>
                </c:pt>
                <c:pt idx="17">
                  <c:v>1.5192227272727272</c:v>
                </c:pt>
                <c:pt idx="18">
                  <c:v>1.648195238095238</c:v>
                </c:pt>
                <c:pt idx="19">
                  <c:v>1.5477739130434787</c:v>
                </c:pt>
                <c:pt idx="20">
                  <c:v>1.5943142857142858</c:v>
                </c:pt>
                <c:pt idx="21">
                  <c:v>1.6567181818181813</c:v>
                </c:pt>
                <c:pt idx="22">
                  <c:v>1.5368590909090907</c:v>
                </c:pt>
                <c:pt idx="23">
                  <c:v>1.5127052631578948</c:v>
                </c:pt>
                <c:pt idx="24">
                  <c:v>1.548877272727273</c:v>
                </c:pt>
                <c:pt idx="25">
                  <c:v>1.5588349999999997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202-42B6-92F1-C5946204F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194344"/>
        <c:axId val="322194736"/>
        <c:extLst xmlns:c16r2="http://schemas.microsoft.com/office/drawing/2015/06/chart"/>
      </c:lineChart>
      <c:dateAx>
        <c:axId val="322194344"/>
        <c:scaling>
          <c:orientation val="minMax"/>
        </c:scaling>
        <c:delete val="0"/>
        <c:axPos val="b"/>
        <c:numFmt formatCode="[$-41B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k-SK"/>
          </a:p>
        </c:txPr>
        <c:crossAx val="322194736"/>
        <c:crossesAt val="-1.5"/>
        <c:auto val="1"/>
        <c:lblOffset val="100"/>
        <c:baseTimeUnit val="months"/>
      </c:dateAx>
      <c:valAx>
        <c:axId val="3221947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322194344"/>
        <c:crosses val="autoZero"/>
        <c:crossBetween val="between"/>
        <c:majorUnit val="1.5"/>
        <c:minorUnit val="1"/>
      </c:valAx>
    </c:plotArea>
    <c:legend>
      <c:legendPos val="r"/>
      <c:layout>
        <c:manualLayout>
          <c:xMode val="edge"/>
          <c:yMode val="edge"/>
          <c:x val="0.1007057714874638"/>
          <c:y val="0.67292868023487973"/>
          <c:w val="0.87949855916292363"/>
          <c:h val="0.14499603998221869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72856701485686"/>
          <c:y val="4.5168443419766106E-2"/>
          <c:w val="0.86405437696336962"/>
          <c:h val="0.92777591990190411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'Graf 60+61+62'!$AC$3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93D-40E8-8CD0-4ECB7C31820D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93D-40E8-8CD0-4ECB7C31820D}"/>
              </c:ext>
            </c:extLst>
          </c:dPt>
          <c:cat>
            <c:strRef>
              <c:f>'Graf 60+61+62'!$V$4:$V$31</c:f>
              <c:strCache>
                <c:ptCount val="28"/>
                <c:pt idx="0">
                  <c:v>BG</c:v>
                </c:pt>
                <c:pt idx="1">
                  <c:v>IT</c:v>
                </c:pt>
                <c:pt idx="2">
                  <c:v>DE</c:v>
                </c:pt>
                <c:pt idx="3">
                  <c:v>LT</c:v>
                </c:pt>
                <c:pt idx="4">
                  <c:v>SK</c:v>
                </c:pt>
                <c:pt idx="5">
                  <c:v>PT</c:v>
                </c:pt>
                <c:pt idx="6">
                  <c:v>LV</c:v>
                </c:pt>
                <c:pt idx="7">
                  <c:v>NL</c:v>
                </c:pt>
                <c:pt idx="8">
                  <c:v>RO</c:v>
                </c:pt>
                <c:pt idx="9">
                  <c:v>ES</c:v>
                </c:pt>
                <c:pt idx="10">
                  <c:v>IE</c:v>
                </c:pt>
                <c:pt idx="11">
                  <c:v>PL</c:v>
                </c:pt>
                <c:pt idx="12">
                  <c:v>MT</c:v>
                </c:pt>
                <c:pt idx="13">
                  <c:v>CY</c:v>
                </c:pt>
                <c:pt idx="14">
                  <c:v>HU</c:v>
                </c:pt>
                <c:pt idx="15">
                  <c:v>FR</c:v>
                </c:pt>
                <c:pt idx="16">
                  <c:v>BE</c:v>
                </c:pt>
                <c:pt idx="17">
                  <c:v>DK</c:v>
                </c:pt>
                <c:pt idx="18">
                  <c:v>FI</c:v>
                </c:pt>
                <c:pt idx="19">
                  <c:v>SI</c:v>
                </c:pt>
                <c:pt idx="20">
                  <c:v>EE</c:v>
                </c:pt>
                <c:pt idx="21">
                  <c:v>LU</c:v>
                </c:pt>
                <c:pt idx="22">
                  <c:v>SE</c:v>
                </c:pt>
                <c:pt idx="23">
                  <c:v>AT</c:v>
                </c:pt>
                <c:pt idx="24">
                  <c:v>EL</c:v>
                </c:pt>
                <c:pt idx="25">
                  <c:v>UK</c:v>
                </c:pt>
                <c:pt idx="26">
                  <c:v>HR</c:v>
                </c:pt>
                <c:pt idx="27">
                  <c:v>CZ</c:v>
                </c:pt>
              </c:strCache>
            </c:strRef>
          </c:cat>
          <c:val>
            <c:numRef>
              <c:f>'Graf 60+61+62'!$AC$4:$AC$31</c:f>
              <c:numCache>
                <c:formatCode>0.0000</c:formatCode>
                <c:ptCount val="28"/>
                <c:pt idx="0">
                  <c:v>3.5808339999999999</c:v>
                </c:pt>
                <c:pt idx="1">
                  <c:v>3.3709030000000002</c:v>
                </c:pt>
                <c:pt idx="2">
                  <c:v>2.88957</c:v>
                </c:pt>
                <c:pt idx="3">
                  <c:v>2.7742200000000001</c:v>
                </c:pt>
                <c:pt idx="4">
                  <c:v>2.7365210000000002</c:v>
                </c:pt>
                <c:pt idx="5">
                  <c:v>2.5371990000000002</c:v>
                </c:pt>
                <c:pt idx="6">
                  <c:v>2.534624</c:v>
                </c:pt>
                <c:pt idx="7">
                  <c:v>2.406784</c:v>
                </c:pt>
                <c:pt idx="8">
                  <c:v>2.333129</c:v>
                </c:pt>
                <c:pt idx="9">
                  <c:v>2.2734740000000002</c:v>
                </c:pt>
                <c:pt idx="10">
                  <c:v>2.21868</c:v>
                </c:pt>
                <c:pt idx="11">
                  <c:v>2.1567850000000002</c:v>
                </c:pt>
                <c:pt idx="12">
                  <c:v>1.9564090000000001</c:v>
                </c:pt>
                <c:pt idx="13">
                  <c:v>1.7017409999999999</c:v>
                </c:pt>
                <c:pt idx="14">
                  <c:v>1.6590419999999999</c:v>
                </c:pt>
                <c:pt idx="15">
                  <c:v>1.582336</c:v>
                </c:pt>
                <c:pt idx="16">
                  <c:v>1.5384450000000001</c:v>
                </c:pt>
                <c:pt idx="17">
                  <c:v>1.516839</c:v>
                </c:pt>
                <c:pt idx="18">
                  <c:v>1.496507</c:v>
                </c:pt>
                <c:pt idx="19">
                  <c:v>1.4379219999999999</c:v>
                </c:pt>
                <c:pt idx="20">
                  <c:v>1.3014589999999999</c:v>
                </c:pt>
                <c:pt idx="21">
                  <c:v>1.235255</c:v>
                </c:pt>
                <c:pt idx="22">
                  <c:v>1.129548</c:v>
                </c:pt>
                <c:pt idx="23">
                  <c:v>0.62854900000000002</c:v>
                </c:pt>
                <c:pt idx="24">
                  <c:v>0.56869400000000003</c:v>
                </c:pt>
                <c:pt idx="25">
                  <c:v>0.35113299999999997</c:v>
                </c:pt>
                <c:pt idx="26">
                  <c:v>0.19100600000000001</c:v>
                </c:pt>
                <c:pt idx="27">
                  <c:v>-0.92576899999999995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93D-40E8-8CD0-4ECB7C318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54595232"/>
        <c:axId val="454595624"/>
      </c:barChart>
      <c:lineChart>
        <c:grouping val="standard"/>
        <c:varyColors val="0"/>
        <c:ser>
          <c:idx val="2"/>
          <c:order val="1"/>
          <c:tx>
            <c:strRef>
              <c:f>'Graf 60+61+62'!$T$3</c:f>
              <c:strCache>
                <c:ptCount val="1"/>
                <c:pt idx="0">
                  <c:v>EÚ</c:v>
                </c:pt>
              </c:strCache>
            </c:strRef>
          </c:tx>
          <c:spPr>
            <a:ln w="158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'Graf 60+61+62'!$AD$4:$AD$31</c:f>
              <c:numCache>
                <c:formatCode>0.00</c:formatCode>
                <c:ptCount val="28"/>
                <c:pt idx="0">
                  <c:v>1.7564942499999998</c:v>
                </c:pt>
                <c:pt idx="1">
                  <c:v>1.7564942499999998</c:v>
                </c:pt>
                <c:pt idx="2">
                  <c:v>1.7564942499999998</c:v>
                </c:pt>
                <c:pt idx="3">
                  <c:v>1.7564942499999998</c:v>
                </c:pt>
                <c:pt idx="4">
                  <c:v>1.7564942499999998</c:v>
                </c:pt>
                <c:pt idx="5">
                  <c:v>1.7564942499999998</c:v>
                </c:pt>
                <c:pt idx="6">
                  <c:v>1.7564942499999998</c:v>
                </c:pt>
                <c:pt idx="7">
                  <c:v>1.7564942499999998</c:v>
                </c:pt>
                <c:pt idx="8">
                  <c:v>1.7564942499999998</c:v>
                </c:pt>
                <c:pt idx="9">
                  <c:v>1.7564942499999998</c:v>
                </c:pt>
                <c:pt idx="10">
                  <c:v>1.7564942499999998</c:v>
                </c:pt>
                <c:pt idx="11">
                  <c:v>1.7564942499999998</c:v>
                </c:pt>
                <c:pt idx="12">
                  <c:v>1.7564942499999998</c:v>
                </c:pt>
                <c:pt idx="13">
                  <c:v>1.7564942499999998</c:v>
                </c:pt>
                <c:pt idx="14">
                  <c:v>1.7564942499999998</c:v>
                </c:pt>
                <c:pt idx="15">
                  <c:v>1.7564942499999998</c:v>
                </c:pt>
                <c:pt idx="16">
                  <c:v>1.7564942499999998</c:v>
                </c:pt>
                <c:pt idx="17">
                  <c:v>1.7564942499999998</c:v>
                </c:pt>
                <c:pt idx="18">
                  <c:v>1.7564942499999998</c:v>
                </c:pt>
                <c:pt idx="19">
                  <c:v>1.7564942499999998</c:v>
                </c:pt>
                <c:pt idx="20">
                  <c:v>1.7564942499999998</c:v>
                </c:pt>
                <c:pt idx="21">
                  <c:v>1.7564942499999998</c:v>
                </c:pt>
                <c:pt idx="22">
                  <c:v>1.7564942499999998</c:v>
                </c:pt>
                <c:pt idx="23">
                  <c:v>1.7564942499999998</c:v>
                </c:pt>
                <c:pt idx="24">
                  <c:v>1.7564942499999998</c:v>
                </c:pt>
                <c:pt idx="25">
                  <c:v>1.7564942499999998</c:v>
                </c:pt>
                <c:pt idx="26">
                  <c:v>1.7564942499999998</c:v>
                </c:pt>
                <c:pt idx="27">
                  <c:v>1.7564942499999998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93D-40E8-8CD0-4ECB7C318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4595232"/>
        <c:axId val="454595624"/>
      </c:lineChart>
      <c:scatterChart>
        <c:scatterStyle val="lineMarker"/>
        <c:varyColors val="0"/>
        <c:ser>
          <c:idx val="0"/>
          <c:order val="0"/>
          <c:tx>
            <c:strRef>
              <c:f>'Graf 60+61+62'!$AB$3</c:f>
              <c:strCache>
                <c:ptCount val="1"/>
                <c:pt idx="0">
                  <c:v>2015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dPt>
            <c:idx val="9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E93D-40E8-8CD0-4ECB7C31820D}"/>
              </c:ext>
            </c:extLst>
          </c:dPt>
          <c:xVal>
            <c:strRef>
              <c:f>'Graf 60+61+62'!$V$4:$V$31</c:f>
              <c:strCache>
                <c:ptCount val="28"/>
                <c:pt idx="0">
                  <c:v>BG</c:v>
                </c:pt>
                <c:pt idx="1">
                  <c:v>IT</c:v>
                </c:pt>
                <c:pt idx="2">
                  <c:v>DE</c:v>
                </c:pt>
                <c:pt idx="3">
                  <c:v>LT</c:v>
                </c:pt>
                <c:pt idx="4">
                  <c:v>SK</c:v>
                </c:pt>
                <c:pt idx="5">
                  <c:v>PT</c:v>
                </c:pt>
                <c:pt idx="6">
                  <c:v>LV</c:v>
                </c:pt>
                <c:pt idx="7">
                  <c:v>NL</c:v>
                </c:pt>
                <c:pt idx="8">
                  <c:v>RO</c:v>
                </c:pt>
                <c:pt idx="9">
                  <c:v>ES</c:v>
                </c:pt>
                <c:pt idx="10">
                  <c:v>IE</c:v>
                </c:pt>
                <c:pt idx="11">
                  <c:v>PL</c:v>
                </c:pt>
                <c:pt idx="12">
                  <c:v>MT</c:v>
                </c:pt>
                <c:pt idx="13">
                  <c:v>CY</c:v>
                </c:pt>
                <c:pt idx="14">
                  <c:v>HU</c:v>
                </c:pt>
                <c:pt idx="15">
                  <c:v>FR</c:v>
                </c:pt>
                <c:pt idx="16">
                  <c:v>BE</c:v>
                </c:pt>
                <c:pt idx="17">
                  <c:v>DK</c:v>
                </c:pt>
                <c:pt idx="18">
                  <c:v>FI</c:v>
                </c:pt>
                <c:pt idx="19">
                  <c:v>SI</c:v>
                </c:pt>
                <c:pt idx="20">
                  <c:v>EE</c:v>
                </c:pt>
                <c:pt idx="21">
                  <c:v>LU</c:v>
                </c:pt>
                <c:pt idx="22">
                  <c:v>SE</c:v>
                </c:pt>
                <c:pt idx="23">
                  <c:v>AT</c:v>
                </c:pt>
                <c:pt idx="24">
                  <c:v>EL</c:v>
                </c:pt>
                <c:pt idx="25">
                  <c:v>UK</c:v>
                </c:pt>
                <c:pt idx="26">
                  <c:v>HR</c:v>
                </c:pt>
                <c:pt idx="27">
                  <c:v>CZ</c:v>
                </c:pt>
              </c:strCache>
            </c:strRef>
          </c:xVal>
          <c:yVal>
            <c:numRef>
              <c:f>'Graf 60+61+62'!$AB$4:$AB$31</c:f>
              <c:numCache>
                <c:formatCode>0.0000</c:formatCode>
                <c:ptCount val="28"/>
                <c:pt idx="0">
                  <c:v>3.5808339999999999</c:v>
                </c:pt>
                <c:pt idx="1">
                  <c:v>3.5126439999999999</c:v>
                </c:pt>
                <c:pt idx="2">
                  <c:v>2.88957</c:v>
                </c:pt>
                <c:pt idx="3">
                  <c:v>2.1738119999999999</c:v>
                </c:pt>
                <c:pt idx="4">
                  <c:v>2.6138349999999999</c:v>
                </c:pt>
                <c:pt idx="5">
                  <c:v>2.3604560000000001</c:v>
                </c:pt>
                <c:pt idx="6">
                  <c:v>3.1878160000000002</c:v>
                </c:pt>
                <c:pt idx="7">
                  <c:v>3.1891750000000001</c:v>
                </c:pt>
                <c:pt idx="8">
                  <c:v>2.333129</c:v>
                </c:pt>
                <c:pt idx="9">
                  <c:v>2.2734740000000002</c:v>
                </c:pt>
                <c:pt idx="10">
                  <c:v>2.21868</c:v>
                </c:pt>
                <c:pt idx="11">
                  <c:v>2.444439</c:v>
                </c:pt>
                <c:pt idx="12">
                  <c:v>1.9564090000000001</c:v>
                </c:pt>
                <c:pt idx="13">
                  <c:v>1.7017409999999999</c:v>
                </c:pt>
                <c:pt idx="14">
                  <c:v>1.6590419999999999</c:v>
                </c:pt>
                <c:pt idx="15">
                  <c:v>1.582336</c:v>
                </c:pt>
                <c:pt idx="16">
                  <c:v>1.628733</c:v>
                </c:pt>
                <c:pt idx="17">
                  <c:v>1.516839</c:v>
                </c:pt>
                <c:pt idx="18">
                  <c:v>1.496507</c:v>
                </c:pt>
                <c:pt idx="19">
                  <c:v>0.66781699999999999</c:v>
                </c:pt>
                <c:pt idx="20">
                  <c:v>1.3014589999999999</c:v>
                </c:pt>
                <c:pt idx="21">
                  <c:v>1.235255</c:v>
                </c:pt>
                <c:pt idx="22">
                  <c:v>1.129548</c:v>
                </c:pt>
                <c:pt idx="23">
                  <c:v>0.62854900000000002</c:v>
                </c:pt>
                <c:pt idx="24">
                  <c:v>0.56869400000000003</c:v>
                </c:pt>
                <c:pt idx="25">
                  <c:v>-0.51695199999999997</c:v>
                </c:pt>
                <c:pt idx="26">
                  <c:v>0.29702899999999999</c:v>
                </c:pt>
                <c:pt idx="27">
                  <c:v>-0.92576899999999995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93D-40E8-8CD0-4ECB7C318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95232"/>
        <c:axId val="454595624"/>
      </c:scatterChart>
      <c:catAx>
        <c:axId val="45459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5624"/>
        <c:crosses val="autoZero"/>
        <c:auto val="1"/>
        <c:lblAlgn val="ctr"/>
        <c:lblOffset val="100"/>
        <c:tickLblSkip val="1"/>
        <c:noMultiLvlLbl val="0"/>
      </c:catAx>
      <c:valAx>
        <c:axId val="454595624"/>
        <c:scaling>
          <c:orientation val="minMax"/>
          <c:max val="4.5"/>
          <c:min val="-1.5"/>
        </c:scaling>
        <c:delete val="0"/>
        <c:axPos val="l"/>
        <c:majorGridlines>
          <c:spPr>
            <a:ln w="6350" cap="flat" cmpd="sng" algn="ctr">
              <a:solidFill>
                <a:sysClr val="window" lastClr="FFFFFF">
                  <a:lumMod val="85000"/>
                </a:sysClr>
              </a:solidFill>
              <a:prstDash val="sysDot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52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12494328039507"/>
          <c:y val="6.6666666666666693E-2"/>
          <c:w val="0.76981751857289116"/>
          <c:h val="7.6766000403795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088820419186736E-2"/>
          <c:y val="7.7753533820320839E-2"/>
          <c:w val="0.89906235218830843"/>
          <c:h val="0.8124140789116423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'Graf 60+61+62'!$S$3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rgbClr val="2C9ADC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FAF-4CAA-9B3D-7C03B4B9BBB4}"/>
              </c:ext>
            </c:extLst>
          </c:dPt>
          <c:dPt>
            <c:idx val="2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FAF-4CAA-9B3D-7C03B4B9BBB4}"/>
              </c:ext>
            </c:extLst>
          </c:dPt>
          <c:cat>
            <c:strRef>
              <c:f>'Graf 60+61+62'!$L$4:$L$31</c:f>
              <c:strCache>
                <c:ptCount val="28"/>
                <c:pt idx="0">
                  <c:v>UK</c:v>
                </c:pt>
                <c:pt idx="1">
                  <c:v>EL</c:v>
                </c:pt>
                <c:pt idx="2">
                  <c:v>ES</c:v>
                </c:pt>
                <c:pt idx="3">
                  <c:v>NL</c:v>
                </c:pt>
                <c:pt idx="4">
                  <c:v>SE</c:v>
                </c:pt>
                <c:pt idx="5">
                  <c:v>IT</c:v>
                </c:pt>
                <c:pt idx="6">
                  <c:v>MT</c:v>
                </c:pt>
                <c:pt idx="7">
                  <c:v>LV</c:v>
                </c:pt>
                <c:pt idx="8">
                  <c:v>SK</c:v>
                </c:pt>
                <c:pt idx="9">
                  <c:v>BG</c:v>
                </c:pt>
                <c:pt idx="10">
                  <c:v>LT</c:v>
                </c:pt>
                <c:pt idx="11">
                  <c:v>LU</c:v>
                </c:pt>
                <c:pt idx="12">
                  <c:v>FI</c:v>
                </c:pt>
                <c:pt idx="13">
                  <c:v>RO</c:v>
                </c:pt>
                <c:pt idx="14">
                  <c:v>FR</c:v>
                </c:pt>
                <c:pt idx="15">
                  <c:v>SI</c:v>
                </c:pt>
                <c:pt idx="16">
                  <c:v>BE</c:v>
                </c:pt>
                <c:pt idx="17">
                  <c:v>EE</c:v>
                </c:pt>
                <c:pt idx="18">
                  <c:v>CY</c:v>
                </c:pt>
                <c:pt idx="19">
                  <c:v>IE</c:v>
                </c:pt>
                <c:pt idx="20">
                  <c:v>PT</c:v>
                </c:pt>
                <c:pt idx="21">
                  <c:v>DK</c:v>
                </c:pt>
                <c:pt idx="22">
                  <c:v>HR</c:v>
                </c:pt>
                <c:pt idx="23">
                  <c:v>AT</c:v>
                </c:pt>
                <c:pt idx="24">
                  <c:v>DE</c:v>
                </c:pt>
                <c:pt idx="25">
                  <c:v>HU</c:v>
                </c:pt>
                <c:pt idx="26">
                  <c:v>PL</c:v>
                </c:pt>
                <c:pt idx="27">
                  <c:v>CZ</c:v>
                </c:pt>
              </c:strCache>
            </c:strRef>
          </c:cat>
          <c:val>
            <c:numRef>
              <c:f>'Graf 60+61+62'!$S$4:$S$31</c:f>
              <c:numCache>
                <c:formatCode>0.0000</c:formatCode>
                <c:ptCount val="28"/>
                <c:pt idx="0">
                  <c:v>0.88333333333333341</c:v>
                </c:pt>
                <c:pt idx="1">
                  <c:v>0.8666666666666667</c:v>
                </c:pt>
                <c:pt idx="2">
                  <c:v>0.83333333333333348</c:v>
                </c:pt>
                <c:pt idx="3">
                  <c:v>0.80000000000000016</c:v>
                </c:pt>
                <c:pt idx="4">
                  <c:v>0.8</c:v>
                </c:pt>
                <c:pt idx="5">
                  <c:v>0.78333333333333344</c:v>
                </c:pt>
                <c:pt idx="6">
                  <c:v>0.76666666666666661</c:v>
                </c:pt>
                <c:pt idx="7">
                  <c:v>0.75</c:v>
                </c:pt>
                <c:pt idx="8">
                  <c:v>0.75</c:v>
                </c:pt>
                <c:pt idx="9">
                  <c:v>0.73333333333333339</c:v>
                </c:pt>
                <c:pt idx="10">
                  <c:v>0.73333333333333339</c:v>
                </c:pt>
                <c:pt idx="11">
                  <c:v>0.73333333333333339</c:v>
                </c:pt>
                <c:pt idx="12">
                  <c:v>0.73333333333333339</c:v>
                </c:pt>
                <c:pt idx="13">
                  <c:v>0.71666666666666667</c:v>
                </c:pt>
                <c:pt idx="14">
                  <c:v>0.70000000000000007</c:v>
                </c:pt>
                <c:pt idx="15">
                  <c:v>0.70000000000000007</c:v>
                </c:pt>
                <c:pt idx="16">
                  <c:v>0.68333333333333335</c:v>
                </c:pt>
                <c:pt idx="17">
                  <c:v>0.66666666666666674</c:v>
                </c:pt>
                <c:pt idx="18">
                  <c:v>0.66666666666666674</c:v>
                </c:pt>
                <c:pt idx="19">
                  <c:v>0.66666666666666674</c:v>
                </c:pt>
                <c:pt idx="20">
                  <c:v>0.6166666666666667</c:v>
                </c:pt>
                <c:pt idx="21">
                  <c:v>0.6166666666666667</c:v>
                </c:pt>
                <c:pt idx="22">
                  <c:v>0.60000000000000009</c:v>
                </c:pt>
                <c:pt idx="23">
                  <c:v>0.6</c:v>
                </c:pt>
                <c:pt idx="24">
                  <c:v>0.48333333333333339</c:v>
                </c:pt>
                <c:pt idx="25">
                  <c:v>0.44999999999999996</c:v>
                </c:pt>
                <c:pt idx="26">
                  <c:v>0.43333333333333335</c:v>
                </c:pt>
                <c:pt idx="27">
                  <c:v>0.33333333333333331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FAF-4CAA-9B3D-7C03B4B9B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54596408"/>
        <c:axId val="454596800"/>
      </c:barChart>
      <c:lineChart>
        <c:grouping val="standard"/>
        <c:varyColors val="0"/>
        <c:ser>
          <c:idx val="2"/>
          <c:order val="1"/>
          <c:tx>
            <c:strRef>
              <c:f>'Graf 60+61+62'!$T$3</c:f>
              <c:strCache>
                <c:ptCount val="1"/>
                <c:pt idx="0">
                  <c:v>EÚ</c:v>
                </c:pt>
              </c:strCache>
            </c:strRef>
          </c:tx>
          <c:spPr>
            <a:ln w="158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Ref>
              <c:f>'Graf 60+61+62'!$T$4:$T$31</c:f>
              <c:numCache>
                <c:formatCode>0.00</c:formatCode>
                <c:ptCount val="28"/>
                <c:pt idx="0">
                  <c:v>0.68214285714285716</c:v>
                </c:pt>
                <c:pt idx="1">
                  <c:v>0.68214285714285716</c:v>
                </c:pt>
                <c:pt idx="2">
                  <c:v>0.68214285714285716</c:v>
                </c:pt>
                <c:pt idx="3">
                  <c:v>0.68214285714285716</c:v>
                </c:pt>
                <c:pt idx="4">
                  <c:v>0.68214285714285716</c:v>
                </c:pt>
                <c:pt idx="5">
                  <c:v>0.68214285714285716</c:v>
                </c:pt>
                <c:pt idx="6">
                  <c:v>0.68214285714285716</c:v>
                </c:pt>
                <c:pt idx="7">
                  <c:v>0.68214285714285716</c:v>
                </c:pt>
                <c:pt idx="8">
                  <c:v>0.68214285714285716</c:v>
                </c:pt>
                <c:pt idx="9">
                  <c:v>0.68214285714285716</c:v>
                </c:pt>
                <c:pt idx="10">
                  <c:v>0.68214285714285716</c:v>
                </c:pt>
                <c:pt idx="11">
                  <c:v>0.68214285714285716</c:v>
                </c:pt>
                <c:pt idx="12">
                  <c:v>0.68214285714285716</c:v>
                </c:pt>
                <c:pt idx="13">
                  <c:v>0.68214285714285716</c:v>
                </c:pt>
                <c:pt idx="14">
                  <c:v>0.68214285714285716</c:v>
                </c:pt>
                <c:pt idx="15">
                  <c:v>0.68214285714285716</c:v>
                </c:pt>
                <c:pt idx="16">
                  <c:v>0.68214285714285716</c:v>
                </c:pt>
                <c:pt idx="17">
                  <c:v>0.68214285714285716</c:v>
                </c:pt>
                <c:pt idx="18">
                  <c:v>0.68214285714285716</c:v>
                </c:pt>
                <c:pt idx="19">
                  <c:v>0.68214285714285716</c:v>
                </c:pt>
                <c:pt idx="20">
                  <c:v>0.68214285714285716</c:v>
                </c:pt>
                <c:pt idx="21">
                  <c:v>0.68214285714285716</c:v>
                </c:pt>
                <c:pt idx="22">
                  <c:v>0.68214285714285716</c:v>
                </c:pt>
                <c:pt idx="23">
                  <c:v>0.68214285714285716</c:v>
                </c:pt>
                <c:pt idx="24">
                  <c:v>0.68214285714285716</c:v>
                </c:pt>
                <c:pt idx="25">
                  <c:v>0.68214285714285716</c:v>
                </c:pt>
                <c:pt idx="26">
                  <c:v>0.68214285714285716</c:v>
                </c:pt>
                <c:pt idx="27">
                  <c:v>0.68214285714285716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3FAF-4CAA-9B3D-7C03B4B9B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4596408"/>
        <c:axId val="454596800"/>
      </c:lineChart>
      <c:scatterChart>
        <c:scatterStyle val="lineMarker"/>
        <c:varyColors val="0"/>
        <c:ser>
          <c:idx val="0"/>
          <c:order val="0"/>
          <c:tx>
            <c:strRef>
              <c:f>'Graf 60+61+62'!$R$3</c:f>
              <c:strCache>
                <c:ptCount val="1"/>
                <c:pt idx="0">
                  <c:v>2015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dPt>
            <c:idx val="2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FAF-4CAA-9B3D-7C03B4B9BBB4}"/>
              </c:ext>
            </c:extLst>
          </c:dPt>
          <c:xVal>
            <c:strRef>
              <c:f>'Graf 60+61+62'!$L$4:$L$31</c:f>
              <c:strCache>
                <c:ptCount val="28"/>
                <c:pt idx="0">
                  <c:v>UK</c:v>
                </c:pt>
                <c:pt idx="1">
                  <c:v>EL</c:v>
                </c:pt>
                <c:pt idx="2">
                  <c:v>ES</c:v>
                </c:pt>
                <c:pt idx="3">
                  <c:v>NL</c:v>
                </c:pt>
                <c:pt idx="4">
                  <c:v>SE</c:v>
                </c:pt>
                <c:pt idx="5">
                  <c:v>IT</c:v>
                </c:pt>
                <c:pt idx="6">
                  <c:v>MT</c:v>
                </c:pt>
                <c:pt idx="7">
                  <c:v>LV</c:v>
                </c:pt>
                <c:pt idx="8">
                  <c:v>SK</c:v>
                </c:pt>
                <c:pt idx="9">
                  <c:v>BG</c:v>
                </c:pt>
                <c:pt idx="10">
                  <c:v>LT</c:v>
                </c:pt>
                <c:pt idx="11">
                  <c:v>LU</c:v>
                </c:pt>
                <c:pt idx="12">
                  <c:v>FI</c:v>
                </c:pt>
                <c:pt idx="13">
                  <c:v>RO</c:v>
                </c:pt>
                <c:pt idx="14">
                  <c:v>FR</c:v>
                </c:pt>
                <c:pt idx="15">
                  <c:v>SI</c:v>
                </c:pt>
                <c:pt idx="16">
                  <c:v>BE</c:v>
                </c:pt>
                <c:pt idx="17">
                  <c:v>EE</c:v>
                </c:pt>
                <c:pt idx="18">
                  <c:v>CY</c:v>
                </c:pt>
                <c:pt idx="19">
                  <c:v>IE</c:v>
                </c:pt>
                <c:pt idx="20">
                  <c:v>PT</c:v>
                </c:pt>
                <c:pt idx="21">
                  <c:v>DK</c:v>
                </c:pt>
                <c:pt idx="22">
                  <c:v>HR</c:v>
                </c:pt>
                <c:pt idx="23">
                  <c:v>AT</c:v>
                </c:pt>
                <c:pt idx="24">
                  <c:v>DE</c:v>
                </c:pt>
                <c:pt idx="25">
                  <c:v>HU</c:v>
                </c:pt>
                <c:pt idx="26">
                  <c:v>PL</c:v>
                </c:pt>
                <c:pt idx="27">
                  <c:v>CZ</c:v>
                </c:pt>
              </c:strCache>
            </c:strRef>
          </c:xVal>
          <c:yVal>
            <c:numRef>
              <c:f>'Graf 60+61+62'!$R$4:$R$31</c:f>
              <c:numCache>
                <c:formatCode>0.0000</c:formatCode>
                <c:ptCount val="28"/>
                <c:pt idx="0">
                  <c:v>0.88333333333333341</c:v>
                </c:pt>
                <c:pt idx="1">
                  <c:v>0.8666666666666667</c:v>
                </c:pt>
                <c:pt idx="2">
                  <c:v>0.83333333333333348</c:v>
                </c:pt>
                <c:pt idx="3">
                  <c:v>0.80000000000000016</c:v>
                </c:pt>
                <c:pt idx="4">
                  <c:v>0.8</c:v>
                </c:pt>
                <c:pt idx="5">
                  <c:v>0.78333333333333344</c:v>
                </c:pt>
                <c:pt idx="6">
                  <c:v>0.76666666666666661</c:v>
                </c:pt>
                <c:pt idx="7">
                  <c:v>0.75</c:v>
                </c:pt>
                <c:pt idx="8">
                  <c:v>0.75</c:v>
                </c:pt>
                <c:pt idx="9">
                  <c:v>0.73333333333333339</c:v>
                </c:pt>
                <c:pt idx="10">
                  <c:v>0.73333333333333339</c:v>
                </c:pt>
                <c:pt idx="11">
                  <c:v>0.73333333333333339</c:v>
                </c:pt>
                <c:pt idx="12">
                  <c:v>0.73333333333333339</c:v>
                </c:pt>
                <c:pt idx="13">
                  <c:v>0.71666666666666667</c:v>
                </c:pt>
                <c:pt idx="14">
                  <c:v>0.70000000000000007</c:v>
                </c:pt>
                <c:pt idx="15">
                  <c:v>0.63333333333333341</c:v>
                </c:pt>
                <c:pt idx="16">
                  <c:v>0.68333333333333335</c:v>
                </c:pt>
                <c:pt idx="17">
                  <c:v>0.66666666666666674</c:v>
                </c:pt>
                <c:pt idx="18">
                  <c:v>0.66666666666666674</c:v>
                </c:pt>
                <c:pt idx="19">
                  <c:v>0.66666666666666674</c:v>
                </c:pt>
                <c:pt idx="20">
                  <c:v>0.6166666666666667</c:v>
                </c:pt>
                <c:pt idx="21">
                  <c:v>0.6166666666666667</c:v>
                </c:pt>
                <c:pt idx="22">
                  <c:v>0.60000000000000009</c:v>
                </c:pt>
                <c:pt idx="23">
                  <c:v>0.6</c:v>
                </c:pt>
                <c:pt idx="24">
                  <c:v>0.48333333333333339</c:v>
                </c:pt>
                <c:pt idx="25">
                  <c:v>0.44999999999999996</c:v>
                </c:pt>
                <c:pt idx="26">
                  <c:v>0.43333333333333335</c:v>
                </c:pt>
                <c:pt idx="27">
                  <c:v>0.33333333333333331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3FAF-4CAA-9B3D-7C03B4B9B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4596408"/>
        <c:axId val="454596800"/>
      </c:scatterChart>
      <c:catAx>
        <c:axId val="45459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6800"/>
        <c:crosses val="autoZero"/>
        <c:auto val="1"/>
        <c:lblAlgn val="ctr"/>
        <c:lblOffset val="100"/>
        <c:tickLblSkip val="1"/>
        <c:noMultiLvlLbl val="0"/>
      </c:catAx>
      <c:valAx>
        <c:axId val="454596800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459640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646925996654874"/>
          <c:y val="7.7365310252249089E-2"/>
          <c:w val="0.72164068442105"/>
          <c:h val="9.4564965593927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36244080601036"/>
          <c:y val="5.0925925925925923E-2"/>
          <c:w val="0.85183685372661755"/>
          <c:h val="0.78625765529308833"/>
        </c:manualLayout>
      </c:layout>
      <c:lineChart>
        <c:grouping val="standard"/>
        <c:varyColors val="0"/>
        <c:ser>
          <c:idx val="2"/>
          <c:order val="0"/>
          <c:tx>
            <c:strRef>
              <c:f>'Graf 5+6'!$H$28</c:f>
              <c:strCache>
                <c:ptCount val="1"/>
                <c:pt idx="0">
                  <c:v>ECB inflation target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5+6'!$I$12:$AT$12</c:f>
              <c:numCache>
                <c:formatCode>0.00</c:formatCode>
                <c:ptCount val="3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D59-4E03-93B3-F23EE90F71B3}"/>
            </c:ext>
          </c:extLst>
        </c:ser>
        <c:ser>
          <c:idx val="0"/>
          <c:order val="1"/>
          <c:tx>
            <c:strRef>
              <c:f>'Graf 5+6'!$H$26</c:f>
              <c:strCache>
                <c:ptCount val="1"/>
                <c:pt idx="0">
                  <c:v>Eurozone inflation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5+6'!$I$10:$AT$10</c:f>
              <c:numCache>
                <c:formatCode>#\ ##0.0</c:formatCode>
                <c:ptCount val="38"/>
                <c:pt idx="0">
                  <c:v>0.3</c:v>
                </c:pt>
                <c:pt idx="1">
                  <c:v>-0.2</c:v>
                </c:pt>
                <c:pt idx="2">
                  <c:v>0</c:v>
                </c:pt>
                <c:pt idx="3">
                  <c:v>-0.2</c:v>
                </c:pt>
                <c:pt idx="4">
                  <c:v>-0.1</c:v>
                </c:pt>
                <c:pt idx="5">
                  <c:v>0.1</c:v>
                </c:pt>
                <c:pt idx="6">
                  <c:v>0.2</c:v>
                </c:pt>
                <c:pt idx="7">
                  <c:v>0.2</c:v>
                </c:pt>
                <c:pt idx="8">
                  <c:v>0.4</c:v>
                </c:pt>
                <c:pt idx="9">
                  <c:v>0.5</c:v>
                </c:pt>
                <c:pt idx="10">
                  <c:v>0.6</c:v>
                </c:pt>
                <c:pt idx="11">
                  <c:v>1.1000000000000001</c:v>
                </c:pt>
                <c:pt idx="12">
                  <c:v>1.8</c:v>
                </c:pt>
                <c:pt idx="13">
                  <c:v>2</c:v>
                </c:pt>
                <c:pt idx="14">
                  <c:v>1.5</c:v>
                </c:pt>
                <c:pt idx="15">
                  <c:v>1.9</c:v>
                </c:pt>
                <c:pt idx="16">
                  <c:v>1.4</c:v>
                </c:pt>
                <c:pt idx="17">
                  <c:v>1.3</c:v>
                </c:pt>
                <c:pt idx="18">
                  <c:v>1.3</c:v>
                </c:pt>
                <c:pt idx="19">
                  <c:v>1.5</c:v>
                </c:pt>
                <c:pt idx="20">
                  <c:v>1.5</c:v>
                </c:pt>
                <c:pt idx="21">
                  <c:v>1.4</c:v>
                </c:pt>
                <c:pt idx="22">
                  <c:v>1.5</c:v>
                </c:pt>
                <c:pt idx="23">
                  <c:v>1.4</c:v>
                </c:pt>
                <c:pt idx="24">
                  <c:v>1.3</c:v>
                </c:pt>
                <c:pt idx="25">
                  <c:v>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D59-4E03-93B3-F23EE90F71B3}"/>
            </c:ext>
          </c:extLst>
        </c:ser>
        <c:ser>
          <c:idx val="1"/>
          <c:order val="2"/>
          <c:tx>
            <c:strRef>
              <c:f>'Graf 5+6'!$H$27</c:f>
              <c:strCache>
                <c:ptCount val="1"/>
                <c:pt idx="0">
                  <c:v>Inflation expectations in 2018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5+6'!$I$9:$AT$9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5+6'!$I$11:$AT$11</c:f>
              <c:numCache>
                <c:formatCode>General</c:formatCode>
                <c:ptCount val="38"/>
                <c:pt idx="0">
                  <c:v>1.5149999999999999</c:v>
                </c:pt>
                <c:pt idx="1">
                  <c:v>1.361</c:v>
                </c:pt>
                <c:pt idx="2">
                  <c:v>1.407</c:v>
                </c:pt>
                <c:pt idx="3">
                  <c:v>1.4710000000000001</c:v>
                </c:pt>
                <c:pt idx="4">
                  <c:v>1.4750000000000001</c:v>
                </c:pt>
                <c:pt idx="5">
                  <c:v>1.3180000000000001</c:v>
                </c:pt>
                <c:pt idx="6">
                  <c:v>1.3395999999999999</c:v>
                </c:pt>
                <c:pt idx="7">
                  <c:v>1.302</c:v>
                </c:pt>
                <c:pt idx="8">
                  <c:v>1.355</c:v>
                </c:pt>
                <c:pt idx="9">
                  <c:v>1.4646999999999999</c:v>
                </c:pt>
                <c:pt idx="10">
                  <c:v>1.619</c:v>
                </c:pt>
                <c:pt idx="11">
                  <c:v>1.7435</c:v>
                </c:pt>
                <c:pt idx="12">
                  <c:v>1.8</c:v>
                </c:pt>
                <c:pt idx="13">
                  <c:v>1.696</c:v>
                </c:pt>
                <c:pt idx="14">
                  <c:v>1.5597000000000001</c:v>
                </c:pt>
                <c:pt idx="15">
                  <c:v>1.6267</c:v>
                </c:pt>
                <c:pt idx="16">
                  <c:v>1.5625</c:v>
                </c:pt>
                <c:pt idx="17">
                  <c:v>1.5791999999999999</c:v>
                </c:pt>
                <c:pt idx="18">
                  <c:v>1.62</c:v>
                </c:pt>
                <c:pt idx="19">
                  <c:v>1.605</c:v>
                </c:pt>
                <c:pt idx="20">
                  <c:v>1.6180000000000001</c:v>
                </c:pt>
                <c:pt idx="21">
                  <c:v>1.6597</c:v>
                </c:pt>
                <c:pt idx="22">
                  <c:v>1.6950000000000001</c:v>
                </c:pt>
                <c:pt idx="23">
                  <c:v>1.72</c:v>
                </c:pt>
                <c:pt idx="24">
                  <c:v>1.7310000000000001</c:v>
                </c:pt>
                <c:pt idx="25">
                  <c:v>1.7242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D59-4E03-93B3-F23EE90F7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044640"/>
        <c:axId val="322045032"/>
      </c:lineChart>
      <c:dateAx>
        <c:axId val="322044640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045032"/>
        <c:crosses val="autoZero"/>
        <c:auto val="1"/>
        <c:lblOffset val="100"/>
        <c:baseTimeUnit val="months"/>
      </c:dateAx>
      <c:valAx>
        <c:axId val="322045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044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06777012071136"/>
          <c:y val="0.62129786685739896"/>
          <c:w val="0.61384660250801981"/>
          <c:h val="0.212035540656201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'Grafy 7+8'!$J$13</c:f>
              <c:strCache>
                <c:ptCount val="1"/>
                <c:pt idx="0">
                  <c:v>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7+8'!$K$13:$R$13</c:f>
              <c:numCache>
                <c:formatCode>0.0</c:formatCode>
                <c:ptCount val="8"/>
                <c:pt idx="0">
                  <c:v>2.0669108041546211</c:v>
                </c:pt>
                <c:pt idx="1">
                  <c:v>2.157107786443389</c:v>
                </c:pt>
                <c:pt idx="2">
                  <c:v>1.3524746996125454</c:v>
                </c:pt>
                <c:pt idx="3">
                  <c:v>1.2655510740669254</c:v>
                </c:pt>
                <c:pt idx="4">
                  <c:v>1.6062531931799771</c:v>
                </c:pt>
                <c:pt idx="5">
                  <c:v>1.7735552788967264</c:v>
                </c:pt>
                <c:pt idx="6">
                  <c:v>1.6937491083223404</c:v>
                </c:pt>
                <c:pt idx="7">
                  <c:v>2.4678781084751149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B0-4E4C-B850-28704EA86B5A}"/>
            </c:ext>
          </c:extLst>
        </c:ser>
        <c:ser>
          <c:idx val="8"/>
          <c:order val="1"/>
          <c:tx>
            <c:strRef>
              <c:f>'Grafy 7+8'!$J$14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7+8'!$K$14:$R$14</c:f>
              <c:numCache>
                <c:formatCode>0.0</c:formatCode>
                <c:ptCount val="8"/>
                <c:pt idx="0">
                  <c:v>0.41894564014705427</c:v>
                </c:pt>
                <c:pt idx="1">
                  <c:v>-0.49453708725529094</c:v>
                </c:pt>
                <c:pt idx="2">
                  <c:v>-3.3860811415360597</c:v>
                </c:pt>
                <c:pt idx="3">
                  <c:v>-4.2369611199885195</c:v>
                </c:pt>
                <c:pt idx="4">
                  <c:v>0.14905867463923061</c:v>
                </c:pt>
                <c:pt idx="5">
                  <c:v>-1.2085016404080102</c:v>
                </c:pt>
                <c:pt idx="6">
                  <c:v>2.2047030527999292</c:v>
                </c:pt>
                <c:pt idx="7">
                  <c:v>1.4735826368460507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B0-4E4C-B850-28704EA86B5A}"/>
            </c:ext>
          </c:extLst>
        </c:ser>
        <c:ser>
          <c:idx val="0"/>
          <c:order val="2"/>
          <c:tx>
            <c:strRef>
              <c:f>'Grafy 7+8'!$J$15</c:f>
              <c:strCache>
                <c:ptCount val="1"/>
                <c:pt idx="0">
                  <c:v>Zásoby a diskrepancia</c:v>
                </c:pt>
              </c:strCache>
            </c:strRef>
          </c:tx>
          <c:invertIfNegative val="0"/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7+8'!$K$15:$R$15</c:f>
              <c:numCache>
                <c:formatCode>0.0</c:formatCode>
                <c:ptCount val="8"/>
                <c:pt idx="0">
                  <c:v>0.42639254738194465</c:v>
                </c:pt>
                <c:pt idx="1">
                  <c:v>-0.67471228887610657</c:v>
                </c:pt>
                <c:pt idx="2">
                  <c:v>0.78665018102307194</c:v>
                </c:pt>
                <c:pt idx="3">
                  <c:v>3.4425740949849581</c:v>
                </c:pt>
                <c:pt idx="4">
                  <c:v>0.15158705348846557</c:v>
                </c:pt>
                <c:pt idx="5">
                  <c:v>2.7241952604984476</c:v>
                </c:pt>
                <c:pt idx="6">
                  <c:v>1.0611284197967041</c:v>
                </c:pt>
                <c:pt idx="7">
                  <c:v>-3.1878698318876477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4B0-4E4C-B850-28704EA86B5A}"/>
            </c:ext>
          </c:extLst>
        </c:ser>
        <c:ser>
          <c:idx val="1"/>
          <c:order val="3"/>
          <c:tx>
            <c:strRef>
              <c:f>'Grafy 7+8'!$J$16</c:f>
              <c:strCache>
                <c:ptCount val="1"/>
                <c:pt idx="0">
                  <c:v>Čistý export</c:v>
                </c:pt>
              </c:strCache>
            </c:strRef>
          </c:tx>
          <c:invertIfNegative val="0"/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7+8'!$K$16:$R$16</c:f>
              <c:numCache>
                <c:formatCode>0.0</c:formatCode>
                <c:ptCount val="8"/>
                <c:pt idx="0">
                  <c:v>0.76152050540741933</c:v>
                </c:pt>
                <c:pt idx="1">
                  <c:v>2.8641194038334437</c:v>
                </c:pt>
                <c:pt idx="2">
                  <c:v>3.9391152456530998</c:v>
                </c:pt>
                <c:pt idx="3">
                  <c:v>2.6829670665811678</c:v>
                </c:pt>
                <c:pt idx="4">
                  <c:v>1.0775465911641606</c:v>
                </c:pt>
                <c:pt idx="5">
                  <c:v>0.44402356625077194</c:v>
                </c:pt>
                <c:pt idx="6">
                  <c:v>-1.5801216551489223</c:v>
                </c:pt>
                <c:pt idx="7">
                  <c:v>2.7151538703069007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4B0-4E4C-B850-28704EA86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045816"/>
        <c:axId val="322046208"/>
      </c:barChart>
      <c:lineChart>
        <c:grouping val="standard"/>
        <c:varyColors val="0"/>
        <c:ser>
          <c:idx val="2"/>
          <c:order val="4"/>
          <c:tx>
            <c:strRef>
              <c:f>'Grafy 7+8'!$J$17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7+8'!$K$17:$R$17</c:f>
              <c:numCache>
                <c:formatCode>0.0</c:formatCode>
                <c:ptCount val="8"/>
                <c:pt idx="0">
                  <c:v>3.6737694970910395</c:v>
                </c:pt>
                <c:pt idx="1">
                  <c:v>3.8519778141454353</c:v>
                </c:pt>
                <c:pt idx="2">
                  <c:v>2.6921589847526572</c:v>
                </c:pt>
                <c:pt idx="3">
                  <c:v>3.1541311156445317</c:v>
                </c:pt>
                <c:pt idx="4">
                  <c:v>2.9844455124718339</c:v>
                </c:pt>
                <c:pt idx="5">
                  <c:v>3.7332724652379357</c:v>
                </c:pt>
                <c:pt idx="6">
                  <c:v>3.3794589257700514</c:v>
                </c:pt>
                <c:pt idx="7">
                  <c:v>3.4687447837404184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4B0-4E4C-B850-28704EA86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045816"/>
        <c:axId val="322046208"/>
      </c:lineChart>
      <c:catAx>
        <c:axId val="322045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322046208"/>
        <c:crosses val="autoZero"/>
        <c:auto val="1"/>
        <c:lblAlgn val="ctr"/>
        <c:lblOffset val="100"/>
        <c:noMultiLvlLbl val="0"/>
      </c:catAx>
      <c:valAx>
        <c:axId val="322046208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322045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078880604136694"/>
          <c:y val="2.2580115993565322E-2"/>
          <c:w val="0.86860603092347277"/>
          <c:h val="0.21218884937769877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'Grafy 7+8'!$J$31</c:f>
              <c:strCache>
                <c:ptCount val="1"/>
                <c:pt idx="0">
                  <c:v>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7+8'!$K$13:$R$13</c:f>
              <c:numCache>
                <c:formatCode>0.0</c:formatCode>
                <c:ptCount val="8"/>
                <c:pt idx="0">
                  <c:v>2.0669108041546211</c:v>
                </c:pt>
                <c:pt idx="1">
                  <c:v>2.157107786443389</c:v>
                </c:pt>
                <c:pt idx="2">
                  <c:v>1.3524746996125454</c:v>
                </c:pt>
                <c:pt idx="3">
                  <c:v>1.2655510740669254</c:v>
                </c:pt>
                <c:pt idx="4">
                  <c:v>1.6062531931799771</c:v>
                </c:pt>
                <c:pt idx="5">
                  <c:v>1.7735552788967264</c:v>
                </c:pt>
                <c:pt idx="6">
                  <c:v>1.6937491083223404</c:v>
                </c:pt>
                <c:pt idx="7">
                  <c:v>2.4678781084751149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F2-4279-A333-30715CED12CE}"/>
            </c:ext>
          </c:extLst>
        </c:ser>
        <c:ser>
          <c:idx val="8"/>
          <c:order val="1"/>
          <c:tx>
            <c:strRef>
              <c:f>'Grafy 7+8'!$J$32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7+8'!$K$14:$R$14</c:f>
              <c:numCache>
                <c:formatCode>0.0</c:formatCode>
                <c:ptCount val="8"/>
                <c:pt idx="0">
                  <c:v>0.41894564014705427</c:v>
                </c:pt>
                <c:pt idx="1">
                  <c:v>-0.49453708725529094</c:v>
                </c:pt>
                <c:pt idx="2">
                  <c:v>-3.3860811415360597</c:v>
                </c:pt>
                <c:pt idx="3">
                  <c:v>-4.2369611199885195</c:v>
                </c:pt>
                <c:pt idx="4">
                  <c:v>0.14905867463923061</c:v>
                </c:pt>
                <c:pt idx="5">
                  <c:v>-1.2085016404080102</c:v>
                </c:pt>
                <c:pt idx="6">
                  <c:v>2.2047030527999292</c:v>
                </c:pt>
                <c:pt idx="7">
                  <c:v>1.4735826368460507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CF2-4279-A333-30715CED12CE}"/>
            </c:ext>
          </c:extLst>
        </c:ser>
        <c:ser>
          <c:idx val="0"/>
          <c:order val="2"/>
          <c:tx>
            <c:strRef>
              <c:f>'Grafy 7+8'!$J$33</c:f>
              <c:strCache>
                <c:ptCount val="1"/>
                <c:pt idx="0">
                  <c:v>Inventories and disc.</c:v>
                </c:pt>
              </c:strCache>
            </c:strRef>
          </c:tx>
          <c:invertIfNegative val="0"/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7+8'!$K$15:$R$15</c:f>
              <c:numCache>
                <c:formatCode>0.0</c:formatCode>
                <c:ptCount val="8"/>
                <c:pt idx="0">
                  <c:v>0.42639254738194465</c:v>
                </c:pt>
                <c:pt idx="1">
                  <c:v>-0.67471228887610657</c:v>
                </c:pt>
                <c:pt idx="2">
                  <c:v>0.78665018102307194</c:v>
                </c:pt>
                <c:pt idx="3">
                  <c:v>3.4425740949849581</c:v>
                </c:pt>
                <c:pt idx="4">
                  <c:v>0.15158705348846557</c:v>
                </c:pt>
                <c:pt idx="5">
                  <c:v>2.7241952604984476</c:v>
                </c:pt>
                <c:pt idx="6">
                  <c:v>1.0611284197967041</c:v>
                </c:pt>
                <c:pt idx="7">
                  <c:v>-3.1878698318876477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CF2-4279-A333-30715CED12CE}"/>
            </c:ext>
          </c:extLst>
        </c:ser>
        <c:ser>
          <c:idx val="1"/>
          <c:order val="3"/>
          <c:tx>
            <c:strRef>
              <c:f>'Grafy 7+8'!$J$34</c:f>
              <c:strCache>
                <c:ptCount val="1"/>
                <c:pt idx="0">
                  <c:v>Net export</c:v>
                </c:pt>
              </c:strCache>
            </c:strRef>
          </c:tx>
          <c:invertIfNegative val="0"/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7+8'!$K$16:$R$16</c:f>
              <c:numCache>
                <c:formatCode>0.0</c:formatCode>
                <c:ptCount val="8"/>
                <c:pt idx="0">
                  <c:v>0.76152050540741933</c:v>
                </c:pt>
                <c:pt idx="1">
                  <c:v>2.8641194038334437</c:v>
                </c:pt>
                <c:pt idx="2">
                  <c:v>3.9391152456530998</c:v>
                </c:pt>
                <c:pt idx="3">
                  <c:v>2.6829670665811678</c:v>
                </c:pt>
                <c:pt idx="4">
                  <c:v>1.0775465911641606</c:v>
                </c:pt>
                <c:pt idx="5">
                  <c:v>0.44402356625077194</c:v>
                </c:pt>
                <c:pt idx="6">
                  <c:v>-1.5801216551489223</c:v>
                </c:pt>
                <c:pt idx="7">
                  <c:v>2.7151538703069007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CF2-4279-A333-30715CED1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046992"/>
        <c:axId val="322047384"/>
      </c:barChart>
      <c:lineChart>
        <c:grouping val="standard"/>
        <c:varyColors val="0"/>
        <c:ser>
          <c:idx val="2"/>
          <c:order val="4"/>
          <c:tx>
            <c:strRef>
              <c:f>'Grafy 7+8'!$J$35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7+8'!$K$17:$R$17</c:f>
              <c:numCache>
                <c:formatCode>0.0</c:formatCode>
                <c:ptCount val="8"/>
                <c:pt idx="0">
                  <c:v>3.6737694970910395</c:v>
                </c:pt>
                <c:pt idx="1">
                  <c:v>3.8519778141454353</c:v>
                </c:pt>
                <c:pt idx="2">
                  <c:v>2.6921589847526572</c:v>
                </c:pt>
                <c:pt idx="3">
                  <c:v>3.1541311156445317</c:v>
                </c:pt>
                <c:pt idx="4">
                  <c:v>2.9844455124718339</c:v>
                </c:pt>
                <c:pt idx="5">
                  <c:v>3.7332724652379357</c:v>
                </c:pt>
                <c:pt idx="6">
                  <c:v>3.3794589257700514</c:v>
                </c:pt>
                <c:pt idx="7">
                  <c:v>3.4687447837404184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CF2-4279-A333-30715CED1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046992"/>
        <c:axId val="322047384"/>
      </c:lineChart>
      <c:catAx>
        <c:axId val="322046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322047384"/>
        <c:crosses val="autoZero"/>
        <c:auto val="1"/>
        <c:lblAlgn val="ctr"/>
        <c:lblOffset val="100"/>
        <c:noMultiLvlLbl val="0"/>
      </c:catAx>
      <c:valAx>
        <c:axId val="322047384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322046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078880604136694"/>
          <c:y val="2.2580115993565322E-2"/>
          <c:w val="0.86860603092347277"/>
          <c:h val="0.21218884937769877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'Grafy 7+8'!$J$6</c:f>
              <c:strCache>
                <c:ptCount val="1"/>
                <c:pt idx="0">
                  <c:v>Súkromné jadrové investície 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'Grafy 7+8'!$K$3:$Q$3</c:f>
              <c:numCache>
                <c:formatCode>#\ ?/?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'Grafy 7+8'!$K$6:$Q$6</c:f>
              <c:numCache>
                <c:formatCode>0.0</c:formatCode>
                <c:ptCount val="7"/>
                <c:pt idx="0">
                  <c:v>9.6294633435288191</c:v>
                </c:pt>
                <c:pt idx="1">
                  <c:v>-8.2137553122644729</c:v>
                </c:pt>
                <c:pt idx="2">
                  <c:v>-0.96945231346735516</c:v>
                </c:pt>
                <c:pt idx="3">
                  <c:v>-0.10468518402304472</c:v>
                </c:pt>
                <c:pt idx="4">
                  <c:v>6.5320213554913149</c:v>
                </c:pt>
                <c:pt idx="5">
                  <c:v>3.1665389932837655</c:v>
                </c:pt>
                <c:pt idx="6">
                  <c:v>1.8485377406671915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889-453E-91F5-23A856DB75CF}"/>
            </c:ext>
          </c:extLst>
        </c:ser>
        <c:ser>
          <c:idx val="8"/>
          <c:order val="1"/>
          <c:tx>
            <c:strRef>
              <c:f>'Grafy 7+8'!$J$8</c:f>
              <c:strCache>
                <c:ptCount val="1"/>
                <c:pt idx="0">
                  <c:v>VW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'Grafy 7+8'!$K$3:$Q$3</c:f>
              <c:numCache>
                <c:formatCode>#\ ?/?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'Grafy 7+8'!$K$8:$Q$8</c:f>
              <c:numCache>
                <c:formatCode>0.0</c:formatCode>
                <c:ptCount val="7"/>
                <c:pt idx="0">
                  <c:v>1.5023884987685816</c:v>
                </c:pt>
                <c:pt idx="1">
                  <c:v>0.7520977079217751</c:v>
                </c:pt>
                <c:pt idx="2">
                  <c:v>-2.8654325593032558E-2</c:v>
                </c:pt>
                <c:pt idx="3">
                  <c:v>-0.59145019209047844</c:v>
                </c:pt>
                <c:pt idx="4">
                  <c:v>1.0404999902873973</c:v>
                </c:pt>
                <c:pt idx="5">
                  <c:v>0.65247192931332643</c:v>
                </c:pt>
                <c:pt idx="6">
                  <c:v>-0.8197008468976672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889-453E-91F5-23A856DB75CF}"/>
            </c:ext>
          </c:extLst>
        </c:ser>
        <c:ser>
          <c:idx val="0"/>
          <c:order val="2"/>
          <c:tx>
            <c:strRef>
              <c:f>'Grafy 7+8'!$J$7</c:f>
              <c:strCache>
                <c:ptCount val="1"/>
                <c:pt idx="0">
                  <c:v>Verejné investície</c:v>
                </c:pt>
              </c:strCache>
            </c:strRef>
          </c:tx>
          <c:invertIfNegative val="0"/>
          <c:cat>
            <c:numRef>
              <c:f>'Grafy 7+8'!$K$3:$Q$3</c:f>
              <c:numCache>
                <c:formatCode>#\ ?/?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'Grafy 7+8'!$K$7:$Q$7</c:f>
              <c:numCache>
                <c:formatCode>0.0</c:formatCode>
                <c:ptCount val="7"/>
                <c:pt idx="0">
                  <c:v>1.5218380291812346</c:v>
                </c:pt>
                <c:pt idx="1">
                  <c:v>-1.5326190767943955</c:v>
                </c:pt>
                <c:pt idx="2">
                  <c:v>0.13110702765582583</c:v>
                </c:pt>
                <c:pt idx="3">
                  <c:v>3.7061149897842776</c:v>
                </c:pt>
                <c:pt idx="4">
                  <c:v>12.227332626855619</c:v>
                </c:pt>
                <c:pt idx="5">
                  <c:v>-12.338035434717904</c:v>
                </c:pt>
                <c:pt idx="6">
                  <c:v>-0.4171429436441797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889-453E-91F5-23A856DB75CF}"/>
            </c:ext>
          </c:extLst>
        </c:ser>
        <c:ser>
          <c:idx val="1"/>
          <c:order val="3"/>
          <c:tx>
            <c:strRef>
              <c:f>'Grafy 7+8'!$J$9</c:f>
              <c:strCache>
                <c:ptCount val="1"/>
                <c:pt idx="0">
                  <c:v>JLR</c:v>
                </c:pt>
              </c:strCache>
            </c:strRef>
          </c:tx>
          <c:invertIfNegative val="0"/>
          <c:cat>
            <c:numRef>
              <c:f>'Grafy 7+8'!$K$3:$Q$3</c:f>
              <c:numCache>
                <c:formatCode>#\ ?/?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'Grafy 7+8'!$K$9:$Q$9</c:f>
              <c:numCache>
                <c:formatCode>0.0</c:formatCode>
                <c:ptCount val="7"/>
                <c:pt idx="5">
                  <c:v>0.26676497174117514</c:v>
                </c:pt>
                <c:pt idx="6">
                  <c:v>2.5725822457719731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889-453E-91F5-23A856DB75CF}"/>
            </c:ext>
          </c:extLst>
        </c:ser>
        <c:ser>
          <c:idx val="3"/>
          <c:order val="5"/>
          <c:tx>
            <c:strRef>
              <c:f>'Grafy 7+8'!$J$10</c:f>
              <c:strCache>
                <c:ptCount val="1"/>
              </c:strCache>
            </c:strRef>
          </c:tx>
          <c:spPr>
            <a:solidFill>
              <a:srgbClr val="1F497D"/>
            </a:solidFill>
          </c:spPr>
          <c:invertIfNegative val="0"/>
          <c:cat>
            <c:numRef>
              <c:f>'Grafy 7+8'!$K$3:$Q$3</c:f>
              <c:numCache>
                <c:formatCode>#\ ?/?</c:formatCode>
                <c:ptCount val="7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</c:numCache>
            </c:numRef>
          </c:cat>
          <c:val>
            <c:numRef>
              <c:f>'Grafy 7+8'!$K$10:$P$10</c:f>
              <c:numCache>
                <c:formatCode>0.0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889-453E-91F5-23A856DB7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887488"/>
        <c:axId val="322887880"/>
      </c:barChart>
      <c:lineChart>
        <c:grouping val="standard"/>
        <c:varyColors val="0"/>
        <c:ser>
          <c:idx val="2"/>
          <c:order val="4"/>
          <c:tx>
            <c:strRef>
              <c:f>'Grafy 7+8'!$J$4</c:f>
              <c:strCache>
                <c:ptCount val="1"/>
                <c:pt idx="0">
                  <c:v>Investície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7+8'!$K$4:$Q$4</c:f>
              <c:numCache>
                <c:formatCode>0.0</c:formatCode>
                <c:ptCount val="7"/>
                <c:pt idx="0">
                  <c:v>12.653689871478635</c:v>
                </c:pt>
                <c:pt idx="1">
                  <c:v>-8.9942766811370927</c:v>
                </c:pt>
                <c:pt idx="2">
                  <c:v>-0.86699961140456194</c:v>
                </c:pt>
                <c:pt idx="3">
                  <c:v>3.0099796136707546</c:v>
                </c:pt>
                <c:pt idx="4">
                  <c:v>19.799853972634331</c:v>
                </c:pt>
                <c:pt idx="5">
                  <c:v>-8.2522595403796366</c:v>
                </c:pt>
                <c:pt idx="6">
                  <c:v>3.1842761958973176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6889-453E-91F5-23A856DB7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87488"/>
        <c:axId val="322887880"/>
      </c:lineChart>
      <c:catAx>
        <c:axId val="322887488"/>
        <c:scaling>
          <c:orientation val="minMax"/>
        </c:scaling>
        <c:delete val="0"/>
        <c:axPos val="b"/>
        <c:numFmt formatCode="#\ ?/?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322887880"/>
        <c:crosses val="autoZero"/>
        <c:auto val="1"/>
        <c:lblAlgn val="ctr"/>
        <c:lblOffset val="100"/>
        <c:noMultiLvlLbl val="0"/>
      </c:catAx>
      <c:valAx>
        <c:axId val="322887880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322887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9.412213473315835E-2"/>
          <c:y val="3.2279168330148402E-3"/>
          <c:w val="0.86860603092347277"/>
          <c:h val="0.3319734991783057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'Grafy 7+8'!$J$24</c:f>
              <c:strCache>
                <c:ptCount val="1"/>
                <c:pt idx="0">
                  <c:v>Private core investments*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'Grafy 7+8'!$K$3:$P$3</c:f>
              <c:numCache>
                <c:formatCode>#\ ?/?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'Grafy 7+8'!$K$6:$P$6</c:f>
              <c:numCache>
                <c:formatCode>0.0</c:formatCode>
                <c:ptCount val="6"/>
                <c:pt idx="0">
                  <c:v>9.6294633435288191</c:v>
                </c:pt>
                <c:pt idx="1">
                  <c:v>-8.2137553122644729</c:v>
                </c:pt>
                <c:pt idx="2">
                  <c:v>-0.96945231346735516</c:v>
                </c:pt>
                <c:pt idx="3">
                  <c:v>-0.10468518402304472</c:v>
                </c:pt>
                <c:pt idx="4">
                  <c:v>6.5320213554913149</c:v>
                </c:pt>
                <c:pt idx="5">
                  <c:v>3.1665389932837655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FF-447A-860C-B6496809B18F}"/>
            </c:ext>
          </c:extLst>
        </c:ser>
        <c:ser>
          <c:idx val="8"/>
          <c:order val="1"/>
          <c:tx>
            <c:strRef>
              <c:f>'Grafy 7+8'!$J$8</c:f>
              <c:strCache>
                <c:ptCount val="1"/>
                <c:pt idx="0">
                  <c:v>VW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'Grafy 7+8'!$K$3:$P$3</c:f>
              <c:numCache>
                <c:formatCode>#\ ?/?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'Grafy 7+8'!$K$8:$P$8</c:f>
              <c:numCache>
                <c:formatCode>0.0</c:formatCode>
                <c:ptCount val="6"/>
                <c:pt idx="0">
                  <c:v>1.5023884987685816</c:v>
                </c:pt>
                <c:pt idx="1">
                  <c:v>0.7520977079217751</c:v>
                </c:pt>
                <c:pt idx="2">
                  <c:v>-2.8654325593032558E-2</c:v>
                </c:pt>
                <c:pt idx="3">
                  <c:v>-0.59145019209047844</c:v>
                </c:pt>
                <c:pt idx="4">
                  <c:v>1.0404999902873973</c:v>
                </c:pt>
                <c:pt idx="5">
                  <c:v>0.65247192931332643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FFF-447A-860C-B6496809B18F}"/>
            </c:ext>
          </c:extLst>
        </c:ser>
        <c:ser>
          <c:idx val="0"/>
          <c:order val="2"/>
          <c:tx>
            <c:strRef>
              <c:f>'Grafy 7+8'!$J$25</c:f>
              <c:strCache>
                <c:ptCount val="1"/>
                <c:pt idx="0">
                  <c:v>Public investments</c:v>
                </c:pt>
              </c:strCache>
            </c:strRef>
          </c:tx>
          <c:invertIfNegative val="0"/>
          <c:cat>
            <c:numRef>
              <c:f>'Grafy 7+8'!$K$3:$P$3</c:f>
              <c:numCache>
                <c:formatCode>#\ ?/?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'Grafy 7+8'!$K$7:$P$7</c:f>
              <c:numCache>
                <c:formatCode>0.0</c:formatCode>
                <c:ptCount val="6"/>
                <c:pt idx="0">
                  <c:v>1.5218380291812346</c:v>
                </c:pt>
                <c:pt idx="1">
                  <c:v>-1.5326190767943955</c:v>
                </c:pt>
                <c:pt idx="2">
                  <c:v>0.13110702765582583</c:v>
                </c:pt>
                <c:pt idx="3">
                  <c:v>3.7061149897842776</c:v>
                </c:pt>
                <c:pt idx="4">
                  <c:v>12.227332626855619</c:v>
                </c:pt>
                <c:pt idx="5">
                  <c:v>-12.338035434717904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FFF-447A-860C-B6496809B18F}"/>
            </c:ext>
          </c:extLst>
        </c:ser>
        <c:ser>
          <c:idx val="1"/>
          <c:order val="3"/>
          <c:tx>
            <c:strRef>
              <c:f>'Grafy 7+8'!$J$9</c:f>
              <c:strCache>
                <c:ptCount val="1"/>
                <c:pt idx="0">
                  <c:v>JLR</c:v>
                </c:pt>
              </c:strCache>
            </c:strRef>
          </c:tx>
          <c:invertIfNegative val="0"/>
          <c:cat>
            <c:numRef>
              <c:f>'Grafy 7+8'!$K$3:$P$3</c:f>
              <c:numCache>
                <c:formatCode>#\ ?/?</c:formatCode>
                <c:ptCount val="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</c:numCache>
            </c:numRef>
          </c:cat>
          <c:val>
            <c:numRef>
              <c:f>'Grafy 7+8'!$K$9:$P$9</c:f>
              <c:numCache>
                <c:formatCode>0.0</c:formatCode>
                <c:ptCount val="6"/>
                <c:pt idx="5">
                  <c:v>0.26676497174117514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FFF-447A-860C-B6496809B18F}"/>
            </c:ext>
          </c:extLst>
        </c:ser>
        <c:ser>
          <c:idx val="3"/>
          <c:order val="5"/>
          <c:tx>
            <c:strRef>
              <c:f>'Grafy 7+8'!$J$10</c:f>
              <c:strCache>
                <c:ptCount val="1"/>
              </c:strCache>
            </c:strRef>
          </c:tx>
          <c:spPr>
            <a:solidFill>
              <a:srgbClr val="1F497D"/>
            </a:solidFill>
          </c:spPr>
          <c:invertIfNegative val="0"/>
          <c:val>
            <c:numRef>
              <c:f>'Grafy 7+8'!$K$10:$P$10</c:f>
              <c:numCache>
                <c:formatCode>0.0</c:formatCode>
                <c:ptCount val="6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FFF-447A-860C-B6496809B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888664"/>
        <c:axId val="322889056"/>
      </c:barChart>
      <c:lineChart>
        <c:grouping val="standard"/>
        <c:varyColors val="0"/>
        <c:ser>
          <c:idx val="2"/>
          <c:order val="4"/>
          <c:tx>
            <c:strRef>
              <c:f>'Grafy 7+8'!$J$22</c:f>
              <c:strCache>
                <c:ptCount val="1"/>
                <c:pt idx="0">
                  <c:v>Investments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'Grafy 7+8'!$K$12:$R$12</c:f>
              <c:strCache>
                <c:ptCount val="8"/>
                <c:pt idx="0">
                  <c:v>2016Q1</c:v>
                </c:pt>
                <c:pt idx="1">
                  <c:v>2016Q2</c:v>
                </c:pt>
                <c:pt idx="2">
                  <c:v>2016Q3</c:v>
                </c:pt>
                <c:pt idx="3">
                  <c:v>2016Q4</c:v>
                </c:pt>
                <c:pt idx="4">
                  <c:v>2017Q1</c:v>
                </c:pt>
                <c:pt idx="5">
                  <c:v>2017Q2</c:v>
                </c:pt>
                <c:pt idx="6">
                  <c:v>2017Q3</c:v>
                </c:pt>
                <c:pt idx="7">
                  <c:v>2017Q4</c:v>
                </c:pt>
              </c:strCache>
            </c:strRef>
          </c:cat>
          <c:val>
            <c:numRef>
              <c:f>'Grafy 7+8'!$K$4:$P$4</c:f>
              <c:numCache>
                <c:formatCode>0.0</c:formatCode>
                <c:ptCount val="6"/>
                <c:pt idx="0">
                  <c:v>12.653689871478635</c:v>
                </c:pt>
                <c:pt idx="1">
                  <c:v>-8.9942766811370927</c:v>
                </c:pt>
                <c:pt idx="2">
                  <c:v>-0.86699961140456194</c:v>
                </c:pt>
                <c:pt idx="3">
                  <c:v>3.0099796136707546</c:v>
                </c:pt>
                <c:pt idx="4">
                  <c:v>19.799853972634331</c:v>
                </c:pt>
                <c:pt idx="5">
                  <c:v>-8.2522595403796366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1FFF-447A-860C-B6496809B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88664"/>
        <c:axId val="322889056"/>
      </c:lineChart>
      <c:catAx>
        <c:axId val="322888664"/>
        <c:scaling>
          <c:orientation val="minMax"/>
        </c:scaling>
        <c:delete val="0"/>
        <c:axPos val="b"/>
        <c:numFmt formatCode="#\ ?/?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322889056"/>
        <c:crosses val="autoZero"/>
        <c:auto val="1"/>
        <c:lblAlgn val="ctr"/>
        <c:lblOffset val="100"/>
        <c:noMultiLvlLbl val="0"/>
      </c:catAx>
      <c:valAx>
        <c:axId val="32288905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322888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078880604136694"/>
          <c:y val="2.2580115993565322E-2"/>
          <c:w val="0.86860603092347277"/>
          <c:h val="0.3319734991783057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9+10'!$J$13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</c:spPr>
          <c:invertIfNegative val="0"/>
          <c:cat>
            <c:numRef>
              <c:f>'Graf 9+10'!$K$12:$S$12</c:f>
              <c:numCache>
                <c:formatCode>#\ ?/?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9+10'!$K$13:$S$13</c:f>
              <c:numCache>
                <c:formatCode>0.0</c:formatCode>
                <c:ptCount val="9"/>
                <c:pt idx="0">
                  <c:v>5.4924797879850162E-2</c:v>
                </c:pt>
                <c:pt idx="1">
                  <c:v>7.485828561757768E-2</c:v>
                </c:pt>
                <c:pt idx="2">
                  <c:v>0.25526359651475761</c:v>
                </c:pt>
                <c:pt idx="3">
                  <c:v>0.32316408932164931</c:v>
                </c:pt>
                <c:pt idx="4">
                  <c:v>6.435330589264221E-2</c:v>
                </c:pt>
                <c:pt idx="5">
                  <c:v>0.46249905734157526</c:v>
                </c:pt>
                <c:pt idx="6">
                  <c:v>-1.0299681582477183E-2</c:v>
                </c:pt>
                <c:pt idx="7">
                  <c:v>0.41881172391750221</c:v>
                </c:pt>
                <c:pt idx="8">
                  <c:v>0.17355593071759468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26-429A-87E2-3565F40BAAF9}"/>
            </c:ext>
          </c:extLst>
        </c:ser>
        <c:ser>
          <c:idx val="8"/>
          <c:order val="1"/>
          <c:tx>
            <c:strRef>
              <c:f>'Graf 9+10'!$J$14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9+10'!$K$12:$S$12</c:f>
              <c:numCache>
                <c:formatCode>#\ ?/?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9+10'!$K$14:$S$14</c:f>
              <c:numCache>
                <c:formatCode>0.0</c:formatCode>
                <c:ptCount val="9"/>
                <c:pt idx="0">
                  <c:v>0.69052339420501285</c:v>
                </c:pt>
                <c:pt idx="1">
                  <c:v>1.18469647983965</c:v>
                </c:pt>
                <c:pt idx="2">
                  <c:v>0.83786052085925733</c:v>
                </c:pt>
                <c:pt idx="3">
                  <c:v>0.91882306428472338</c:v>
                </c:pt>
                <c:pt idx="4">
                  <c:v>0.82179143959323242</c:v>
                </c:pt>
                <c:pt idx="5">
                  <c:v>1.2037923043941081</c:v>
                </c:pt>
                <c:pt idx="6">
                  <c:v>0.69449733976281602</c:v>
                </c:pt>
                <c:pt idx="7">
                  <c:v>0.79252869085012767</c:v>
                </c:pt>
                <c:pt idx="8">
                  <c:v>1.0790254461814897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26-429A-87E2-3565F40BAAF9}"/>
            </c:ext>
          </c:extLst>
        </c:ser>
        <c:ser>
          <c:idx val="0"/>
          <c:order val="2"/>
          <c:tx>
            <c:strRef>
              <c:f>'Graf 9+10'!$J$15</c:f>
              <c:strCache>
                <c:ptCount val="1"/>
                <c:pt idx="0">
                  <c:v>Stavebníctvo</c:v>
                </c:pt>
              </c:strCache>
            </c:strRef>
          </c:tx>
          <c:invertIfNegative val="0"/>
          <c:cat>
            <c:numRef>
              <c:f>'Graf 9+10'!$K$12:$S$12</c:f>
              <c:numCache>
                <c:formatCode>#\ ?/?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9+10'!$K$15:$S$15</c:f>
              <c:numCache>
                <c:formatCode>0.0</c:formatCode>
                <c:ptCount val="9"/>
                <c:pt idx="0">
                  <c:v>6.1777365500273976E-2</c:v>
                </c:pt>
                <c:pt idx="1">
                  <c:v>0.29125092599973668</c:v>
                </c:pt>
                <c:pt idx="2">
                  <c:v>0.36565665500445832</c:v>
                </c:pt>
                <c:pt idx="3">
                  <c:v>4.6047700285822592E-2</c:v>
                </c:pt>
                <c:pt idx="4">
                  <c:v>2.6889908026390477E-3</c:v>
                </c:pt>
                <c:pt idx="5">
                  <c:v>-7.6414341374564904E-2</c:v>
                </c:pt>
                <c:pt idx="6">
                  <c:v>0.35558979386508249</c:v>
                </c:pt>
                <c:pt idx="7">
                  <c:v>0.23145417961336492</c:v>
                </c:pt>
                <c:pt idx="8">
                  <c:v>0.19446554983520753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926-429A-87E2-3565F40BAAF9}"/>
            </c:ext>
          </c:extLst>
        </c:ser>
        <c:ser>
          <c:idx val="1"/>
          <c:order val="3"/>
          <c:tx>
            <c:strRef>
              <c:f>'Graf 9+10'!$J$16</c:f>
              <c:strCache>
                <c:ptCount val="1"/>
                <c:pt idx="0">
                  <c:v>Verejná správa</c:v>
                </c:pt>
              </c:strCache>
            </c:strRef>
          </c:tx>
          <c:spPr>
            <a:solidFill>
              <a:srgbClr val="2C9BDC"/>
            </a:solidFill>
          </c:spPr>
          <c:invertIfNegative val="0"/>
          <c:cat>
            <c:numRef>
              <c:f>'Graf 9+10'!$K$12:$S$12</c:f>
              <c:numCache>
                <c:formatCode>#\ ?/?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9+10'!$K$16:$S$16</c:f>
              <c:numCache>
                <c:formatCode>0.0</c:formatCode>
                <c:ptCount val="9"/>
                <c:pt idx="0">
                  <c:v>1.2046800612785784</c:v>
                </c:pt>
                <c:pt idx="1">
                  <c:v>0.5541305769153102</c:v>
                </c:pt>
                <c:pt idx="2">
                  <c:v>5.7925940387167189E-2</c:v>
                </c:pt>
                <c:pt idx="3">
                  <c:v>0.76092074821168187</c:v>
                </c:pt>
                <c:pt idx="4">
                  <c:v>0.7167038673546946</c:v>
                </c:pt>
                <c:pt idx="5">
                  <c:v>0.9454188343100508</c:v>
                </c:pt>
                <c:pt idx="6">
                  <c:v>0.67824389186951217</c:v>
                </c:pt>
                <c:pt idx="7">
                  <c:v>1.1598592874484752</c:v>
                </c:pt>
                <c:pt idx="8">
                  <c:v>1.0196351004044479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926-429A-87E2-3565F40BAAF9}"/>
            </c:ext>
          </c:extLst>
        </c:ser>
        <c:ser>
          <c:idx val="3"/>
          <c:order val="5"/>
          <c:tx>
            <c:strRef>
              <c:f>'Graf 9+10'!$J$17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rgbClr val="1F497D">
                <a:lumMod val="50000"/>
              </a:srgbClr>
            </a:solidFill>
            <a:ln w="12700">
              <a:noFill/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  <a:ln w="635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926-429A-87E2-3565F40BAAF9}"/>
              </c:ext>
            </c:extLst>
          </c:dPt>
          <c:val>
            <c:numRef>
              <c:f>'Graf 9+10'!$K$17:$S$17</c:f>
              <c:numCache>
                <c:formatCode>0.0</c:formatCode>
                <c:ptCount val="9"/>
                <c:pt idx="0">
                  <c:v>1.0309712829343376</c:v>
                </c:pt>
                <c:pt idx="1">
                  <c:v>1.1165402416948482</c:v>
                </c:pt>
                <c:pt idx="2">
                  <c:v>0.69395648619404304</c:v>
                </c:pt>
                <c:pt idx="3">
                  <c:v>0.49557365998262637</c:v>
                </c:pt>
                <c:pt idx="4">
                  <c:v>0.62771301670419621</c:v>
                </c:pt>
                <c:pt idx="5">
                  <c:v>1.5909177375618495</c:v>
                </c:pt>
                <c:pt idx="6">
                  <c:v>1.195721569837976</c:v>
                </c:pt>
                <c:pt idx="7">
                  <c:v>0.68160432881605959</c:v>
                </c:pt>
                <c:pt idx="8">
                  <c:v>2.1385811307559948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0926-429A-87E2-3565F40BA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889448"/>
        <c:axId val="322889840"/>
      </c:barChart>
      <c:lineChart>
        <c:grouping val="standard"/>
        <c:varyColors val="0"/>
        <c:ser>
          <c:idx val="2"/>
          <c:order val="4"/>
          <c:tx>
            <c:strRef>
              <c:f>'Graf 9+10'!$J$18</c:f>
              <c:strCache>
                <c:ptCount val="1"/>
                <c:pt idx="0">
                  <c:v>Mzdy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9+10'!$K$12:$S$12</c:f>
              <c:numCache>
                <c:formatCode>#\ ?/?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9+10'!$K$18:$S$18</c:f>
              <c:numCache>
                <c:formatCode>0.0</c:formatCode>
                <c:ptCount val="9"/>
                <c:pt idx="0">
                  <c:v>3.0428769017980528</c:v>
                </c:pt>
                <c:pt idx="1">
                  <c:v>3.2214765100671228</c:v>
                </c:pt>
                <c:pt idx="2">
                  <c:v>2.2106631989596837</c:v>
                </c:pt>
                <c:pt idx="3">
                  <c:v>2.5445292620865034</c:v>
                </c:pt>
                <c:pt idx="4">
                  <c:v>2.2332506203474045</c:v>
                </c:pt>
                <c:pt idx="5">
                  <c:v>4.126213592233019</c:v>
                </c:pt>
                <c:pt idx="6">
                  <c:v>2.9137529137529095</c:v>
                </c:pt>
                <c:pt idx="7">
                  <c:v>3.2842582106455298</c:v>
                </c:pt>
                <c:pt idx="8">
                  <c:v>4.6052631578947345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0926-429A-87E2-3565F40BA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89448"/>
        <c:axId val="322889840"/>
      </c:lineChart>
      <c:catAx>
        <c:axId val="322889448"/>
        <c:scaling>
          <c:orientation val="minMax"/>
        </c:scaling>
        <c:delete val="0"/>
        <c:axPos val="b"/>
        <c:numFmt formatCode="#\ ?/?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322889840"/>
        <c:crosses val="autoZero"/>
        <c:auto val="1"/>
        <c:lblAlgn val="ctr"/>
        <c:lblOffset val="100"/>
        <c:noMultiLvlLbl val="0"/>
      </c:catAx>
      <c:valAx>
        <c:axId val="322889840"/>
        <c:scaling>
          <c:orientation val="minMax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322889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344356955380568E-2"/>
          <c:y val="3.2938746687522303E-3"/>
          <c:w val="0.80835590551181113"/>
          <c:h val="0.19712678152453703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9+10'!$J$4</c:f>
              <c:strCache>
                <c:ptCount val="1"/>
                <c:pt idx="0">
                  <c:v>Príspevok domácich pracovníkov</c:v>
                </c:pt>
              </c:strCache>
            </c:strRef>
          </c:tx>
          <c:invertIfNegative val="0"/>
          <c:cat>
            <c:numRef>
              <c:f>'Graf 9+10'!$K$3:$O$3</c:f>
              <c:numCache>
                <c:formatCode>#\ ?/?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'Graf 9+10'!$K$4:$O$4</c:f>
              <c:numCache>
                <c:formatCode>0.0</c:formatCode>
                <c:ptCount val="5"/>
                <c:pt idx="0">
                  <c:v>-0.72529953399785951</c:v>
                </c:pt>
                <c:pt idx="1">
                  <c:v>1.1816621363155599</c:v>
                </c:pt>
                <c:pt idx="2">
                  <c:v>1.7295287000556565</c:v>
                </c:pt>
                <c:pt idx="3">
                  <c:v>2.0309232467777178</c:v>
                </c:pt>
                <c:pt idx="4">
                  <c:v>1.6718733641556183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40-4A1B-95F8-EBE300095E7A}"/>
            </c:ext>
          </c:extLst>
        </c:ser>
        <c:ser>
          <c:idx val="2"/>
          <c:order val="1"/>
          <c:tx>
            <c:strRef>
              <c:f>'Graf 9+10'!$J$5</c:f>
              <c:strCache>
                <c:ptCount val="1"/>
                <c:pt idx="0">
                  <c:v>Príspevok zahraničných pracovníkov</c:v>
                </c:pt>
              </c:strCache>
            </c:strRef>
          </c:tx>
          <c:spPr>
            <a:solidFill>
              <a:srgbClr val="00B0F0"/>
            </a:solidFill>
            <a:ln w="19050">
              <a:noFill/>
            </a:ln>
          </c:spPr>
          <c:invertIfNegative val="0"/>
          <c:cat>
            <c:numRef>
              <c:f>'Graf 9+10'!$K$3:$O$3</c:f>
              <c:numCache>
                <c:formatCode>#\ ?/?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'Graf 9+10'!$K$5:$O$5</c:f>
              <c:numCache>
                <c:formatCode>0.0</c:formatCode>
                <c:ptCount val="5"/>
                <c:pt idx="0">
                  <c:v>-5.2321139550798576E-2</c:v>
                </c:pt>
                <c:pt idx="1">
                  <c:v>0.2277567669030599</c:v>
                </c:pt>
                <c:pt idx="2">
                  <c:v>0.24730686067375604</c:v>
                </c:pt>
                <c:pt idx="3">
                  <c:v>0.34886023844590686</c:v>
                </c:pt>
                <c:pt idx="4">
                  <c:v>0.5343273666346553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B40-4A1B-95F8-EBE300095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890624"/>
        <c:axId val="322891016"/>
      </c:barChart>
      <c:lineChart>
        <c:grouping val="standard"/>
        <c:varyColors val="0"/>
        <c:ser>
          <c:idx val="3"/>
          <c:order val="2"/>
          <c:tx>
            <c:strRef>
              <c:f>'Graf 9+10'!$J$6</c:f>
              <c:strCache>
                <c:ptCount val="1"/>
                <c:pt idx="0">
                  <c:v>Rast zamestnanosti, v %</c:v>
                </c:pt>
              </c:strCache>
            </c:strRef>
          </c:tx>
          <c:marker>
            <c:symbol val="none"/>
          </c:marker>
          <c:cat>
            <c:numRef>
              <c:f>'Graf 9+10'!$K$3:$O$3</c:f>
              <c:numCache>
                <c:formatCode>#\ ?/?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'Graf 9+10'!$K$6:$O$6</c:f>
              <c:numCache>
                <c:formatCode>0.0</c:formatCode>
                <c:ptCount val="5"/>
                <c:pt idx="0">
                  <c:v>-0.77762067354865805</c:v>
                </c:pt>
                <c:pt idx="1">
                  <c:v>1.4094189032186197</c:v>
                </c:pt>
                <c:pt idx="2">
                  <c:v>1.9768355607294126</c:v>
                </c:pt>
                <c:pt idx="3">
                  <c:v>2.3797834852236246</c:v>
                </c:pt>
                <c:pt idx="4">
                  <c:v>2.2062007307902736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B40-4A1B-95F8-EBE300095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90624"/>
        <c:axId val="322891016"/>
      </c:lineChart>
      <c:catAx>
        <c:axId val="322890624"/>
        <c:scaling>
          <c:orientation val="minMax"/>
        </c:scaling>
        <c:delete val="0"/>
        <c:axPos val="b"/>
        <c:numFmt formatCode="#\ ?/?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322891016"/>
        <c:crosses val="autoZero"/>
        <c:auto val="1"/>
        <c:lblAlgn val="ctr"/>
        <c:lblOffset val="100"/>
        <c:noMultiLvlLbl val="0"/>
      </c:catAx>
      <c:valAx>
        <c:axId val="322891016"/>
        <c:scaling>
          <c:orientation val="minMax"/>
          <c:max val="2.5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322890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523317639305442"/>
          <c:y val="0.61332295440256279"/>
          <c:w val="0.86860603092347277"/>
          <c:h val="0.28761364430206682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'Graf 9+10'!$J$22</c:f>
              <c:strCache>
                <c:ptCount val="1"/>
                <c:pt idx="0">
                  <c:v>Domestic workers</c:v>
                </c:pt>
              </c:strCache>
            </c:strRef>
          </c:tx>
          <c:invertIfNegative val="0"/>
          <c:cat>
            <c:numRef>
              <c:f>'Graf 9+10'!$K$3:$O$3</c:f>
              <c:numCache>
                <c:formatCode>#\ ?/?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'Graf 9+10'!$K$4:$O$4</c:f>
              <c:numCache>
                <c:formatCode>0.0</c:formatCode>
                <c:ptCount val="5"/>
                <c:pt idx="0">
                  <c:v>-0.72529953399785951</c:v>
                </c:pt>
                <c:pt idx="1">
                  <c:v>1.1816621363155599</c:v>
                </c:pt>
                <c:pt idx="2">
                  <c:v>1.7295287000556565</c:v>
                </c:pt>
                <c:pt idx="3">
                  <c:v>2.0309232467777178</c:v>
                </c:pt>
                <c:pt idx="4">
                  <c:v>1.6718733641556183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360-4D2C-81E9-55D19D8BA8AD}"/>
            </c:ext>
          </c:extLst>
        </c:ser>
        <c:ser>
          <c:idx val="2"/>
          <c:order val="1"/>
          <c:tx>
            <c:strRef>
              <c:f>'Graf 9+10'!$J$23</c:f>
              <c:strCache>
                <c:ptCount val="1"/>
                <c:pt idx="0">
                  <c:v>Foreign workers</c:v>
                </c:pt>
              </c:strCache>
            </c:strRef>
          </c:tx>
          <c:spPr>
            <a:solidFill>
              <a:srgbClr val="00B0F0"/>
            </a:solidFill>
            <a:ln w="19050">
              <a:noFill/>
            </a:ln>
          </c:spPr>
          <c:invertIfNegative val="0"/>
          <c:cat>
            <c:numRef>
              <c:f>'Graf 9+10'!$K$3:$O$3</c:f>
              <c:numCache>
                <c:formatCode>#\ ?/?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'Graf 9+10'!$K$5:$O$5</c:f>
              <c:numCache>
                <c:formatCode>0.0</c:formatCode>
                <c:ptCount val="5"/>
                <c:pt idx="0">
                  <c:v>-5.2321139550798576E-2</c:v>
                </c:pt>
                <c:pt idx="1">
                  <c:v>0.2277567669030599</c:v>
                </c:pt>
                <c:pt idx="2">
                  <c:v>0.24730686067375604</c:v>
                </c:pt>
                <c:pt idx="3">
                  <c:v>0.34886023844590686</c:v>
                </c:pt>
                <c:pt idx="4">
                  <c:v>0.5343273666346553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360-4D2C-81E9-55D19D8B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1106312"/>
        <c:axId val="321106704"/>
      </c:barChart>
      <c:lineChart>
        <c:grouping val="standard"/>
        <c:varyColors val="0"/>
        <c:ser>
          <c:idx val="3"/>
          <c:order val="2"/>
          <c:tx>
            <c:strRef>
              <c:f>'Graf 9+10'!$J$24</c:f>
              <c:strCache>
                <c:ptCount val="1"/>
                <c:pt idx="0">
                  <c:v>Employment growth, in %</c:v>
                </c:pt>
              </c:strCache>
            </c:strRef>
          </c:tx>
          <c:marker>
            <c:symbol val="none"/>
          </c:marker>
          <c:cat>
            <c:numRef>
              <c:f>'Graf 9+10'!$K$3:$O$3</c:f>
              <c:numCache>
                <c:formatCode>#\ ?/?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'Graf 9+10'!$K$6:$O$6</c:f>
              <c:numCache>
                <c:formatCode>0.0</c:formatCode>
                <c:ptCount val="5"/>
                <c:pt idx="0">
                  <c:v>-0.77762067354865805</c:v>
                </c:pt>
                <c:pt idx="1">
                  <c:v>1.4094189032186197</c:v>
                </c:pt>
                <c:pt idx="2">
                  <c:v>1.9768355607294126</c:v>
                </c:pt>
                <c:pt idx="3">
                  <c:v>2.3797834852236246</c:v>
                </c:pt>
                <c:pt idx="4">
                  <c:v>2.2062007307902736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360-4D2C-81E9-55D19D8B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106312"/>
        <c:axId val="321106704"/>
      </c:lineChart>
      <c:catAx>
        <c:axId val="321106312"/>
        <c:scaling>
          <c:orientation val="minMax"/>
        </c:scaling>
        <c:delete val="0"/>
        <c:axPos val="b"/>
        <c:numFmt formatCode="#\ ?/?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321106704"/>
        <c:crosses val="autoZero"/>
        <c:auto val="1"/>
        <c:lblAlgn val="ctr"/>
        <c:lblOffset val="100"/>
        <c:noMultiLvlLbl val="0"/>
      </c:catAx>
      <c:valAx>
        <c:axId val="321106704"/>
        <c:scaling>
          <c:orientation val="minMax"/>
          <c:max val="2.5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3211063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2523317639305442"/>
          <c:y val="0.61332295440256279"/>
          <c:w val="0.86860603092347277"/>
          <c:h val="0.28761364430206682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1539126675313"/>
          <c:y val="0.22366712707182315"/>
          <c:w val="0.8408531488687131"/>
          <c:h val="0.65867480049109883"/>
        </c:manualLayout>
      </c:layout>
      <c:barChart>
        <c:barDir val="col"/>
        <c:grouping val="stacked"/>
        <c:varyColors val="0"/>
        <c:ser>
          <c:idx val="7"/>
          <c:order val="0"/>
          <c:tx>
            <c:v>Hrubý dlh (očistený o EFSF a ESM)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1+2'!$K$20:$P$20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1+2'!$K$22:$P$22</c:f>
              <c:numCache>
                <c:formatCode>0.0</c:formatCode>
                <c:ptCount val="6"/>
                <c:pt idx="0">
                  <c:v>48.689020639412561</c:v>
                </c:pt>
                <c:pt idx="1">
                  <c:v>47.8746175565988</c:v>
                </c:pt>
                <c:pt idx="2">
                  <c:v>46.451302276892996</c:v>
                </c:pt>
                <c:pt idx="3">
                  <c:v>43.881059027738708</c:v>
                </c:pt>
                <c:pt idx="4">
                  <c:v>42.367913804663743</c:v>
                </c:pt>
                <c:pt idx="5">
                  <c:v>40.941541217370158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EB-4953-8880-3EA54B0A4199}"/>
            </c:ext>
          </c:extLst>
        </c:ser>
        <c:ser>
          <c:idx val="3"/>
          <c:order val="2"/>
          <c:tx>
            <c:strRef>
              <c:f>'Graf 1+2'!$J$23</c:f>
              <c:strCache>
                <c:ptCount val="1"/>
                <c:pt idx="0">
                  <c:v>EFSF + ESM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'Graf 1+2'!$K$20:$P$20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1+2'!$K$23:$P$23</c:f>
              <c:numCache>
                <c:formatCode>0.0</c:formatCode>
                <c:ptCount val="6"/>
                <c:pt idx="0">
                  <c:v>3.1296559117480172</c:v>
                </c:pt>
                <c:pt idx="1">
                  <c:v>2.9885675783811561</c:v>
                </c:pt>
                <c:pt idx="2">
                  <c:v>2.8169951170355376</c:v>
                </c:pt>
                <c:pt idx="3">
                  <c:v>2.643129892969788</c:v>
                </c:pt>
                <c:pt idx="4">
                  <c:v>2.4897829648757033</c:v>
                </c:pt>
                <c:pt idx="5">
                  <c:v>2.3537719126620984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6EB-4953-8880-3EA54B0A4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6100080"/>
        <c:axId val="316099688"/>
        <c:extLst xmlns:c16r2="http://schemas.microsoft.com/office/drawing/2015/06/chart"/>
      </c:barChart>
      <c:lineChart>
        <c:grouping val="standard"/>
        <c:varyColors val="0"/>
        <c:ser>
          <c:idx val="0"/>
          <c:order val="1"/>
          <c:tx>
            <c:strRef>
              <c:f>'Graf 1+2'!$J$21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6EB-4953-8880-3EA54B0A4199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6EB-4953-8880-3EA54B0A4199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6EB-4953-8880-3EA54B0A4199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6EB-4953-8880-3EA54B0A4199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6EB-4953-8880-3EA54B0A41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1+2'!$K$20:$P$20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1+2'!$K$21:$P$21</c:f>
              <c:numCache>
                <c:formatCode>0.0</c:formatCode>
                <c:ptCount val="6"/>
                <c:pt idx="0">
                  <c:v>51.818676551160578</c:v>
                </c:pt>
                <c:pt idx="1">
                  <c:v>50.863185134979958</c:v>
                </c:pt>
                <c:pt idx="2">
                  <c:v>49.268297393928535</c:v>
                </c:pt>
                <c:pt idx="3">
                  <c:v>46.52418892070849</c:v>
                </c:pt>
                <c:pt idx="4">
                  <c:v>44.857696769539444</c:v>
                </c:pt>
                <c:pt idx="5">
                  <c:v>43.295313130032255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36EB-4953-8880-3EA54B0A4199}"/>
            </c:ext>
          </c:extLst>
        </c:ser>
        <c:ser>
          <c:idx val="6"/>
          <c:order val="3"/>
          <c:tx>
            <c:v>Čistý dlh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6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1+2'!$K$20:$P$20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1+2'!$K$24:$P$24</c:f>
              <c:numCache>
                <c:formatCode>0.0</c:formatCode>
                <c:ptCount val="6"/>
                <c:pt idx="0">
                  <c:v>46.895851029634215</c:v>
                </c:pt>
                <c:pt idx="1">
                  <c:v>45.507185534157529</c:v>
                </c:pt>
                <c:pt idx="2">
                  <c:v>43.93145552362536</c:v>
                </c:pt>
                <c:pt idx="3">
                  <c:v>42.031399329379951</c:v>
                </c:pt>
                <c:pt idx="4">
                  <c:v>40.088206545299599</c:v>
                </c:pt>
                <c:pt idx="5">
                  <c:v>38.493411658087027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36EB-4953-8880-3EA54B0A4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6100080"/>
        <c:axId val="316099688"/>
      </c:lineChart>
      <c:catAx>
        <c:axId val="31610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16099688"/>
        <c:crosses val="autoZero"/>
        <c:auto val="1"/>
        <c:lblAlgn val="ctr"/>
        <c:lblOffset val="100"/>
        <c:noMultiLvlLbl val="0"/>
      </c:catAx>
      <c:valAx>
        <c:axId val="316099688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16100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716728317815579E-2"/>
          <c:y val="0"/>
          <c:w val="0.95579658452226546"/>
          <c:h val="0.194431399631675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9+10'!$J$31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</c:spPr>
          <c:invertIfNegative val="0"/>
          <c:cat>
            <c:numRef>
              <c:f>'Graf 9+10'!$K$12:$S$12</c:f>
              <c:numCache>
                <c:formatCode>#\ ?/?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9+10'!$K$13:$S$13</c:f>
              <c:numCache>
                <c:formatCode>0.0</c:formatCode>
                <c:ptCount val="9"/>
                <c:pt idx="0">
                  <c:v>5.4924797879850162E-2</c:v>
                </c:pt>
                <c:pt idx="1">
                  <c:v>7.485828561757768E-2</c:v>
                </c:pt>
                <c:pt idx="2">
                  <c:v>0.25526359651475761</c:v>
                </c:pt>
                <c:pt idx="3">
                  <c:v>0.32316408932164931</c:v>
                </c:pt>
                <c:pt idx="4">
                  <c:v>6.435330589264221E-2</c:v>
                </c:pt>
                <c:pt idx="5">
                  <c:v>0.46249905734157526</c:v>
                </c:pt>
                <c:pt idx="6">
                  <c:v>-1.0299681582477183E-2</c:v>
                </c:pt>
                <c:pt idx="7">
                  <c:v>0.41881172391750221</c:v>
                </c:pt>
                <c:pt idx="8">
                  <c:v>0.17355593071759468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95-40E2-B5B0-6F854C29CF19}"/>
            </c:ext>
          </c:extLst>
        </c:ser>
        <c:ser>
          <c:idx val="8"/>
          <c:order val="1"/>
          <c:tx>
            <c:strRef>
              <c:f>'Graf 9+10'!$J$32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numRef>
              <c:f>'Graf 9+10'!$K$12:$S$12</c:f>
              <c:numCache>
                <c:formatCode>#\ ?/?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9+10'!$K$14:$S$14</c:f>
              <c:numCache>
                <c:formatCode>0.0</c:formatCode>
                <c:ptCount val="9"/>
                <c:pt idx="0">
                  <c:v>0.69052339420501285</c:v>
                </c:pt>
                <c:pt idx="1">
                  <c:v>1.18469647983965</c:v>
                </c:pt>
                <c:pt idx="2">
                  <c:v>0.83786052085925733</c:v>
                </c:pt>
                <c:pt idx="3">
                  <c:v>0.91882306428472338</c:v>
                </c:pt>
                <c:pt idx="4">
                  <c:v>0.82179143959323242</c:v>
                </c:pt>
                <c:pt idx="5">
                  <c:v>1.2037923043941081</c:v>
                </c:pt>
                <c:pt idx="6">
                  <c:v>0.69449733976281602</c:v>
                </c:pt>
                <c:pt idx="7">
                  <c:v>0.79252869085012767</c:v>
                </c:pt>
                <c:pt idx="8">
                  <c:v>1.0790254461814897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495-40E2-B5B0-6F854C29CF19}"/>
            </c:ext>
          </c:extLst>
        </c:ser>
        <c:ser>
          <c:idx val="0"/>
          <c:order val="2"/>
          <c:tx>
            <c:strRef>
              <c:f>'Graf 9+10'!$J$33</c:f>
              <c:strCache>
                <c:ptCount val="1"/>
                <c:pt idx="0">
                  <c:v>Construction</c:v>
                </c:pt>
              </c:strCache>
            </c:strRef>
          </c:tx>
          <c:invertIfNegative val="0"/>
          <c:cat>
            <c:numRef>
              <c:f>'Graf 9+10'!$K$12:$S$12</c:f>
              <c:numCache>
                <c:formatCode>#\ ?/?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9+10'!$K$15:$S$15</c:f>
              <c:numCache>
                <c:formatCode>0.0</c:formatCode>
                <c:ptCount val="9"/>
                <c:pt idx="0">
                  <c:v>6.1777365500273976E-2</c:v>
                </c:pt>
                <c:pt idx="1">
                  <c:v>0.29125092599973668</c:v>
                </c:pt>
                <c:pt idx="2">
                  <c:v>0.36565665500445832</c:v>
                </c:pt>
                <c:pt idx="3">
                  <c:v>4.6047700285822592E-2</c:v>
                </c:pt>
                <c:pt idx="4">
                  <c:v>2.6889908026390477E-3</c:v>
                </c:pt>
                <c:pt idx="5">
                  <c:v>-7.6414341374564904E-2</c:v>
                </c:pt>
                <c:pt idx="6">
                  <c:v>0.35558979386508249</c:v>
                </c:pt>
                <c:pt idx="7">
                  <c:v>0.23145417961336492</c:v>
                </c:pt>
                <c:pt idx="8">
                  <c:v>0.19446554983520753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495-40E2-B5B0-6F854C29CF19}"/>
            </c:ext>
          </c:extLst>
        </c:ser>
        <c:ser>
          <c:idx val="1"/>
          <c:order val="3"/>
          <c:tx>
            <c:strRef>
              <c:f>'Graf 9+10'!$J$34</c:f>
              <c:strCache>
                <c:ptCount val="1"/>
                <c:pt idx="0">
                  <c:v>Public administration</c:v>
                </c:pt>
              </c:strCache>
            </c:strRef>
          </c:tx>
          <c:spPr>
            <a:solidFill>
              <a:srgbClr val="2C9BDC"/>
            </a:solidFill>
          </c:spPr>
          <c:invertIfNegative val="0"/>
          <c:cat>
            <c:numRef>
              <c:f>'Graf 9+10'!$K$12:$S$12</c:f>
              <c:numCache>
                <c:formatCode>#\ ?/?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9+10'!$K$16:$S$16</c:f>
              <c:numCache>
                <c:formatCode>0.0</c:formatCode>
                <c:ptCount val="9"/>
                <c:pt idx="0">
                  <c:v>1.2046800612785784</c:v>
                </c:pt>
                <c:pt idx="1">
                  <c:v>0.5541305769153102</c:v>
                </c:pt>
                <c:pt idx="2">
                  <c:v>5.7925940387167189E-2</c:v>
                </c:pt>
                <c:pt idx="3">
                  <c:v>0.76092074821168187</c:v>
                </c:pt>
                <c:pt idx="4">
                  <c:v>0.7167038673546946</c:v>
                </c:pt>
                <c:pt idx="5">
                  <c:v>0.9454188343100508</c:v>
                </c:pt>
                <c:pt idx="6">
                  <c:v>0.67824389186951217</c:v>
                </c:pt>
                <c:pt idx="7">
                  <c:v>1.1598592874484752</c:v>
                </c:pt>
                <c:pt idx="8">
                  <c:v>1.0196351004044479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495-40E2-B5B0-6F854C29CF19}"/>
            </c:ext>
          </c:extLst>
        </c:ser>
        <c:ser>
          <c:idx val="3"/>
          <c:order val="5"/>
          <c:tx>
            <c:strRef>
              <c:f>'Graf 9+10'!$J$35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1F497D">
                <a:lumMod val="50000"/>
              </a:srgbClr>
            </a:solidFill>
            <a:ln w="12700">
              <a:noFill/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1F497D">
                  <a:lumMod val="50000"/>
                </a:srgbClr>
              </a:solidFill>
              <a:ln w="635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495-40E2-B5B0-6F854C29CF19}"/>
              </c:ext>
            </c:extLst>
          </c:dPt>
          <c:val>
            <c:numRef>
              <c:f>'Graf 9+10'!$K$17:$S$17</c:f>
              <c:numCache>
                <c:formatCode>0.0</c:formatCode>
                <c:ptCount val="9"/>
                <c:pt idx="0">
                  <c:v>1.0309712829343376</c:v>
                </c:pt>
                <c:pt idx="1">
                  <c:v>1.1165402416948482</c:v>
                </c:pt>
                <c:pt idx="2">
                  <c:v>0.69395648619404304</c:v>
                </c:pt>
                <c:pt idx="3">
                  <c:v>0.49557365998262637</c:v>
                </c:pt>
                <c:pt idx="4">
                  <c:v>0.62771301670419621</c:v>
                </c:pt>
                <c:pt idx="5">
                  <c:v>1.5909177375618495</c:v>
                </c:pt>
                <c:pt idx="6">
                  <c:v>1.195721569837976</c:v>
                </c:pt>
                <c:pt idx="7">
                  <c:v>0.68160432881605959</c:v>
                </c:pt>
                <c:pt idx="8">
                  <c:v>2.1385811307559948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495-40E2-B5B0-6F854C29C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1107488"/>
        <c:axId val="322865144"/>
      </c:barChart>
      <c:lineChart>
        <c:grouping val="standard"/>
        <c:varyColors val="0"/>
        <c:ser>
          <c:idx val="2"/>
          <c:order val="4"/>
          <c:tx>
            <c:strRef>
              <c:f>'Graf 9+10'!$J$36</c:f>
              <c:strCache>
                <c:ptCount val="1"/>
                <c:pt idx="0">
                  <c:v>Wages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9+10'!$K$12:$S$12</c:f>
              <c:numCache>
                <c:formatCode>#\ ?/?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9+10'!$K$18:$S$18</c:f>
              <c:numCache>
                <c:formatCode>0.0</c:formatCode>
                <c:ptCount val="9"/>
                <c:pt idx="0">
                  <c:v>3.0428769017980528</c:v>
                </c:pt>
                <c:pt idx="1">
                  <c:v>3.2214765100671228</c:v>
                </c:pt>
                <c:pt idx="2">
                  <c:v>2.2106631989596837</c:v>
                </c:pt>
                <c:pt idx="3">
                  <c:v>2.5445292620865034</c:v>
                </c:pt>
                <c:pt idx="4">
                  <c:v>2.2332506203474045</c:v>
                </c:pt>
                <c:pt idx="5">
                  <c:v>4.126213592233019</c:v>
                </c:pt>
                <c:pt idx="6">
                  <c:v>2.9137529137529095</c:v>
                </c:pt>
                <c:pt idx="7">
                  <c:v>3.2842582106455298</c:v>
                </c:pt>
                <c:pt idx="8">
                  <c:v>4.6052631578947345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3495-40E2-B5B0-6F854C29C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107488"/>
        <c:axId val="322865144"/>
      </c:lineChart>
      <c:catAx>
        <c:axId val="321107488"/>
        <c:scaling>
          <c:orientation val="minMax"/>
        </c:scaling>
        <c:delete val="0"/>
        <c:axPos val="b"/>
        <c:numFmt formatCode="#\ ?/?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/>
            </a:pPr>
            <a:endParaRPr lang="sk-SK"/>
          </a:p>
        </c:txPr>
        <c:crossAx val="322865144"/>
        <c:crosses val="autoZero"/>
        <c:auto val="1"/>
        <c:lblAlgn val="ctr"/>
        <c:lblOffset val="100"/>
        <c:noMultiLvlLbl val="0"/>
      </c:catAx>
      <c:valAx>
        <c:axId val="322865144"/>
        <c:scaling>
          <c:orientation val="minMax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sk-SK"/>
          </a:p>
        </c:txPr>
        <c:crossAx val="321107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6344356955380568E-2"/>
          <c:y val="3.2938746687522303E-3"/>
          <c:w val="0.92365564304461945"/>
          <c:h val="0.20998438358175334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'Graf 11+12 '!$G$13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numRef>
              <c:f>'Graf 11+12 '!$H$11:$AH$11</c:f>
              <c:numCache>
                <c:formatCode>mmm\-yy</c:formatCode>
                <c:ptCount val="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</c:numCache>
            </c:numRef>
          </c:cat>
          <c:val>
            <c:numRef>
              <c:f>'Graf 11+12 '!$H$13:$AH$13</c:f>
              <c:numCache>
                <c:formatCode>0.0</c:formatCode>
                <c:ptCount val="27"/>
                <c:pt idx="0">
                  <c:v>-1.8921923246588479E-2</c:v>
                </c:pt>
                <c:pt idx="1">
                  <c:v>0.13276580692705217</c:v>
                </c:pt>
                <c:pt idx="2">
                  <c:v>2.3666323377969669E-2</c:v>
                </c:pt>
                <c:pt idx="3">
                  <c:v>0.18898303840223252</c:v>
                </c:pt>
                <c:pt idx="4">
                  <c:v>5.6574443141852893E-2</c:v>
                </c:pt>
                <c:pt idx="5">
                  <c:v>6.5955191096779692E-2</c:v>
                </c:pt>
                <c:pt idx="6">
                  <c:v>-1.4142574547588434E-2</c:v>
                </c:pt>
                <c:pt idx="7">
                  <c:v>4.247440222972327E-2</c:v>
                </c:pt>
                <c:pt idx="8">
                  <c:v>0.28862298698433481</c:v>
                </c:pt>
                <c:pt idx="9">
                  <c:v>0.41130991917707349</c:v>
                </c:pt>
                <c:pt idx="10">
                  <c:v>0.34471686481726405</c:v>
                </c:pt>
                <c:pt idx="11">
                  <c:v>0.55877185752134739</c:v>
                </c:pt>
                <c:pt idx="12">
                  <c:v>0.79475293055152807</c:v>
                </c:pt>
                <c:pt idx="13">
                  <c:v>0.90564868830290768</c:v>
                </c:pt>
                <c:pt idx="14">
                  <c:v>0.93330399235373407</c:v>
                </c:pt>
                <c:pt idx="15">
                  <c:v>0.74980343780115166</c:v>
                </c:pt>
                <c:pt idx="16">
                  <c:v>0.83714254981204406</c:v>
                </c:pt>
                <c:pt idx="17">
                  <c:v>0.7077296638540127</c:v>
                </c:pt>
                <c:pt idx="18">
                  <c:v>0.86102342597311621</c:v>
                </c:pt>
                <c:pt idx="19">
                  <c:v>0.94411024380681019</c:v>
                </c:pt>
                <c:pt idx="20">
                  <c:v>0.93373592094421209</c:v>
                </c:pt>
                <c:pt idx="21">
                  <c:v>0.87157923158845207</c:v>
                </c:pt>
                <c:pt idx="22">
                  <c:v>1.0136362556044296</c:v>
                </c:pt>
                <c:pt idx="23">
                  <c:v>0.95352335623043594</c:v>
                </c:pt>
                <c:pt idx="24">
                  <c:v>0.98241592032927205</c:v>
                </c:pt>
                <c:pt idx="25">
                  <c:v>1.0681386973481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572-4057-B9EF-2609933D5A62}"/>
            </c:ext>
          </c:extLst>
        </c:ser>
        <c:ser>
          <c:idx val="2"/>
          <c:order val="2"/>
          <c:tx>
            <c:strRef>
              <c:f>'Graf 11+12 '!$G$14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numRef>
              <c:f>'Graf 11+12 '!$H$11:$AH$11</c:f>
              <c:numCache>
                <c:formatCode>mmm\-yy</c:formatCode>
                <c:ptCount val="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</c:numCache>
            </c:numRef>
          </c:cat>
          <c:val>
            <c:numRef>
              <c:f>'Graf 11+12 '!$H$14:$AH$14</c:f>
              <c:numCache>
                <c:formatCode>0.0</c:formatCode>
                <c:ptCount val="27"/>
                <c:pt idx="0">
                  <c:v>-5.8764985995524585E-2</c:v>
                </c:pt>
                <c:pt idx="1">
                  <c:v>1.8370532580499935E-2</c:v>
                </c:pt>
                <c:pt idx="2">
                  <c:v>-2.026715917745495E-2</c:v>
                </c:pt>
                <c:pt idx="3">
                  <c:v>-9.7024973512938609E-2</c:v>
                </c:pt>
                <c:pt idx="4">
                  <c:v>-0.32110567646398863</c:v>
                </c:pt>
                <c:pt idx="5">
                  <c:v>-0.30492624664078866</c:v>
                </c:pt>
                <c:pt idx="6">
                  <c:v>-0.18501036700718967</c:v>
                </c:pt>
                <c:pt idx="7">
                  <c:v>-0.1694866473370982</c:v>
                </c:pt>
                <c:pt idx="8">
                  <c:v>-0.20121366478572283</c:v>
                </c:pt>
                <c:pt idx="9">
                  <c:v>-0.20116764504078435</c:v>
                </c:pt>
                <c:pt idx="10">
                  <c:v>-5.5980688175340756E-2</c:v>
                </c:pt>
                <c:pt idx="11">
                  <c:v>0.12915346534653641</c:v>
                </c:pt>
                <c:pt idx="12">
                  <c:v>0.26803517452203279</c:v>
                </c:pt>
                <c:pt idx="13">
                  <c:v>0.47020378054317608</c:v>
                </c:pt>
                <c:pt idx="14">
                  <c:v>0.38309964607795199</c:v>
                </c:pt>
                <c:pt idx="15">
                  <c:v>0.39953044236381496</c:v>
                </c:pt>
                <c:pt idx="16">
                  <c:v>0.60844694154050394</c:v>
                </c:pt>
                <c:pt idx="17">
                  <c:v>0.62077633489305128</c:v>
                </c:pt>
                <c:pt idx="18">
                  <c:v>0.73270191121319739</c:v>
                </c:pt>
                <c:pt idx="19">
                  <c:v>0.78617736356261836</c:v>
                </c:pt>
                <c:pt idx="20">
                  <c:v>0.89559407977641048</c:v>
                </c:pt>
                <c:pt idx="21">
                  <c:v>1.0921889980670474</c:v>
                </c:pt>
                <c:pt idx="22">
                  <c:v>1.1688788321207841</c:v>
                </c:pt>
                <c:pt idx="23">
                  <c:v>1.1523599811095255</c:v>
                </c:pt>
                <c:pt idx="24">
                  <c:v>1.2227173132894997</c:v>
                </c:pt>
                <c:pt idx="25">
                  <c:v>0.8263882531197998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572-4057-B9EF-2609933D5A62}"/>
            </c:ext>
          </c:extLst>
        </c:ser>
        <c:ser>
          <c:idx val="3"/>
          <c:order val="3"/>
          <c:tx>
            <c:strRef>
              <c:f>'Graf 11+12 '!$G$15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  <a:effectLst/>
          </c:spPr>
          <c:invertIfNegative val="0"/>
          <c:cat>
            <c:numRef>
              <c:f>'Graf 11+12 '!$H$11:$AH$11</c:f>
              <c:numCache>
                <c:formatCode>mmm\-yy</c:formatCode>
                <c:ptCount val="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</c:numCache>
            </c:numRef>
          </c:cat>
          <c:val>
            <c:numRef>
              <c:f>'Graf 11+12 '!$H$15:$AH$15</c:f>
              <c:numCache>
                <c:formatCode>0.0</c:formatCode>
                <c:ptCount val="27"/>
                <c:pt idx="0">
                  <c:v>-0.23382985942801682</c:v>
                </c:pt>
                <c:pt idx="1">
                  <c:v>-0.23043091959129361</c:v>
                </c:pt>
                <c:pt idx="2">
                  <c:v>-0.22539423309910328</c:v>
                </c:pt>
                <c:pt idx="3">
                  <c:v>-0.2153568659127616</c:v>
                </c:pt>
                <c:pt idx="4">
                  <c:v>-0.21450157499394235</c:v>
                </c:pt>
                <c:pt idx="5">
                  <c:v>-0.21780918157225304</c:v>
                </c:pt>
                <c:pt idx="6">
                  <c:v>-0.38197295005854043</c:v>
                </c:pt>
                <c:pt idx="7">
                  <c:v>-0.38603656617023901</c:v>
                </c:pt>
                <c:pt idx="8">
                  <c:v>-0.24939727918781862</c:v>
                </c:pt>
                <c:pt idx="9">
                  <c:v>-0.20127336932256551</c:v>
                </c:pt>
                <c:pt idx="10">
                  <c:v>-0.19873885867359209</c:v>
                </c:pt>
                <c:pt idx="11">
                  <c:v>-0.19788871301594999</c:v>
                </c:pt>
                <c:pt idx="12">
                  <c:v>-0.338428899638192</c:v>
                </c:pt>
                <c:pt idx="13">
                  <c:v>-0.40380954722508922</c:v>
                </c:pt>
                <c:pt idx="14">
                  <c:v>-0.45757528815727022</c:v>
                </c:pt>
                <c:pt idx="15">
                  <c:v>-0.47313199191590832</c:v>
                </c:pt>
                <c:pt idx="16">
                  <c:v>-0.47390257257185991</c:v>
                </c:pt>
                <c:pt idx="17">
                  <c:v>-0.47222630074611233</c:v>
                </c:pt>
                <c:pt idx="18">
                  <c:v>-0.29895783736762155</c:v>
                </c:pt>
                <c:pt idx="19">
                  <c:v>-0.30059090273811456</c:v>
                </c:pt>
                <c:pt idx="20">
                  <c:v>-0.29375405593061643</c:v>
                </c:pt>
                <c:pt idx="21">
                  <c:v>-0.33369954331217649</c:v>
                </c:pt>
                <c:pt idx="22">
                  <c:v>-0.3444612593077222</c:v>
                </c:pt>
                <c:pt idx="23">
                  <c:v>-0.34443302940612125</c:v>
                </c:pt>
                <c:pt idx="24">
                  <c:v>0.17257758700924999</c:v>
                </c:pt>
                <c:pt idx="25">
                  <c:v>0.1827292097745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572-4057-B9EF-2609933D5A62}"/>
            </c:ext>
          </c:extLst>
        </c:ser>
        <c:ser>
          <c:idx val="4"/>
          <c:order val="4"/>
          <c:tx>
            <c:strRef>
              <c:f>'Graf 11+12 '!$G$16</c:f>
              <c:strCache>
                <c:ptCount val="1"/>
                <c:pt idx="0">
                  <c:v>Zmena nepriamych daní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11+12 '!$H$11:$AH$11</c:f>
              <c:numCache>
                <c:formatCode>mmm\-yy</c:formatCode>
                <c:ptCount val="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</c:numCache>
            </c:numRef>
          </c:cat>
          <c:val>
            <c:numRef>
              <c:f>'Graf 11+12 '!$H$16:$AH$16</c:f>
              <c:numCache>
                <c:formatCode>0.0</c:formatCode>
                <c:ptCount val="27"/>
                <c:pt idx="0">
                  <c:v>-0.32</c:v>
                </c:pt>
                <c:pt idx="1">
                  <c:v>-0.32</c:v>
                </c:pt>
                <c:pt idx="2">
                  <c:v>-0.32</c:v>
                </c:pt>
                <c:pt idx="3">
                  <c:v>-0.32</c:v>
                </c:pt>
                <c:pt idx="4">
                  <c:v>-0.32</c:v>
                </c:pt>
                <c:pt idx="5">
                  <c:v>-0.32</c:v>
                </c:pt>
                <c:pt idx="6">
                  <c:v>-0.32</c:v>
                </c:pt>
                <c:pt idx="7">
                  <c:v>-0.32</c:v>
                </c:pt>
                <c:pt idx="8">
                  <c:v>-0.32</c:v>
                </c:pt>
                <c:pt idx="9">
                  <c:v>-0.32</c:v>
                </c:pt>
                <c:pt idx="10">
                  <c:v>-0.32</c:v>
                </c:pt>
                <c:pt idx="11">
                  <c:v>-0.32</c:v>
                </c:pt>
                <c:pt idx="12">
                  <c:v>0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572-4057-B9EF-2609933D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865928"/>
        <c:axId val="322866320"/>
      </c:barChart>
      <c:lineChart>
        <c:grouping val="standard"/>
        <c:varyColors val="0"/>
        <c:ser>
          <c:idx val="0"/>
          <c:order val="0"/>
          <c:tx>
            <c:strRef>
              <c:f>'Graf 11+12 '!$G$12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11+12 '!$H$11:$AH$11</c:f>
              <c:numCache>
                <c:formatCode>mmm\-yy</c:formatCode>
                <c:ptCount val="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</c:numCache>
            </c:numRef>
          </c:cat>
          <c:val>
            <c:numRef>
              <c:f>'Graf 11+12 '!$H$12:$AH$12</c:f>
              <c:numCache>
                <c:formatCode>0.0</c:formatCode>
                <c:ptCount val="27"/>
                <c:pt idx="0">
                  <c:v>-0.63151676867012996</c:v>
                </c:pt>
                <c:pt idx="1">
                  <c:v>-0.39929458008374152</c:v>
                </c:pt>
                <c:pt idx="2">
                  <c:v>-0.54199506889858862</c:v>
                </c:pt>
                <c:pt idx="3">
                  <c:v>-0.44339880102346768</c:v>
                </c:pt>
                <c:pt idx="4">
                  <c:v>-0.79903280831607804</c:v>
                </c:pt>
                <c:pt idx="5">
                  <c:v>-0.77678023711626198</c:v>
                </c:pt>
                <c:pt idx="6">
                  <c:v>-0.90112589161331846</c:v>
                </c:pt>
                <c:pt idx="7">
                  <c:v>-0.83304881127761399</c:v>
                </c:pt>
                <c:pt idx="8">
                  <c:v>-0.48198795698920666</c:v>
                </c:pt>
                <c:pt idx="9">
                  <c:v>-0.31113109518627635</c:v>
                </c:pt>
                <c:pt idx="10">
                  <c:v>-0.23000268203166879</c:v>
                </c:pt>
                <c:pt idx="11">
                  <c:v>0.17003660985193375</c:v>
                </c:pt>
                <c:pt idx="12">
                  <c:v>0.7243592054353688</c:v>
                </c:pt>
                <c:pt idx="13">
                  <c:v>1.0720429216209946</c:v>
                </c:pt>
                <c:pt idx="14">
                  <c:v>0.95882835027441571</c:v>
                </c:pt>
                <c:pt idx="15">
                  <c:v>0.77620188824905834</c:v>
                </c:pt>
                <c:pt idx="16">
                  <c:v>1.0716869187806881</c:v>
                </c:pt>
                <c:pt idx="17">
                  <c:v>0.95627969800095169</c:v>
                </c:pt>
                <c:pt idx="18">
                  <c:v>1.3947674998186921</c:v>
                </c:pt>
                <c:pt idx="19">
                  <c:v>1.5296967046313141</c:v>
                </c:pt>
                <c:pt idx="20">
                  <c:v>1.6355759447900062</c:v>
                </c:pt>
                <c:pt idx="21">
                  <c:v>1.730068686343323</c:v>
                </c:pt>
                <c:pt idx="22">
                  <c:v>1.9380538284174915</c:v>
                </c:pt>
                <c:pt idx="23">
                  <c:v>1.8614503079338405</c:v>
                </c:pt>
                <c:pt idx="24">
                  <c:v>2.4777108206280221</c:v>
                </c:pt>
                <c:pt idx="25">
                  <c:v>2.0772561602424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572-4057-B9EF-2609933D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65928"/>
        <c:axId val="322866320"/>
      </c:lineChart>
      <c:dateAx>
        <c:axId val="32286592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866320"/>
        <c:crosses val="autoZero"/>
        <c:auto val="1"/>
        <c:lblOffset val="100"/>
        <c:baseTimeUnit val="months"/>
      </c:dateAx>
      <c:valAx>
        <c:axId val="32286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865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12190667409245602"/>
          <c:y val="1.2731864616296324E-4"/>
          <c:w val="0.57280867338766328"/>
          <c:h val="0.3861920753497752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3712555631633003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'Graf 11+12 '!$G$44</c:f>
              <c:strCache>
                <c:ptCount val="1"/>
                <c:pt idx="0">
                  <c:v>Tovar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11+12 '!$M$42:$U$42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11+12 '!$M$44:$U$44</c:f>
              <c:numCache>
                <c:formatCode>0.0</c:formatCode>
                <c:ptCount val="9"/>
                <c:pt idx="0">
                  <c:v>0.36219349132219381</c:v>
                </c:pt>
                <c:pt idx="1">
                  <c:v>-0.11822475052807667</c:v>
                </c:pt>
                <c:pt idx="2">
                  <c:v>-5.0875067407307628E-2</c:v>
                </c:pt>
                <c:pt idx="3">
                  <c:v>3.4465754503583175</c:v>
                </c:pt>
                <c:pt idx="4">
                  <c:v>3.9201499098714336</c:v>
                </c:pt>
                <c:pt idx="5">
                  <c:v>3.6243494065268003</c:v>
                </c:pt>
                <c:pt idx="6">
                  <c:v>1.3297315393546985</c:v>
                </c:pt>
                <c:pt idx="7">
                  <c:v>2.0173660015580932</c:v>
                </c:pt>
                <c:pt idx="8">
                  <c:v>0.98274196521201418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349-4053-B7B5-93766F80BAC3}"/>
            </c:ext>
          </c:extLst>
        </c:ser>
        <c:ser>
          <c:idx val="8"/>
          <c:order val="2"/>
          <c:tx>
            <c:strRef>
              <c:f>'Graf 11+12 '!$G$45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numRef>
              <c:f>'Graf 11+12 '!$M$42:$U$42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11+12 '!$M$45:$U$45</c:f>
              <c:numCache>
                <c:formatCode>0.0</c:formatCode>
                <c:ptCount val="9"/>
                <c:pt idx="0">
                  <c:v>-1.4104155028592837</c:v>
                </c:pt>
                <c:pt idx="1">
                  <c:v>-0.96383356661557085</c:v>
                </c:pt>
                <c:pt idx="2">
                  <c:v>-0.38170244448584251</c:v>
                </c:pt>
                <c:pt idx="3">
                  <c:v>0.57961027556257627</c:v>
                </c:pt>
                <c:pt idx="4">
                  <c:v>0.65237127830166075</c:v>
                </c:pt>
                <c:pt idx="5">
                  <c:v>0.23100947249236189</c:v>
                </c:pt>
                <c:pt idx="6">
                  <c:v>0.22878781403388285</c:v>
                </c:pt>
                <c:pt idx="7">
                  <c:v>0.56124367003628617</c:v>
                </c:pt>
                <c:pt idx="8">
                  <c:v>0.97369904159303522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349-4053-B7B5-93766F80BAC3}"/>
            </c:ext>
          </c:extLst>
        </c:ser>
        <c:ser>
          <c:idx val="0"/>
          <c:order val="3"/>
          <c:tx>
            <c:strRef>
              <c:f>'Graf 11+12 '!$G$46</c:f>
              <c:strCache>
                <c:ptCount val="1"/>
                <c:pt idx="0">
                  <c:v>Primárne výnosy</c:v>
                </c:pt>
              </c:strCache>
            </c:strRef>
          </c:tx>
          <c:invertIfNegative val="0"/>
          <c:cat>
            <c:numRef>
              <c:f>'Graf 11+12 '!$M$42:$U$42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11+12 '!$M$46:$U$46</c:f>
              <c:numCache>
                <c:formatCode>0.0</c:formatCode>
                <c:ptCount val="9"/>
                <c:pt idx="0">
                  <c:v>-0.87642708695237193</c:v>
                </c:pt>
                <c:pt idx="1">
                  <c:v>-2.7911182536768968</c:v>
                </c:pt>
                <c:pt idx="2">
                  <c:v>-3.4059278403946527</c:v>
                </c:pt>
                <c:pt idx="3">
                  <c:v>-1.664023344777622</c:v>
                </c:pt>
                <c:pt idx="4">
                  <c:v>-0.67065680804646455</c:v>
                </c:pt>
                <c:pt idx="5">
                  <c:v>-0.98608546766945815</c:v>
                </c:pt>
                <c:pt idx="6">
                  <c:v>-1.7316610737444782</c:v>
                </c:pt>
                <c:pt idx="7">
                  <c:v>-2.3490299592086394</c:v>
                </c:pt>
                <c:pt idx="8">
                  <c:v>-2.2390677189974442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349-4053-B7B5-93766F80BAC3}"/>
            </c:ext>
          </c:extLst>
        </c:ser>
        <c:ser>
          <c:idx val="2"/>
          <c:order val="4"/>
          <c:tx>
            <c:strRef>
              <c:f>'Graf 11+12 '!$G$47</c:f>
              <c:strCache>
                <c:ptCount val="1"/>
                <c:pt idx="0">
                  <c:v>Sekundárne výnosy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9050">
              <a:noFill/>
            </a:ln>
          </c:spPr>
          <c:invertIfNegative val="0"/>
          <c:cat>
            <c:numRef>
              <c:f>'Graf 11+12 '!$M$42:$U$42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11+12 '!$M$47:$U$47</c:f>
              <c:numCache>
                <c:formatCode>0.0</c:formatCode>
                <c:ptCount val="9"/>
                <c:pt idx="0">
                  <c:v>-1.5227578052468547</c:v>
                </c:pt>
                <c:pt idx="1">
                  <c:v>-0.83770748539065409</c:v>
                </c:pt>
                <c:pt idx="2">
                  <c:v>-1.1128313016719724</c:v>
                </c:pt>
                <c:pt idx="3">
                  <c:v>-1.4217821513061768</c:v>
                </c:pt>
                <c:pt idx="4">
                  <c:v>-2.0425876921834321</c:v>
                </c:pt>
                <c:pt idx="5">
                  <c:v>-1.725372821649477</c:v>
                </c:pt>
                <c:pt idx="6">
                  <c:v>-1.5600721467252969</c:v>
                </c:pt>
                <c:pt idx="7">
                  <c:v>-1.6868553287956376</c:v>
                </c:pt>
                <c:pt idx="8">
                  <c:v>-1.4966136688848097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349-4053-B7B5-93766F80B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867104"/>
        <c:axId val="322867496"/>
      </c:barChart>
      <c:lineChart>
        <c:grouping val="standard"/>
        <c:varyColors val="0"/>
        <c:ser>
          <c:idx val="1"/>
          <c:order val="0"/>
          <c:tx>
            <c:strRef>
              <c:f>'Graf 11+12 '!$G$43</c:f>
              <c:strCache>
                <c:ptCount val="1"/>
                <c:pt idx="0">
                  <c:v>Bežný účet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11+12 '!$M$42:$U$42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11+12 '!$M$43:$U$43</c:f>
              <c:numCache>
                <c:formatCode>0.0</c:formatCode>
                <c:ptCount val="9"/>
                <c:pt idx="0">
                  <c:v>-3.4474069037363173</c:v>
                </c:pt>
                <c:pt idx="1">
                  <c:v>-4.7108840562111984</c:v>
                </c:pt>
                <c:pt idx="2">
                  <c:v>-4.9513366539597747</c:v>
                </c:pt>
                <c:pt idx="3">
                  <c:v>0.94038022983709502</c:v>
                </c:pt>
                <c:pt idx="4">
                  <c:v>1.8592766879431979</c:v>
                </c:pt>
                <c:pt idx="5">
                  <c:v>1.1439005897002272</c:v>
                </c:pt>
                <c:pt idx="6">
                  <c:v>-1.7332138670811934</c:v>
                </c:pt>
                <c:pt idx="7">
                  <c:v>-1.4572756164098981</c:v>
                </c:pt>
                <c:pt idx="8">
                  <c:v>-1.7792403810772046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349-4053-B7B5-93766F80B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67104"/>
        <c:axId val="322867496"/>
      </c:lineChart>
      <c:catAx>
        <c:axId val="32286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322867496"/>
        <c:crosses val="autoZero"/>
        <c:auto val="1"/>
        <c:lblAlgn val="ctr"/>
        <c:lblOffset val="100"/>
        <c:noMultiLvlLbl val="1"/>
      </c:catAx>
      <c:valAx>
        <c:axId val="322867496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sk-SK"/>
          </a:p>
        </c:txPr>
        <c:crossAx val="322867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9799062686012367E-2"/>
          <c:y val="1.5117940756884709E-2"/>
          <c:w val="0.88121588563565478"/>
          <c:h val="0.1592549591591426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'Graf 11+12 '!$G$28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numRef>
              <c:f>'Graf 11+12 '!$H$11:$AH$11</c:f>
              <c:numCache>
                <c:formatCode>mmm\-yy</c:formatCode>
                <c:ptCount val="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</c:numCache>
            </c:numRef>
          </c:cat>
          <c:val>
            <c:numRef>
              <c:f>'Graf 11+12 '!$H$28:$AH$28</c:f>
              <c:numCache>
                <c:formatCode>0.0</c:formatCode>
                <c:ptCount val="27"/>
                <c:pt idx="0">
                  <c:v>-1.8921923246588479E-2</c:v>
                </c:pt>
                <c:pt idx="1">
                  <c:v>0.13276580692705217</c:v>
                </c:pt>
                <c:pt idx="2">
                  <c:v>2.3666323377969669E-2</c:v>
                </c:pt>
                <c:pt idx="3">
                  <c:v>0.18898303840223252</c:v>
                </c:pt>
                <c:pt idx="4">
                  <c:v>5.6574443141852893E-2</c:v>
                </c:pt>
                <c:pt idx="5">
                  <c:v>6.5955191096779692E-2</c:v>
                </c:pt>
                <c:pt idx="6">
                  <c:v>-1.4142574547588434E-2</c:v>
                </c:pt>
                <c:pt idx="7">
                  <c:v>4.247440222972327E-2</c:v>
                </c:pt>
                <c:pt idx="8">
                  <c:v>0.28862298698433481</c:v>
                </c:pt>
                <c:pt idx="9">
                  <c:v>0.41130991917707349</c:v>
                </c:pt>
                <c:pt idx="10">
                  <c:v>0.34471686481726405</c:v>
                </c:pt>
                <c:pt idx="11">
                  <c:v>0.55877185752134739</c:v>
                </c:pt>
                <c:pt idx="12">
                  <c:v>0.79475293055152807</c:v>
                </c:pt>
                <c:pt idx="13">
                  <c:v>0.90564868830290768</c:v>
                </c:pt>
                <c:pt idx="14">
                  <c:v>0.93330399235373407</c:v>
                </c:pt>
                <c:pt idx="15">
                  <c:v>0.74980343780115166</c:v>
                </c:pt>
                <c:pt idx="16">
                  <c:v>0.83714254981204406</c:v>
                </c:pt>
                <c:pt idx="17">
                  <c:v>0.7077296638540127</c:v>
                </c:pt>
                <c:pt idx="18">
                  <c:v>0.86102342597311621</c:v>
                </c:pt>
                <c:pt idx="19">
                  <c:v>0.94411024380681019</c:v>
                </c:pt>
                <c:pt idx="20">
                  <c:v>0.93373592094421209</c:v>
                </c:pt>
                <c:pt idx="21">
                  <c:v>0.87157923158845207</c:v>
                </c:pt>
                <c:pt idx="22">
                  <c:v>1.0136362556044296</c:v>
                </c:pt>
                <c:pt idx="23">
                  <c:v>0.95352335623043594</c:v>
                </c:pt>
                <c:pt idx="24">
                  <c:v>0.98241592032927205</c:v>
                </c:pt>
                <c:pt idx="25">
                  <c:v>1.0681386973481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A4-48BD-944C-9DE176989635}"/>
            </c:ext>
          </c:extLst>
        </c:ser>
        <c:ser>
          <c:idx val="2"/>
          <c:order val="2"/>
          <c:tx>
            <c:strRef>
              <c:f>'Graf 11+12 '!$G$29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numRef>
              <c:f>'Graf 11+12 '!$H$11:$AH$11</c:f>
              <c:numCache>
                <c:formatCode>mmm\-yy</c:formatCode>
                <c:ptCount val="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</c:numCache>
            </c:numRef>
          </c:cat>
          <c:val>
            <c:numRef>
              <c:f>'Graf 11+12 '!$H$29:$AH$29</c:f>
              <c:numCache>
                <c:formatCode>0.0</c:formatCode>
                <c:ptCount val="27"/>
                <c:pt idx="0">
                  <c:v>-5.8764985995524585E-2</c:v>
                </c:pt>
                <c:pt idx="1">
                  <c:v>1.8370532580499935E-2</c:v>
                </c:pt>
                <c:pt idx="2">
                  <c:v>-2.026715917745495E-2</c:v>
                </c:pt>
                <c:pt idx="3">
                  <c:v>-9.7024973512938609E-2</c:v>
                </c:pt>
                <c:pt idx="4">
                  <c:v>-0.32110567646398863</c:v>
                </c:pt>
                <c:pt idx="5">
                  <c:v>-0.30492624664078866</c:v>
                </c:pt>
                <c:pt idx="6">
                  <c:v>-0.18501036700718967</c:v>
                </c:pt>
                <c:pt idx="7">
                  <c:v>-0.1694866473370982</c:v>
                </c:pt>
                <c:pt idx="8">
                  <c:v>-0.20121366478572283</c:v>
                </c:pt>
                <c:pt idx="9">
                  <c:v>-0.20116764504078435</c:v>
                </c:pt>
                <c:pt idx="10">
                  <c:v>-5.5980688175340756E-2</c:v>
                </c:pt>
                <c:pt idx="11">
                  <c:v>0.12915346534653641</c:v>
                </c:pt>
                <c:pt idx="12">
                  <c:v>0.26803517452203279</c:v>
                </c:pt>
                <c:pt idx="13">
                  <c:v>0.47020378054317608</c:v>
                </c:pt>
                <c:pt idx="14">
                  <c:v>0.38309964607795199</c:v>
                </c:pt>
                <c:pt idx="15">
                  <c:v>0.39953044236381496</c:v>
                </c:pt>
                <c:pt idx="16">
                  <c:v>0.60844694154050394</c:v>
                </c:pt>
                <c:pt idx="17">
                  <c:v>0.62077633489305128</c:v>
                </c:pt>
                <c:pt idx="18">
                  <c:v>0.73270191121319739</c:v>
                </c:pt>
                <c:pt idx="19">
                  <c:v>0.78617736356261836</c:v>
                </c:pt>
                <c:pt idx="20">
                  <c:v>0.89559407977641048</c:v>
                </c:pt>
                <c:pt idx="21">
                  <c:v>1.0921889980670474</c:v>
                </c:pt>
                <c:pt idx="22">
                  <c:v>1.1688788321207841</c:v>
                </c:pt>
                <c:pt idx="23">
                  <c:v>1.1523599811095255</c:v>
                </c:pt>
                <c:pt idx="24">
                  <c:v>1.2227173132894997</c:v>
                </c:pt>
                <c:pt idx="25">
                  <c:v>0.8263882531197998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BA4-48BD-944C-9DE176989635}"/>
            </c:ext>
          </c:extLst>
        </c:ser>
        <c:ser>
          <c:idx val="3"/>
          <c:order val="3"/>
          <c:tx>
            <c:strRef>
              <c:f>'Graf 11+12 '!$G$30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  <a:effectLst/>
          </c:spPr>
          <c:invertIfNegative val="0"/>
          <c:cat>
            <c:numRef>
              <c:f>'Graf 11+12 '!$H$11:$AH$11</c:f>
              <c:numCache>
                <c:formatCode>mmm\-yy</c:formatCode>
                <c:ptCount val="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</c:numCache>
            </c:numRef>
          </c:cat>
          <c:val>
            <c:numRef>
              <c:f>'Graf 11+12 '!$H$30:$AH$30</c:f>
              <c:numCache>
                <c:formatCode>0.0</c:formatCode>
                <c:ptCount val="27"/>
                <c:pt idx="0">
                  <c:v>-0.23382985942801682</c:v>
                </c:pt>
                <c:pt idx="1">
                  <c:v>-0.23043091959129361</c:v>
                </c:pt>
                <c:pt idx="2">
                  <c:v>-0.22539423309910328</c:v>
                </c:pt>
                <c:pt idx="3">
                  <c:v>-0.2153568659127616</c:v>
                </c:pt>
                <c:pt idx="4">
                  <c:v>-0.21450157499394235</c:v>
                </c:pt>
                <c:pt idx="5">
                  <c:v>-0.21780918157225304</c:v>
                </c:pt>
                <c:pt idx="6">
                  <c:v>-0.38197295005854043</c:v>
                </c:pt>
                <c:pt idx="7">
                  <c:v>-0.38603656617023901</c:v>
                </c:pt>
                <c:pt idx="8">
                  <c:v>-0.24939727918781862</c:v>
                </c:pt>
                <c:pt idx="9">
                  <c:v>-0.20127336932256551</c:v>
                </c:pt>
                <c:pt idx="10">
                  <c:v>-0.19873885867359209</c:v>
                </c:pt>
                <c:pt idx="11">
                  <c:v>-0.19788871301594999</c:v>
                </c:pt>
                <c:pt idx="12">
                  <c:v>-0.338428899638192</c:v>
                </c:pt>
                <c:pt idx="13">
                  <c:v>-0.40380954722508922</c:v>
                </c:pt>
                <c:pt idx="14">
                  <c:v>-0.45757528815727022</c:v>
                </c:pt>
                <c:pt idx="15">
                  <c:v>-0.47313199191590832</c:v>
                </c:pt>
                <c:pt idx="16">
                  <c:v>-0.47390257257185991</c:v>
                </c:pt>
                <c:pt idx="17">
                  <c:v>-0.47222630074611233</c:v>
                </c:pt>
                <c:pt idx="18">
                  <c:v>-0.29895783736762155</c:v>
                </c:pt>
                <c:pt idx="19">
                  <c:v>-0.30059090273811456</c:v>
                </c:pt>
                <c:pt idx="20">
                  <c:v>-0.29375405593061643</c:v>
                </c:pt>
                <c:pt idx="21">
                  <c:v>-0.33369954331217649</c:v>
                </c:pt>
                <c:pt idx="22">
                  <c:v>-0.3444612593077222</c:v>
                </c:pt>
                <c:pt idx="23">
                  <c:v>-0.34443302940612125</c:v>
                </c:pt>
                <c:pt idx="24">
                  <c:v>0.17257758700924999</c:v>
                </c:pt>
                <c:pt idx="25">
                  <c:v>0.1827292097745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BA4-48BD-944C-9DE176989635}"/>
            </c:ext>
          </c:extLst>
        </c:ser>
        <c:ser>
          <c:idx val="4"/>
          <c:order val="4"/>
          <c:tx>
            <c:strRef>
              <c:f>'Graf 11+12 '!$G$31</c:f>
              <c:strCache>
                <c:ptCount val="1"/>
                <c:pt idx="0">
                  <c:v>Change in indirect taxes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11+12 '!$H$11:$AH$11</c:f>
              <c:numCache>
                <c:formatCode>mmm\-yy</c:formatCode>
                <c:ptCount val="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</c:numCache>
            </c:numRef>
          </c:cat>
          <c:val>
            <c:numRef>
              <c:f>'Graf 11+12 '!$H$31:$AH$31</c:f>
              <c:numCache>
                <c:formatCode>0.0</c:formatCode>
                <c:ptCount val="27"/>
                <c:pt idx="0">
                  <c:v>-0.32</c:v>
                </c:pt>
                <c:pt idx="1">
                  <c:v>-0.32</c:v>
                </c:pt>
                <c:pt idx="2">
                  <c:v>-0.32</c:v>
                </c:pt>
                <c:pt idx="3">
                  <c:v>-0.32</c:v>
                </c:pt>
                <c:pt idx="4">
                  <c:v>-0.32</c:v>
                </c:pt>
                <c:pt idx="5">
                  <c:v>-0.32</c:v>
                </c:pt>
                <c:pt idx="6">
                  <c:v>-0.32</c:v>
                </c:pt>
                <c:pt idx="7">
                  <c:v>-0.32</c:v>
                </c:pt>
                <c:pt idx="8">
                  <c:v>-0.32</c:v>
                </c:pt>
                <c:pt idx="9">
                  <c:v>-0.32</c:v>
                </c:pt>
                <c:pt idx="10">
                  <c:v>-0.32</c:v>
                </c:pt>
                <c:pt idx="11">
                  <c:v>-0.32</c:v>
                </c:pt>
                <c:pt idx="12">
                  <c:v>0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BA4-48BD-944C-9DE176989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2868280"/>
        <c:axId val="322868672"/>
      </c:barChart>
      <c:lineChart>
        <c:grouping val="standard"/>
        <c:varyColors val="0"/>
        <c:ser>
          <c:idx val="0"/>
          <c:order val="0"/>
          <c:tx>
            <c:strRef>
              <c:f>'Graf 11+12 '!$G$27</c:f>
              <c:strCache>
                <c:ptCount val="1"/>
                <c:pt idx="0">
                  <c:v>Total inflation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11+12 '!$H$11:$AH$11</c:f>
              <c:numCache>
                <c:formatCode>mmm\-yy</c:formatCode>
                <c:ptCount val="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</c:numCache>
            </c:numRef>
          </c:cat>
          <c:val>
            <c:numRef>
              <c:f>'Graf 11+12 '!$H$27:$AH$27</c:f>
              <c:numCache>
                <c:formatCode>0.0</c:formatCode>
                <c:ptCount val="27"/>
                <c:pt idx="0">
                  <c:v>-0.63151676867012996</c:v>
                </c:pt>
                <c:pt idx="1">
                  <c:v>-0.39929458008374152</c:v>
                </c:pt>
                <c:pt idx="2">
                  <c:v>-0.54199506889858862</c:v>
                </c:pt>
                <c:pt idx="3">
                  <c:v>-0.44339880102346768</c:v>
                </c:pt>
                <c:pt idx="4">
                  <c:v>-0.79903280831607804</c:v>
                </c:pt>
                <c:pt idx="5">
                  <c:v>-0.77678023711626198</c:v>
                </c:pt>
                <c:pt idx="6">
                  <c:v>-0.90112589161331846</c:v>
                </c:pt>
                <c:pt idx="7">
                  <c:v>-0.83304881127761399</c:v>
                </c:pt>
                <c:pt idx="8">
                  <c:v>-0.48198795698920666</c:v>
                </c:pt>
                <c:pt idx="9">
                  <c:v>-0.31113109518627635</c:v>
                </c:pt>
                <c:pt idx="10">
                  <c:v>-0.23000268203166879</c:v>
                </c:pt>
                <c:pt idx="11">
                  <c:v>0.17003660985193375</c:v>
                </c:pt>
                <c:pt idx="12">
                  <c:v>0.7243592054353688</c:v>
                </c:pt>
                <c:pt idx="13">
                  <c:v>1.0720429216209946</c:v>
                </c:pt>
                <c:pt idx="14">
                  <c:v>0.95882835027441571</c:v>
                </c:pt>
                <c:pt idx="15">
                  <c:v>0.77620188824905834</c:v>
                </c:pt>
                <c:pt idx="16">
                  <c:v>1.0716869187806881</c:v>
                </c:pt>
                <c:pt idx="17">
                  <c:v>0.95627969800095169</c:v>
                </c:pt>
                <c:pt idx="18">
                  <c:v>1.3947674998186921</c:v>
                </c:pt>
                <c:pt idx="19">
                  <c:v>1.5296967046313141</c:v>
                </c:pt>
                <c:pt idx="20">
                  <c:v>1.6355759447900062</c:v>
                </c:pt>
                <c:pt idx="21">
                  <c:v>1.730068686343323</c:v>
                </c:pt>
                <c:pt idx="22">
                  <c:v>1.9380538284174915</c:v>
                </c:pt>
                <c:pt idx="23">
                  <c:v>1.8614503079338405</c:v>
                </c:pt>
                <c:pt idx="24">
                  <c:v>2.4777108206280221</c:v>
                </c:pt>
                <c:pt idx="25">
                  <c:v>2.0772561602424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BA4-48BD-944C-9DE176989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68280"/>
        <c:axId val="322868672"/>
      </c:lineChart>
      <c:dateAx>
        <c:axId val="322868280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868672"/>
        <c:crosses val="autoZero"/>
        <c:auto val="1"/>
        <c:lblOffset val="100"/>
        <c:baseTimeUnit val="months"/>
      </c:dateAx>
      <c:valAx>
        <c:axId val="322868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868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12190667409245602"/>
          <c:y val="1.1886926279297164E-2"/>
          <c:w val="0.57280867338766328"/>
          <c:h val="0.38619207534977523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sk-SK">
                <a:solidFill>
                  <a:schemeClr val="tx1"/>
                </a:solidFill>
                <a:latin typeface="Arial Narrow" panose="020B0606020202030204" pitchFamily="34" charset="0"/>
              </a:rPr>
              <a:t>Saldo na bežnom účte </a:t>
            </a:r>
            <a:r>
              <a:rPr lang="en-US" baseline="0">
                <a:solidFill>
                  <a:schemeClr val="tx1"/>
                </a:solidFill>
                <a:latin typeface="Arial Narrow" panose="020B0606020202030204" pitchFamily="34" charset="0"/>
              </a:rPr>
              <a:t>(% GDP)</a:t>
            </a:r>
            <a:endParaRPr lang="sk-SK">
              <a:solidFill>
                <a:schemeClr val="tx1"/>
              </a:solidFill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8.6855309933219035E-2"/>
          <c:y val="0.16694444444444445"/>
          <c:w val="0.88289600124026124"/>
          <c:h val="0.4202752260134149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11+12 '!$H$52</c:f>
              <c:strCache>
                <c:ptCount val="1"/>
                <c:pt idx="0">
                  <c:v>Tovar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'Graf 11+12 '!$F$54:$F$67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'Graf 11+12 '!$H$54:$H$67</c:f>
              <c:numCache>
                <c:formatCode>0.00%</c:formatCode>
                <c:ptCount val="14"/>
                <c:pt idx="0">
                  <c:v>-6.0856892698324921E-2</c:v>
                </c:pt>
                <c:pt idx="1">
                  <c:v>-7.1463097645733137E-2</c:v>
                </c:pt>
                <c:pt idx="2">
                  <c:v>-6.2382607623707405E-2</c:v>
                </c:pt>
                <c:pt idx="3">
                  <c:v>-1.8318106444366704E-2</c:v>
                </c:pt>
                <c:pt idx="4">
                  <c:v>-1.8438084036521623E-2</c:v>
                </c:pt>
                <c:pt idx="5">
                  <c:v>3.621934913221938E-3</c:v>
                </c:pt>
                <c:pt idx="6">
                  <c:v>-1.1822475052807666E-3</c:v>
                </c:pt>
                <c:pt idx="7">
                  <c:v>-5.0875067407307631E-4</c:v>
                </c:pt>
                <c:pt idx="8">
                  <c:v>3.4465754503583176E-2</c:v>
                </c:pt>
                <c:pt idx="9">
                  <c:v>3.9201499098714336E-2</c:v>
                </c:pt>
                <c:pt idx="10">
                  <c:v>3.6243494065268E-2</c:v>
                </c:pt>
                <c:pt idx="11">
                  <c:v>1.3297315393546984E-2</c:v>
                </c:pt>
                <c:pt idx="12">
                  <c:v>2.0173660015580932E-2</c:v>
                </c:pt>
                <c:pt idx="13" formatCode="General">
                  <c:v>9.8274196521201413E-3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C15-4A08-BBEC-BB3C7DA3B3AD}"/>
            </c:ext>
          </c:extLst>
        </c:ser>
        <c:ser>
          <c:idx val="4"/>
          <c:order val="2"/>
          <c:tx>
            <c:strRef>
              <c:f>'Graf 11+12 '!$I$52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numRef>
              <c:f>'Graf 11+12 '!$F$54:$F$67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'Graf 11+12 '!$I$54:$I$67</c:f>
              <c:numCache>
                <c:formatCode>0.00%</c:formatCode>
                <c:ptCount val="14"/>
                <c:pt idx="0">
                  <c:v>2.0967258818921222E-2</c:v>
                </c:pt>
                <c:pt idx="1">
                  <c:v>1.6518852585251258E-2</c:v>
                </c:pt>
                <c:pt idx="2">
                  <c:v>2.164966024071702E-2</c:v>
                </c:pt>
                <c:pt idx="3">
                  <c:v>1.1140109350744833E-2</c:v>
                </c:pt>
                <c:pt idx="4">
                  <c:v>-5.1124465991339695E-3</c:v>
                </c:pt>
                <c:pt idx="5">
                  <c:v>-1.4104155028592838E-2</c:v>
                </c:pt>
                <c:pt idx="6">
                  <c:v>-9.6383356661557083E-3</c:v>
                </c:pt>
                <c:pt idx="7">
                  <c:v>-3.8170244448584253E-3</c:v>
                </c:pt>
                <c:pt idx="8">
                  <c:v>5.7961027556257625E-3</c:v>
                </c:pt>
                <c:pt idx="9">
                  <c:v>6.5237127830166074E-3</c:v>
                </c:pt>
                <c:pt idx="10">
                  <c:v>2.3100947249236189E-3</c:v>
                </c:pt>
                <c:pt idx="11">
                  <c:v>2.2878781403388284E-3</c:v>
                </c:pt>
                <c:pt idx="12">
                  <c:v>5.6124367003628616E-3</c:v>
                </c:pt>
                <c:pt idx="13" formatCode="General">
                  <c:v>9.7369904159303518E-3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C15-4A08-BBEC-BB3C7DA3B3AD}"/>
            </c:ext>
          </c:extLst>
        </c:ser>
        <c:ser>
          <c:idx val="2"/>
          <c:order val="3"/>
          <c:tx>
            <c:strRef>
              <c:f>'Graf 11+12 '!$J$52</c:f>
              <c:strCache>
                <c:ptCount val="1"/>
                <c:pt idx="0">
                  <c:v>Primárne výnosy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11+12 '!$F$54:$F$67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'Graf 11+12 '!$J$54:$J$67</c:f>
              <c:numCache>
                <c:formatCode>0.00%</c:formatCode>
                <c:ptCount val="14"/>
                <c:pt idx="0">
                  <c:v>-5.8984816018064094E-2</c:v>
                </c:pt>
                <c:pt idx="1">
                  <c:v>-4.6049478283808121E-2</c:v>
                </c:pt>
                <c:pt idx="2">
                  <c:v>-4.6984369033045446E-2</c:v>
                </c:pt>
                <c:pt idx="3">
                  <c:v>-4.2659334212341853E-2</c:v>
                </c:pt>
                <c:pt idx="4">
                  <c:v>-2.9464633062464416E-2</c:v>
                </c:pt>
                <c:pt idx="5">
                  <c:v>-8.7642708695237197E-3</c:v>
                </c:pt>
                <c:pt idx="6">
                  <c:v>-2.7911182536768969E-2</c:v>
                </c:pt>
                <c:pt idx="7">
                  <c:v>-3.4059278403946527E-2</c:v>
                </c:pt>
                <c:pt idx="8">
                  <c:v>-1.664023344777622E-2</c:v>
                </c:pt>
                <c:pt idx="9">
                  <c:v>-6.7065680804646458E-3</c:v>
                </c:pt>
                <c:pt idx="10">
                  <c:v>-9.8608546766945811E-3</c:v>
                </c:pt>
                <c:pt idx="11">
                  <c:v>-1.7316610737444782E-2</c:v>
                </c:pt>
                <c:pt idx="12">
                  <c:v>-2.3490299592086396E-2</c:v>
                </c:pt>
                <c:pt idx="13" formatCode="General">
                  <c:v>-2.239067718997444E-2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C15-4A08-BBEC-BB3C7DA3B3AD}"/>
            </c:ext>
          </c:extLst>
        </c:ser>
        <c:ser>
          <c:idx val="3"/>
          <c:order val="4"/>
          <c:tx>
            <c:strRef>
              <c:f>'Graf 11+12 '!$K$52</c:f>
              <c:strCache>
                <c:ptCount val="1"/>
                <c:pt idx="0">
                  <c:v>Sekundárne výnosy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'Graf 11+12 '!$F$54:$F$67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'Graf 11+12 '!$K$54:$K$67</c:f>
              <c:numCache>
                <c:formatCode>0.00%</c:formatCode>
                <c:ptCount val="14"/>
                <c:pt idx="0">
                  <c:v>-2.4192990944909101E-3</c:v>
                </c:pt>
                <c:pt idx="1">
                  <c:v>-5.1589647304707779E-3</c:v>
                </c:pt>
                <c:pt idx="2">
                  <c:v>-6.8875312214641791E-3</c:v>
                </c:pt>
                <c:pt idx="3">
                  <c:v>-8.8303578107179932E-3</c:v>
                </c:pt>
                <c:pt idx="4">
                  <c:v>-1.143493973060734E-2</c:v>
                </c:pt>
                <c:pt idx="5">
                  <c:v>-1.5227578052468547E-2</c:v>
                </c:pt>
                <c:pt idx="6">
                  <c:v>-8.3770748539065409E-3</c:v>
                </c:pt>
                <c:pt idx="7">
                  <c:v>-1.1128313016719724E-2</c:v>
                </c:pt>
                <c:pt idx="8">
                  <c:v>-1.4217821513061769E-2</c:v>
                </c:pt>
                <c:pt idx="9">
                  <c:v>-2.042587692183432E-2</c:v>
                </c:pt>
                <c:pt idx="10">
                  <c:v>-1.7253728216494769E-2</c:v>
                </c:pt>
                <c:pt idx="11">
                  <c:v>-1.5600721467252969E-2</c:v>
                </c:pt>
                <c:pt idx="12">
                  <c:v>-1.6868553287956375E-2</c:v>
                </c:pt>
                <c:pt idx="13" formatCode="General">
                  <c:v>-1.4966136688848098E-2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C15-4A08-BBEC-BB3C7DA3B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715296"/>
        <c:axId val="323715688"/>
      </c:barChart>
      <c:lineChart>
        <c:grouping val="standard"/>
        <c:varyColors val="0"/>
        <c:ser>
          <c:idx val="0"/>
          <c:order val="0"/>
          <c:tx>
            <c:strRef>
              <c:f>'Graf 11+12 '!$G$52</c:f>
              <c:strCache>
                <c:ptCount val="1"/>
                <c:pt idx="0">
                  <c:v>Bežný účet</c:v>
                </c:pt>
              </c:strCache>
            </c:strRef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11+12 '!$F$54:$F$67</c:f>
              <c:numCache>
                <c:formatCode>General</c:formatCode>
                <c:ptCount val="14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</c:numCache>
            </c:numRef>
          </c:cat>
          <c:val>
            <c:numRef>
              <c:f>'Graf 11+12 '!$G$54:$G$67</c:f>
              <c:numCache>
                <c:formatCode>0.00%</c:formatCode>
                <c:ptCount val="14"/>
                <c:pt idx="0">
                  <c:v>-0.10132255017165502</c:v>
                </c:pt>
                <c:pt idx="1">
                  <c:v>-0.10620351531348463</c:v>
                </c:pt>
                <c:pt idx="2">
                  <c:v>-9.4582912824692805E-2</c:v>
                </c:pt>
                <c:pt idx="3">
                  <c:v>-5.8667689116681715E-2</c:v>
                </c:pt>
                <c:pt idx="4">
                  <c:v>-6.4465229010381597E-2</c:v>
                </c:pt>
                <c:pt idx="5">
                  <c:v>-3.4474069037363171E-2</c:v>
                </c:pt>
                <c:pt idx="6">
                  <c:v>-4.7108840562111988E-2</c:v>
                </c:pt>
                <c:pt idx="7">
                  <c:v>-4.9513366539597752E-2</c:v>
                </c:pt>
                <c:pt idx="8">
                  <c:v>9.4038022983709505E-3</c:v>
                </c:pt>
                <c:pt idx="9">
                  <c:v>1.8592766879431979E-2</c:v>
                </c:pt>
                <c:pt idx="10">
                  <c:v>1.1439005897002271E-2</c:v>
                </c:pt>
                <c:pt idx="11">
                  <c:v>-1.7332138670811934E-2</c:v>
                </c:pt>
                <c:pt idx="12">
                  <c:v>-1.457275616409898E-2</c:v>
                </c:pt>
                <c:pt idx="13" formatCode="General">
                  <c:v>-1.7792403810772045E-2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C15-4A08-BBEC-BB3C7DA3B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715296"/>
        <c:axId val="323715688"/>
      </c:lineChart>
      <c:catAx>
        <c:axId val="323715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3715688"/>
        <c:crosses val="autoZero"/>
        <c:auto val="1"/>
        <c:lblAlgn val="ctr"/>
        <c:lblOffset val="100"/>
        <c:noMultiLvlLbl val="0"/>
      </c:catAx>
      <c:valAx>
        <c:axId val="323715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3715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085710536720438E-2"/>
          <c:y val="0.73175670749489652"/>
          <c:w val="0.75458418121324744"/>
          <c:h val="0.240465514727325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3712555631633003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'Graf 11+12 '!$G$20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11+12 '!$M$42:$U$42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11+12 '!$M$44:$U$44</c:f>
              <c:numCache>
                <c:formatCode>0.0</c:formatCode>
                <c:ptCount val="9"/>
                <c:pt idx="0">
                  <c:v>0.36219349132219381</c:v>
                </c:pt>
                <c:pt idx="1">
                  <c:v>-0.11822475052807667</c:v>
                </c:pt>
                <c:pt idx="2">
                  <c:v>-5.0875067407307628E-2</c:v>
                </c:pt>
                <c:pt idx="3">
                  <c:v>3.4465754503583175</c:v>
                </c:pt>
                <c:pt idx="4">
                  <c:v>3.9201499098714336</c:v>
                </c:pt>
                <c:pt idx="5">
                  <c:v>3.6243494065268003</c:v>
                </c:pt>
                <c:pt idx="6">
                  <c:v>1.3297315393546985</c:v>
                </c:pt>
                <c:pt idx="7">
                  <c:v>2.0173660015580932</c:v>
                </c:pt>
                <c:pt idx="8">
                  <c:v>0.98274196521201418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40E-41CC-B2B9-B426A17EC96D}"/>
            </c:ext>
          </c:extLst>
        </c:ser>
        <c:ser>
          <c:idx val="8"/>
          <c:order val="2"/>
          <c:tx>
            <c:strRef>
              <c:f>'Graf 11+12 '!$G$20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numRef>
              <c:f>'Graf 11+12 '!$M$42:$U$42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11+12 '!$M$45:$U$45</c:f>
              <c:numCache>
                <c:formatCode>0.0</c:formatCode>
                <c:ptCount val="9"/>
                <c:pt idx="0">
                  <c:v>-1.4104155028592837</c:v>
                </c:pt>
                <c:pt idx="1">
                  <c:v>-0.96383356661557085</c:v>
                </c:pt>
                <c:pt idx="2">
                  <c:v>-0.38170244448584251</c:v>
                </c:pt>
                <c:pt idx="3">
                  <c:v>0.57961027556257627</c:v>
                </c:pt>
                <c:pt idx="4">
                  <c:v>0.65237127830166075</c:v>
                </c:pt>
                <c:pt idx="5">
                  <c:v>0.23100947249236189</c:v>
                </c:pt>
                <c:pt idx="6">
                  <c:v>0.22878781403388285</c:v>
                </c:pt>
                <c:pt idx="7">
                  <c:v>0.56124367003628617</c:v>
                </c:pt>
                <c:pt idx="8">
                  <c:v>0.97369904159303522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40E-41CC-B2B9-B426A17EC96D}"/>
            </c:ext>
          </c:extLst>
        </c:ser>
        <c:ser>
          <c:idx val="0"/>
          <c:order val="3"/>
          <c:tx>
            <c:strRef>
              <c:f>'Graf 11+12 '!$G$21</c:f>
              <c:strCache>
                <c:ptCount val="1"/>
                <c:pt idx="0">
                  <c:v>Primary income</c:v>
                </c:pt>
              </c:strCache>
            </c:strRef>
          </c:tx>
          <c:invertIfNegative val="0"/>
          <c:cat>
            <c:numRef>
              <c:f>'Graf 11+12 '!$M$42:$U$42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11+12 '!$M$46:$U$46</c:f>
              <c:numCache>
                <c:formatCode>0.0</c:formatCode>
                <c:ptCount val="9"/>
                <c:pt idx="0">
                  <c:v>-0.87642708695237193</c:v>
                </c:pt>
                <c:pt idx="1">
                  <c:v>-2.7911182536768968</c:v>
                </c:pt>
                <c:pt idx="2">
                  <c:v>-3.4059278403946527</c:v>
                </c:pt>
                <c:pt idx="3">
                  <c:v>-1.664023344777622</c:v>
                </c:pt>
                <c:pt idx="4">
                  <c:v>-0.67065680804646455</c:v>
                </c:pt>
                <c:pt idx="5">
                  <c:v>-0.98608546766945815</c:v>
                </c:pt>
                <c:pt idx="6">
                  <c:v>-1.7316610737444782</c:v>
                </c:pt>
                <c:pt idx="7">
                  <c:v>-2.3490299592086394</c:v>
                </c:pt>
                <c:pt idx="8">
                  <c:v>-2.2390677189974442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40E-41CC-B2B9-B426A17EC96D}"/>
            </c:ext>
          </c:extLst>
        </c:ser>
        <c:ser>
          <c:idx val="2"/>
          <c:order val="4"/>
          <c:tx>
            <c:strRef>
              <c:f>'Graf 11+12 '!$G$22</c:f>
              <c:strCache>
                <c:ptCount val="1"/>
                <c:pt idx="0">
                  <c:v>Secondary income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9050">
              <a:noFill/>
            </a:ln>
          </c:spPr>
          <c:invertIfNegative val="0"/>
          <c:cat>
            <c:numRef>
              <c:f>'Graf 11+12 '!$M$42:$U$42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11+12 '!$M$47:$U$47</c:f>
              <c:numCache>
                <c:formatCode>0.0</c:formatCode>
                <c:ptCount val="9"/>
                <c:pt idx="0">
                  <c:v>-1.5227578052468547</c:v>
                </c:pt>
                <c:pt idx="1">
                  <c:v>-0.83770748539065409</c:v>
                </c:pt>
                <c:pt idx="2">
                  <c:v>-1.1128313016719724</c:v>
                </c:pt>
                <c:pt idx="3">
                  <c:v>-1.4217821513061768</c:v>
                </c:pt>
                <c:pt idx="4">
                  <c:v>-2.0425876921834321</c:v>
                </c:pt>
                <c:pt idx="5">
                  <c:v>-1.725372821649477</c:v>
                </c:pt>
                <c:pt idx="6">
                  <c:v>-1.5600721467252969</c:v>
                </c:pt>
                <c:pt idx="7">
                  <c:v>-1.6868553287956376</c:v>
                </c:pt>
                <c:pt idx="8">
                  <c:v>-1.4966136688848097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40E-41CC-B2B9-B426A17EC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716472"/>
        <c:axId val="323716864"/>
      </c:barChart>
      <c:lineChart>
        <c:grouping val="standard"/>
        <c:varyColors val="0"/>
        <c:ser>
          <c:idx val="1"/>
          <c:order val="0"/>
          <c:tx>
            <c:strRef>
              <c:f>'Graf 11+12 '!$G$23</c:f>
              <c:strCache>
                <c:ptCount val="1"/>
                <c:pt idx="0">
                  <c:v>CAB</c:v>
                </c:pt>
              </c:strCache>
            </c:strRef>
          </c:tx>
          <c:spPr>
            <a:ln w="22225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'Graf 11+12 '!$M$42:$U$42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'Graf 11+12 '!$M$43:$U$43</c:f>
              <c:numCache>
                <c:formatCode>0.0</c:formatCode>
                <c:ptCount val="9"/>
                <c:pt idx="0">
                  <c:v>-3.4474069037363173</c:v>
                </c:pt>
                <c:pt idx="1">
                  <c:v>-4.7108840562111984</c:v>
                </c:pt>
                <c:pt idx="2">
                  <c:v>-4.9513366539597747</c:v>
                </c:pt>
                <c:pt idx="3">
                  <c:v>0.94038022983709502</c:v>
                </c:pt>
                <c:pt idx="4">
                  <c:v>1.8592766879431979</c:v>
                </c:pt>
                <c:pt idx="5">
                  <c:v>1.1439005897002272</c:v>
                </c:pt>
                <c:pt idx="6">
                  <c:v>-1.7332138670811934</c:v>
                </c:pt>
                <c:pt idx="7">
                  <c:v>-1.4572756164098981</c:v>
                </c:pt>
                <c:pt idx="8">
                  <c:v>-1.7792403810772046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40E-41CC-B2B9-B426A17EC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716472"/>
        <c:axId val="323716864"/>
      </c:lineChart>
      <c:catAx>
        <c:axId val="323716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3716864"/>
        <c:crosses val="autoZero"/>
        <c:auto val="1"/>
        <c:lblAlgn val="ctr"/>
        <c:lblOffset val="100"/>
        <c:noMultiLvlLbl val="1"/>
      </c:catAx>
      <c:valAx>
        <c:axId val="3237168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3237164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9799062686012367E-2"/>
          <c:y val="1.5117940756884709E-2"/>
          <c:w val="0.88121588563565478"/>
          <c:h val="0.15925495915914267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13+14 '!$I$4</c:f>
              <c:strCache>
                <c:ptCount val="1"/>
                <c:pt idx="0">
                  <c:v>Spotreba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13+14 '!$J$3:$O$3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'!$J$4:$O$4</c:f>
              <c:numCache>
                <c:formatCode>0.0</c:formatCode>
                <c:ptCount val="6"/>
                <c:pt idx="0">
                  <c:v>1.6933512944270857</c:v>
                </c:pt>
                <c:pt idx="1">
                  <c:v>1.8939014564087233</c:v>
                </c:pt>
                <c:pt idx="2">
                  <c:v>1.9239372997765176</c:v>
                </c:pt>
                <c:pt idx="3">
                  <c:v>1.8652012077972162</c:v>
                </c:pt>
                <c:pt idx="4">
                  <c:v>1.6083224901822724</c:v>
                </c:pt>
                <c:pt idx="5">
                  <c:v>1.4429228123302877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E7-4408-9F07-E957EA5AF99D}"/>
            </c:ext>
          </c:extLst>
        </c:ser>
        <c:ser>
          <c:idx val="8"/>
          <c:order val="1"/>
          <c:tx>
            <c:strRef>
              <c:f>'Graf 13+14 '!$I$5</c:f>
              <c:strCache>
                <c:ptCount val="1"/>
                <c:pt idx="0">
                  <c:v>Investície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13+14 '!$J$3:$O$3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'!$J$5:$O$5</c:f>
              <c:numCache>
                <c:formatCode>0.0</c:formatCode>
                <c:ptCount val="6"/>
                <c:pt idx="0">
                  <c:v>-2.0173757423893468</c:v>
                </c:pt>
                <c:pt idx="1">
                  <c:v>0.69121935496180387</c:v>
                </c:pt>
                <c:pt idx="2">
                  <c:v>1.130085258809103</c:v>
                </c:pt>
                <c:pt idx="3">
                  <c:v>0.72441195426799188</c:v>
                </c:pt>
                <c:pt idx="4">
                  <c:v>0.71926186848377593</c:v>
                </c:pt>
                <c:pt idx="5">
                  <c:v>0.64191101142806672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E7-4408-9F07-E957EA5AF99D}"/>
            </c:ext>
          </c:extLst>
        </c:ser>
        <c:ser>
          <c:idx val="0"/>
          <c:order val="2"/>
          <c:tx>
            <c:strRef>
              <c:f>'Graf 13+14 '!$I$6</c:f>
              <c:strCache>
                <c:ptCount val="1"/>
                <c:pt idx="0">
                  <c:v>Zásoby a diskrepancia</c:v>
                </c:pt>
              </c:strCache>
            </c:strRef>
          </c:tx>
          <c:invertIfNegative val="0"/>
          <c:cat>
            <c:strRef>
              <c:f>'Graf 13+14 '!$J$3:$O$3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'!$J$6:$O$6</c:f>
              <c:numCache>
                <c:formatCode>0.0</c:formatCode>
                <c:ptCount val="6"/>
                <c:pt idx="0">
                  <c:v>1.0296162476468176</c:v>
                </c:pt>
                <c:pt idx="1">
                  <c:v>0.16788248726920785</c:v>
                </c:pt>
                <c:pt idx="2">
                  <c:v>-4.9503263185228352E-2</c:v>
                </c:pt>
                <c:pt idx="3">
                  <c:v>1.527589919245953E-2</c:v>
                </c:pt>
                <c:pt idx="4">
                  <c:v>-1.5072693943404047E-2</c:v>
                </c:pt>
                <c:pt idx="5">
                  <c:v>1.5079827962785064E-3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E7-4408-9F07-E957EA5AF99D}"/>
            </c:ext>
          </c:extLst>
        </c:ser>
        <c:ser>
          <c:idx val="1"/>
          <c:order val="3"/>
          <c:tx>
            <c:strRef>
              <c:f>'Graf 13+14 '!$I$7</c:f>
              <c:strCache>
                <c:ptCount val="1"/>
                <c:pt idx="0">
                  <c:v>Čistý export</c:v>
                </c:pt>
              </c:strCache>
            </c:strRef>
          </c:tx>
          <c:invertIfNegative val="0"/>
          <c:cat>
            <c:strRef>
              <c:f>'Graf 13+14 '!$J$3:$O$3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'!$J$7:$O$7</c:f>
              <c:numCache>
                <c:formatCode>0.0</c:formatCode>
                <c:ptCount val="6"/>
                <c:pt idx="0">
                  <c:v>2.6191034962794695</c:v>
                </c:pt>
                <c:pt idx="1">
                  <c:v>0.64716301244011798</c:v>
                </c:pt>
                <c:pt idx="2">
                  <c:v>1.2087044605517352</c:v>
                </c:pt>
                <c:pt idx="3">
                  <c:v>1.9033184688094884</c:v>
                </c:pt>
                <c:pt idx="4">
                  <c:v>1.5615968502425281</c:v>
                </c:pt>
                <c:pt idx="5">
                  <c:v>1.3052120731322618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4E7-4408-9F07-E957EA5AF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717648"/>
        <c:axId val="323718040"/>
      </c:barChart>
      <c:lineChart>
        <c:grouping val="standard"/>
        <c:varyColors val="0"/>
        <c:ser>
          <c:idx val="2"/>
          <c:order val="4"/>
          <c:tx>
            <c:strRef>
              <c:f>'Graf 13+14 '!$I$8</c:f>
              <c:strCache>
                <c:ptCount val="1"/>
                <c:pt idx="0">
                  <c:v>HDP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13+14 '!$J$3:$O$3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'!$J$8:$O$8</c:f>
              <c:numCache>
                <c:formatCode>0.0</c:formatCode>
                <c:ptCount val="6"/>
                <c:pt idx="0">
                  <c:v>3.3246952959640259</c:v>
                </c:pt>
                <c:pt idx="1">
                  <c:v>3.400166311079853</c:v>
                </c:pt>
                <c:pt idx="2">
                  <c:v>4.2132237559521277</c:v>
                </c:pt>
                <c:pt idx="3">
                  <c:v>4.508207530067156</c:v>
                </c:pt>
                <c:pt idx="4">
                  <c:v>3.8741085149651724</c:v>
                </c:pt>
                <c:pt idx="5">
                  <c:v>3.3915538796868949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14E7-4408-9F07-E957EA5AF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717648"/>
        <c:axId val="323718040"/>
      </c:lineChart>
      <c:catAx>
        <c:axId val="32371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3718040"/>
        <c:crosses val="autoZero"/>
        <c:auto val="1"/>
        <c:lblAlgn val="ctr"/>
        <c:lblOffset val="100"/>
        <c:noMultiLvlLbl val="0"/>
      </c:catAx>
      <c:valAx>
        <c:axId val="3237180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323717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180035187909203"/>
          <c:y val="3.9351379048048349E-2"/>
          <c:w val="0.77216770980550498"/>
          <c:h val="0.25923180403149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13+14 '!$I$12</c:f>
              <c:strCache>
                <c:ptCount val="1"/>
                <c:pt idx="0">
                  <c:v>Poľnohospodárstvo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'!$J$12:$O$12</c:f>
              <c:numCache>
                <c:formatCode>0.0</c:formatCode>
                <c:ptCount val="6"/>
                <c:pt idx="0">
                  <c:v>-3.5728510954757917E-2</c:v>
                </c:pt>
                <c:pt idx="1">
                  <c:v>-7.225181372732789E-2</c:v>
                </c:pt>
                <c:pt idx="2">
                  <c:v>-2.9872829913803342E-2</c:v>
                </c:pt>
                <c:pt idx="3">
                  <c:v>-4.0049121146732772E-2</c:v>
                </c:pt>
                <c:pt idx="4">
                  <c:v>-2.8399653556097616E-2</c:v>
                </c:pt>
                <c:pt idx="5">
                  <c:v>-2.7832514581210419E-2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DC-4243-8096-7290CA3A74AC}"/>
            </c:ext>
          </c:extLst>
        </c:ser>
        <c:ser>
          <c:idx val="8"/>
          <c:order val="1"/>
          <c:tx>
            <c:strRef>
              <c:f>'Graf 13+14 '!$I$13</c:f>
              <c:strCache>
                <c:ptCount val="1"/>
                <c:pt idx="0">
                  <c:v>Priemysel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'!$J$13:$O$13</c:f>
              <c:numCache>
                <c:formatCode>0.0</c:formatCode>
                <c:ptCount val="6"/>
                <c:pt idx="0">
                  <c:v>0.79052638682861953</c:v>
                </c:pt>
                <c:pt idx="1">
                  <c:v>0.93160463221586653</c:v>
                </c:pt>
                <c:pt idx="2">
                  <c:v>0.5197045713025833</c:v>
                </c:pt>
                <c:pt idx="3">
                  <c:v>0.34220449896117455</c:v>
                </c:pt>
                <c:pt idx="4">
                  <c:v>0.31910260957074382</c:v>
                </c:pt>
                <c:pt idx="5">
                  <c:v>0.23138143540308406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DDC-4243-8096-7290CA3A74AC}"/>
            </c:ext>
          </c:extLst>
        </c:ser>
        <c:ser>
          <c:idx val="0"/>
          <c:order val="2"/>
          <c:tx>
            <c:strRef>
              <c:f>'Graf 13+14 '!$I$16</c:f>
              <c:strCache>
                <c:ptCount val="1"/>
                <c:pt idx="0">
                  <c:v>Stavebníctvo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'!$J$14:$O$14</c:f>
              <c:numCache>
                <c:formatCode>0.0</c:formatCode>
                <c:ptCount val="6"/>
                <c:pt idx="0">
                  <c:v>0.13153385144085269</c:v>
                </c:pt>
                <c:pt idx="1">
                  <c:v>0.1266668648529177</c:v>
                </c:pt>
                <c:pt idx="2">
                  <c:v>0.10436628677512108</c:v>
                </c:pt>
                <c:pt idx="3">
                  <c:v>8.360141863857079E-2</c:v>
                </c:pt>
                <c:pt idx="4">
                  <c:v>8.5486783103890851E-2</c:v>
                </c:pt>
                <c:pt idx="5">
                  <c:v>5.3525867302513935E-2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DDC-4243-8096-7290CA3A74AC}"/>
            </c:ext>
          </c:extLst>
        </c:ser>
        <c:ser>
          <c:idx val="1"/>
          <c:order val="3"/>
          <c:tx>
            <c:strRef>
              <c:f>'Graf 13+14 '!$I$15</c:f>
              <c:strCache>
                <c:ptCount val="1"/>
                <c:pt idx="0">
                  <c:v>Verejný sektor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'!$J$15:$O$15</c:f>
              <c:numCache>
                <c:formatCode>0.0</c:formatCode>
                <c:ptCount val="6"/>
                <c:pt idx="0">
                  <c:v>0.25556912650848129</c:v>
                </c:pt>
                <c:pt idx="1">
                  <c:v>0.18327919832799822</c:v>
                </c:pt>
                <c:pt idx="2">
                  <c:v>0.20325555187604982</c:v>
                </c:pt>
                <c:pt idx="3">
                  <c:v>9.9783064963043788E-2</c:v>
                </c:pt>
                <c:pt idx="4">
                  <c:v>7.2005926927326089E-2</c:v>
                </c:pt>
                <c:pt idx="5">
                  <c:v>4.7165352895757399E-2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DDC-4243-8096-7290CA3A74AC}"/>
            </c:ext>
          </c:extLst>
        </c:ser>
        <c:ser>
          <c:idx val="2"/>
          <c:order val="4"/>
          <c:tx>
            <c:strRef>
              <c:f>'Graf 13+14 '!$I$14</c:f>
              <c:strCache>
                <c:ptCount val="1"/>
                <c:pt idx="0">
                  <c:v>Trhové služby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'!$J$16:$O$16</c:f>
              <c:numCache>
                <c:formatCode>0.0</c:formatCode>
                <c:ptCount val="6"/>
                <c:pt idx="0">
                  <c:v>1.2378826314004245</c:v>
                </c:pt>
                <c:pt idx="1">
                  <c:v>1.0369018491208073</c:v>
                </c:pt>
                <c:pt idx="2">
                  <c:v>0.84238308507058535</c:v>
                </c:pt>
                <c:pt idx="3">
                  <c:v>0.55959346810949406</c:v>
                </c:pt>
                <c:pt idx="4">
                  <c:v>0.56911248445963425</c:v>
                </c:pt>
                <c:pt idx="5">
                  <c:v>0.35541039318337531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DDC-4243-8096-7290CA3A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415896"/>
        <c:axId val="323416288"/>
      </c:barChart>
      <c:lineChart>
        <c:grouping val="standard"/>
        <c:varyColors val="0"/>
        <c:ser>
          <c:idx val="3"/>
          <c:order val="5"/>
          <c:tx>
            <c:strRef>
              <c:f>'Graf 13+14 '!$I$17</c:f>
              <c:strCache>
                <c:ptCount val="1"/>
                <c:pt idx="0">
                  <c:v>Hospodárstvo spolu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'!$J$17:$O$17</c:f>
              <c:numCache>
                <c:formatCode>0.0</c:formatCode>
                <c:ptCount val="6"/>
                <c:pt idx="0">
                  <c:v>2.3797834852236246</c:v>
                </c:pt>
                <c:pt idx="1">
                  <c:v>2.2062007307902736</c:v>
                </c:pt>
                <c:pt idx="2">
                  <c:v>1.6398366651105285</c:v>
                </c:pt>
                <c:pt idx="3">
                  <c:v>1.045133329525552</c:v>
                </c:pt>
                <c:pt idx="4">
                  <c:v>1.0173081505054926</c:v>
                </c:pt>
                <c:pt idx="5">
                  <c:v>0.65965053420352027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DDC-4243-8096-7290CA3A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415896"/>
        <c:axId val="323416288"/>
      </c:lineChart>
      <c:catAx>
        <c:axId val="323415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3416288"/>
        <c:crosses val="autoZero"/>
        <c:auto val="1"/>
        <c:lblAlgn val="ctr"/>
        <c:lblOffset val="100"/>
        <c:noMultiLvlLbl val="0"/>
      </c:catAx>
      <c:valAx>
        <c:axId val="32341628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3234158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147517425194633"/>
          <c:y val="5.9291459643332128E-2"/>
          <c:w val="0.66206966334588302"/>
          <c:h val="0.3115789112074084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82106259115597957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13+14 '!$I$21</c:f>
              <c:strCache>
                <c:ptCount val="1"/>
                <c:pt idx="0">
                  <c:v>Consumption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13+14 '!$J$3:$N$3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</c:strCache>
            </c:strRef>
          </c:cat>
          <c:val>
            <c:numRef>
              <c:f>'Graf 13+14 '!$J$4:$N$4</c:f>
              <c:numCache>
                <c:formatCode>0.0</c:formatCode>
                <c:ptCount val="5"/>
                <c:pt idx="0">
                  <c:v>1.6933512944270857</c:v>
                </c:pt>
                <c:pt idx="1">
                  <c:v>1.8939014564087233</c:v>
                </c:pt>
                <c:pt idx="2">
                  <c:v>1.9239372997765176</c:v>
                </c:pt>
                <c:pt idx="3">
                  <c:v>1.8652012077972162</c:v>
                </c:pt>
                <c:pt idx="4">
                  <c:v>1.6083224901822724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18-41C8-BB54-2617797A2304}"/>
            </c:ext>
          </c:extLst>
        </c:ser>
        <c:ser>
          <c:idx val="8"/>
          <c:order val="1"/>
          <c:tx>
            <c:strRef>
              <c:f>'Graf 13+14 '!$I$22</c:f>
              <c:strCache>
                <c:ptCount val="1"/>
                <c:pt idx="0">
                  <c:v>Investment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13+14 '!$J$3:$N$3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</c:strCache>
            </c:strRef>
          </c:cat>
          <c:val>
            <c:numRef>
              <c:f>'Graf 13+14 '!$J$5:$N$5</c:f>
              <c:numCache>
                <c:formatCode>0.0</c:formatCode>
                <c:ptCount val="5"/>
                <c:pt idx="0">
                  <c:v>-2.0173757423893468</c:v>
                </c:pt>
                <c:pt idx="1">
                  <c:v>0.69121935496180387</c:v>
                </c:pt>
                <c:pt idx="2">
                  <c:v>1.130085258809103</c:v>
                </c:pt>
                <c:pt idx="3">
                  <c:v>0.72441195426799188</c:v>
                </c:pt>
                <c:pt idx="4">
                  <c:v>0.71926186848377593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18-41C8-BB54-2617797A2304}"/>
            </c:ext>
          </c:extLst>
        </c:ser>
        <c:ser>
          <c:idx val="0"/>
          <c:order val="2"/>
          <c:tx>
            <c:strRef>
              <c:f>'Graf 13+14 '!$I$23</c:f>
              <c:strCache>
                <c:ptCount val="1"/>
                <c:pt idx="0">
                  <c:v>Inventories and disc.</c:v>
                </c:pt>
              </c:strCache>
            </c:strRef>
          </c:tx>
          <c:invertIfNegative val="0"/>
          <c:cat>
            <c:strRef>
              <c:f>'Graf 13+14 '!$J$3:$N$3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</c:strCache>
            </c:strRef>
          </c:cat>
          <c:val>
            <c:numRef>
              <c:f>'Graf 13+14 '!$J$6:$N$6</c:f>
              <c:numCache>
                <c:formatCode>0.0</c:formatCode>
                <c:ptCount val="5"/>
                <c:pt idx="0">
                  <c:v>1.0296162476468176</c:v>
                </c:pt>
                <c:pt idx="1">
                  <c:v>0.16788248726920785</c:v>
                </c:pt>
                <c:pt idx="2">
                  <c:v>-4.9503263185228352E-2</c:v>
                </c:pt>
                <c:pt idx="3">
                  <c:v>1.527589919245953E-2</c:v>
                </c:pt>
                <c:pt idx="4">
                  <c:v>-1.5072693943404047E-2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B18-41C8-BB54-2617797A2304}"/>
            </c:ext>
          </c:extLst>
        </c:ser>
        <c:ser>
          <c:idx val="1"/>
          <c:order val="3"/>
          <c:tx>
            <c:strRef>
              <c:f>'Graf 13+14 '!$I$24</c:f>
              <c:strCache>
                <c:ptCount val="1"/>
                <c:pt idx="0">
                  <c:v>Net export</c:v>
                </c:pt>
              </c:strCache>
            </c:strRef>
          </c:tx>
          <c:invertIfNegative val="0"/>
          <c:cat>
            <c:strRef>
              <c:f>'Graf 13+14 '!$J$3:$N$3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</c:strCache>
            </c:strRef>
          </c:cat>
          <c:val>
            <c:numRef>
              <c:f>'Graf 13+14 '!$J$7:$N$7</c:f>
              <c:numCache>
                <c:formatCode>0.0</c:formatCode>
                <c:ptCount val="5"/>
                <c:pt idx="0">
                  <c:v>2.6191034962794695</c:v>
                </c:pt>
                <c:pt idx="1">
                  <c:v>0.64716301244011798</c:v>
                </c:pt>
                <c:pt idx="2">
                  <c:v>1.2087044605517352</c:v>
                </c:pt>
                <c:pt idx="3">
                  <c:v>1.9033184688094884</c:v>
                </c:pt>
                <c:pt idx="4">
                  <c:v>1.5615968502425281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B18-41C8-BB54-2617797A2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417072"/>
        <c:axId val="323417464"/>
      </c:barChart>
      <c:lineChart>
        <c:grouping val="standard"/>
        <c:varyColors val="0"/>
        <c:ser>
          <c:idx val="2"/>
          <c:order val="4"/>
          <c:tx>
            <c:strRef>
              <c:f>'Graf 13+14 '!$I$25</c:f>
              <c:strCache>
                <c:ptCount val="1"/>
                <c:pt idx="0">
                  <c:v>GDP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13+14 '!$J$3:$N$3</c:f>
              <c:strCache>
                <c:ptCount val="5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</c:strCache>
            </c:strRef>
          </c:cat>
          <c:val>
            <c:numRef>
              <c:f>'Graf 13+14 '!$J$8:$N$8</c:f>
              <c:numCache>
                <c:formatCode>0.0</c:formatCode>
                <c:ptCount val="5"/>
                <c:pt idx="0">
                  <c:v>3.3246952959640259</c:v>
                </c:pt>
                <c:pt idx="1">
                  <c:v>3.400166311079853</c:v>
                </c:pt>
                <c:pt idx="2">
                  <c:v>4.2132237559521277</c:v>
                </c:pt>
                <c:pt idx="3">
                  <c:v>4.508207530067156</c:v>
                </c:pt>
                <c:pt idx="4">
                  <c:v>3.8741085149651724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B18-41C8-BB54-2617797A2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417072"/>
        <c:axId val="323417464"/>
      </c:lineChart>
      <c:catAx>
        <c:axId val="323417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3417464"/>
        <c:crosses val="autoZero"/>
        <c:auto val="1"/>
        <c:lblAlgn val="ctr"/>
        <c:lblOffset val="100"/>
        <c:noMultiLvlLbl val="0"/>
      </c:catAx>
      <c:valAx>
        <c:axId val="3234174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323417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2180035187909203"/>
          <c:y val="3.9351379048048349E-2"/>
          <c:w val="0.77216770980550498"/>
          <c:h val="0.2592318040314969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4.8823828544190706E-2"/>
          <c:w val="0.89093095636884034"/>
          <c:h val="0.8574813731962651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13+14 '!$I$29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'!$J$12:$O$12</c:f>
              <c:numCache>
                <c:formatCode>0.0</c:formatCode>
                <c:ptCount val="6"/>
                <c:pt idx="0">
                  <c:v>-3.5728510954757917E-2</c:v>
                </c:pt>
                <c:pt idx="1">
                  <c:v>-7.225181372732789E-2</c:v>
                </c:pt>
                <c:pt idx="2">
                  <c:v>-2.9872829913803342E-2</c:v>
                </c:pt>
                <c:pt idx="3">
                  <c:v>-4.0049121146732772E-2</c:v>
                </c:pt>
                <c:pt idx="4">
                  <c:v>-2.8399653556097616E-2</c:v>
                </c:pt>
                <c:pt idx="5">
                  <c:v>-2.7832514581210419E-2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589-424E-9543-11F901F971A2}"/>
            </c:ext>
          </c:extLst>
        </c:ser>
        <c:ser>
          <c:idx val="8"/>
          <c:order val="1"/>
          <c:tx>
            <c:strRef>
              <c:f>'Graf 13+14 '!$I$30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C6D9F1"/>
            </a:solidFill>
            <a:ln>
              <a:noFill/>
            </a:ln>
          </c:spPr>
          <c:invertIfNegative val="0"/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'!$J$13:$O$13</c:f>
              <c:numCache>
                <c:formatCode>0.0</c:formatCode>
                <c:ptCount val="6"/>
                <c:pt idx="0">
                  <c:v>0.79052638682861953</c:v>
                </c:pt>
                <c:pt idx="1">
                  <c:v>0.93160463221586653</c:v>
                </c:pt>
                <c:pt idx="2">
                  <c:v>0.5197045713025833</c:v>
                </c:pt>
                <c:pt idx="3">
                  <c:v>0.34220449896117455</c:v>
                </c:pt>
                <c:pt idx="4">
                  <c:v>0.31910260957074382</c:v>
                </c:pt>
                <c:pt idx="5">
                  <c:v>0.23138143540308406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589-424E-9543-11F901F971A2}"/>
            </c:ext>
          </c:extLst>
        </c:ser>
        <c:ser>
          <c:idx val="0"/>
          <c:order val="2"/>
          <c:tx>
            <c:strRef>
              <c:f>'Graf 13+14 '!$I$33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'!$J$14:$O$14</c:f>
              <c:numCache>
                <c:formatCode>0.0</c:formatCode>
                <c:ptCount val="6"/>
                <c:pt idx="0">
                  <c:v>0.13153385144085269</c:v>
                </c:pt>
                <c:pt idx="1">
                  <c:v>0.1266668648529177</c:v>
                </c:pt>
                <c:pt idx="2">
                  <c:v>0.10436628677512108</c:v>
                </c:pt>
                <c:pt idx="3">
                  <c:v>8.360141863857079E-2</c:v>
                </c:pt>
                <c:pt idx="4">
                  <c:v>8.5486783103890851E-2</c:v>
                </c:pt>
                <c:pt idx="5">
                  <c:v>5.3525867302513935E-2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589-424E-9543-11F901F971A2}"/>
            </c:ext>
          </c:extLst>
        </c:ser>
        <c:ser>
          <c:idx val="1"/>
          <c:order val="3"/>
          <c:tx>
            <c:strRef>
              <c:f>'Graf 13+14 '!$I$32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9E9E9E"/>
            </a:solidFill>
          </c:spPr>
          <c:invertIfNegative val="0"/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'!$J$15:$O$15</c:f>
              <c:numCache>
                <c:formatCode>0.0</c:formatCode>
                <c:ptCount val="6"/>
                <c:pt idx="0">
                  <c:v>0.25556912650848129</c:v>
                </c:pt>
                <c:pt idx="1">
                  <c:v>0.18327919832799822</c:v>
                </c:pt>
                <c:pt idx="2">
                  <c:v>0.20325555187604982</c:v>
                </c:pt>
                <c:pt idx="3">
                  <c:v>9.9783064963043788E-2</c:v>
                </c:pt>
                <c:pt idx="4">
                  <c:v>7.2005926927326089E-2</c:v>
                </c:pt>
                <c:pt idx="5">
                  <c:v>4.7165352895757399E-2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589-424E-9543-11F901F971A2}"/>
            </c:ext>
          </c:extLst>
        </c:ser>
        <c:ser>
          <c:idx val="2"/>
          <c:order val="4"/>
          <c:tx>
            <c:strRef>
              <c:f>'Graf 13+14 '!$I$31</c:f>
              <c:strCache>
                <c:ptCount val="1"/>
                <c:pt idx="0">
                  <c:v>Market services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'!$J$16:$O$16</c:f>
              <c:numCache>
                <c:formatCode>0.0</c:formatCode>
                <c:ptCount val="6"/>
                <c:pt idx="0">
                  <c:v>1.2378826314004245</c:v>
                </c:pt>
                <c:pt idx="1">
                  <c:v>1.0369018491208073</c:v>
                </c:pt>
                <c:pt idx="2">
                  <c:v>0.84238308507058535</c:v>
                </c:pt>
                <c:pt idx="3">
                  <c:v>0.55959346810949406</c:v>
                </c:pt>
                <c:pt idx="4">
                  <c:v>0.56911248445963425</c:v>
                </c:pt>
                <c:pt idx="5">
                  <c:v>0.35541039318337531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589-424E-9543-11F901F97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418248"/>
        <c:axId val="323418640"/>
      </c:barChart>
      <c:lineChart>
        <c:grouping val="standard"/>
        <c:varyColors val="0"/>
        <c:ser>
          <c:idx val="3"/>
          <c:order val="5"/>
          <c:tx>
            <c:strRef>
              <c:f>'Graf 13+14 '!$I$34</c:f>
              <c:strCache>
                <c:ptCount val="1"/>
                <c:pt idx="0">
                  <c:v>Total economy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13+14 '!$J$11:$O$11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13+14 '!$J$17:$O$17</c:f>
              <c:numCache>
                <c:formatCode>0.0</c:formatCode>
                <c:ptCount val="6"/>
                <c:pt idx="0">
                  <c:v>2.3797834852236246</c:v>
                </c:pt>
                <c:pt idx="1">
                  <c:v>2.2062007307902736</c:v>
                </c:pt>
                <c:pt idx="2">
                  <c:v>1.6398366651105285</c:v>
                </c:pt>
                <c:pt idx="3">
                  <c:v>1.045133329525552</c:v>
                </c:pt>
                <c:pt idx="4">
                  <c:v>1.0173081505054926</c:v>
                </c:pt>
                <c:pt idx="5">
                  <c:v>0.65965053420352027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3589-424E-9543-11F901F97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418248"/>
        <c:axId val="323418640"/>
      </c:lineChart>
      <c:catAx>
        <c:axId val="323418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3418640"/>
        <c:crosses val="autoZero"/>
        <c:auto val="1"/>
        <c:lblAlgn val="ctr"/>
        <c:lblOffset val="100"/>
        <c:noMultiLvlLbl val="0"/>
      </c:catAx>
      <c:valAx>
        <c:axId val="32341864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323418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3349656395337829"/>
          <c:y val="7.8374139505067979E-3"/>
          <c:w val="0.66206966334588302"/>
          <c:h val="0.31157891120740849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1+2'!$A$45</c:f>
              <c:strCache>
                <c:ptCount val="1"/>
                <c:pt idx="0">
                  <c:v>Gemeral government balance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1+2'!$B$44:$G$44</c:f>
              <c:strCache>
                <c:ptCount val="6"/>
                <c:pt idx="0">
                  <c:v>2016*</c:v>
                </c:pt>
                <c:pt idx="1">
                  <c:v>2017**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 1+2'!$B$45:$G$45</c:f>
              <c:numCache>
                <c:formatCode>0.00</c:formatCode>
                <c:ptCount val="6"/>
                <c:pt idx="0">
                  <c:v>-2.2064959832030882</c:v>
                </c:pt>
                <c:pt idx="1">
                  <c:v>-1.0407271892731618</c:v>
                </c:pt>
                <c:pt idx="2">
                  <c:v>-0.79910212580028939</c:v>
                </c:pt>
                <c:pt idx="3">
                  <c:v>-0.31517668539133092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DE-407C-9066-7145BF7017C8}"/>
            </c:ext>
          </c:extLst>
        </c:ser>
        <c:ser>
          <c:idx val="3"/>
          <c:order val="3"/>
          <c:tx>
            <c:strRef>
              <c:f>'Graf 1+2'!$A$46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1+2'!$B$44:$G$44</c:f>
              <c:strCache>
                <c:ptCount val="6"/>
                <c:pt idx="0">
                  <c:v>2016*</c:v>
                </c:pt>
                <c:pt idx="1">
                  <c:v>2017**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strCache>
            </c:strRef>
          </c:cat>
          <c:val>
            <c:numRef>
              <c:f>'Graf 1+2'!$B$46:$G$46</c:f>
              <c:numCache>
                <c:formatCode>0.00</c:formatCode>
                <c:ptCount val="6"/>
                <c:pt idx="0">
                  <c:v>-2.0362071520030711</c:v>
                </c:pt>
                <c:pt idx="1">
                  <c:v>-1.0769884619963133</c:v>
                </c:pt>
                <c:pt idx="2">
                  <c:v>-1.0219281882893039</c:v>
                </c:pt>
                <c:pt idx="3">
                  <c:v>-0.7476754017966265</c:v>
                </c:pt>
                <c:pt idx="4">
                  <c:v>-0.42765578470995369</c:v>
                </c:pt>
                <c:pt idx="5">
                  <c:v>-0.31261420543608148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7DE-407C-9066-7145BF701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0891856"/>
        <c:axId val="32089224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1+2'!$B$44:$G$44</c15:sqref>
                        </c15:formulaRef>
                      </c:ext>
                    </c:extLst>
                    <c:strCache>
                      <c:ptCount val="6"/>
                      <c:pt idx="0">
                        <c:v>2016*</c:v>
                      </c:pt>
                      <c:pt idx="1">
                        <c:v>2017**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strCache>
                  </c:strRef>
                </c:cat>
                <c:val>
                  <c:numLit>
                    <c:formatCode>General</c:formatCode>
                    <c:ptCount val="6"/>
                    <c:pt idx="0">
                      <c:v>-0.76824761672633235</c:v>
                    </c:pt>
                    <c:pt idx="1">
                      <c:v>-0.48303497501143366</c:v>
                    </c:pt>
                    <c:pt idx="2">
                      <c:v>-0.40937913778683582</c:v>
                    </c:pt>
                    <c:pt idx="3">
                      <c:v>-0.26601868576682675</c:v>
                    </c:pt>
                    <c:pt idx="4">
                      <c:v>8.2188494979382049E-2</c:v>
                    </c:pt>
                    <c:pt idx="5">
                      <c:v>0.65512676216840304</c:v>
                    </c:pt>
                  </c:numLit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87DE-407C-9066-7145BF7017C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1+2'!$B$44:$G$44</c15:sqref>
                        </c15:formulaRef>
                      </c:ext>
                    </c:extLst>
                    <c:strCache>
                      <c:ptCount val="6"/>
                      <c:pt idx="0">
                        <c:v>2016*</c:v>
                      </c:pt>
                      <c:pt idx="1">
                        <c:v>2017**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strCache>
                  </c:strRef>
                </c:cat>
                <c:val>
                  <c:numLit>
                    <c:formatCode>General</c:formatCode>
                    <c:ptCount val="6"/>
                    <c:pt idx="0">
                      <c:v>-1.2519740276885707E-3</c:v>
                    </c:pt>
                    <c:pt idx="1">
                      <c:v>-0.31213125928600882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5-87DE-407C-9066-7145BF7017C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1+2'!$B$44:$G$44</c15:sqref>
                        </c15:formulaRef>
                      </c:ext>
                    </c:extLst>
                    <c:strCache>
                      <c:ptCount val="6"/>
                      <c:pt idx="0">
                        <c:v>2016*</c:v>
                      </c:pt>
                      <c:pt idx="1">
                        <c:v>2017**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strCache>
                  </c:strRef>
                </c:cat>
                <c:val>
                  <c:numLit>
                    <c:formatCode>General</c:formatCode>
                    <c:ptCount val="6"/>
                    <c:pt idx="0">
                      <c:v>0.4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7-87DE-407C-9066-7145BF7017C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6"/>
          <c:order val="6"/>
          <c:tx>
            <c:strRef>
              <c:f>'Graf 1+2'!$A$47</c:f>
              <c:strCache>
                <c:ptCount val="1"/>
                <c:pt idx="0">
                  <c:v>Consolidation effort EC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1.0532215629464728E-2"/>
                  <c:y val="-5.552460317460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87DE-407C-9066-7145BF7017C8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'Graf 1+2'!$B$47:$G$47</c:f>
              <c:numCache>
                <c:formatCode>0.00</c:formatCode>
                <c:ptCount val="6"/>
                <c:pt idx="0">
                  <c:v>0.75179018100000006</c:v>
                </c:pt>
                <c:pt idx="1">
                  <c:v>0.95921869000675786</c:v>
                </c:pt>
                <c:pt idx="2">
                  <c:v>5.5060273707009388E-2</c:v>
                </c:pt>
                <c:pt idx="3">
                  <c:v>0.27425278649267737</c:v>
                </c:pt>
                <c:pt idx="4">
                  <c:v>0.32001961708667281</c:v>
                </c:pt>
                <c:pt idx="5">
                  <c:v>0.11504157927387221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7DE-407C-9066-7145BF7017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91856"/>
        <c:axId val="320892248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#ODKAZ!</c:v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General</c:formatCode>
                    <c:ptCount val="6"/>
                    <c:pt idx="0">
                      <c:v>2014</c:v>
                    </c:pt>
                    <c:pt idx="1">
                      <c:v>2015</c:v>
                    </c:pt>
                    <c:pt idx="2">
                      <c:v>2016</c:v>
                    </c:pt>
                    <c:pt idx="3">
                      <c:v>2017</c:v>
                    </c:pt>
                    <c:pt idx="4">
                      <c:v>2018</c:v>
                    </c:pt>
                    <c:pt idx="5">
                      <c:v>2019</c:v>
                    </c:pt>
                  </c:numLit>
                </c:cat>
                <c:val>
                  <c:numLit>
                    <c:formatCode>General</c:formatCode>
                    <c:ptCount val="6"/>
                    <c:pt idx="0">
                      <c:v>-0.36519077765016172</c:v>
                    </c:pt>
                    <c:pt idx="1">
                      <c:v>-0.25433335645657884</c:v>
                    </c:pt>
                    <c:pt idx="2">
                      <c:v>0.4542129034893938</c:v>
                    </c:pt>
                    <c:pt idx="3">
                      <c:v>0.69663954797999073</c:v>
                    </c:pt>
                    <c:pt idx="4">
                      <c:v>0.50179281925379127</c:v>
                    </c:pt>
                    <c:pt idx="5">
                      <c:v>2.2188494979382023E-2</c:v>
                    </c:pt>
                  </c:numLit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6-87DE-407C-9066-7145BF7017C8}"/>
                  </c:ext>
                </c:extLst>
              </c15:ser>
            </c15:filteredLineSeries>
          </c:ext>
        </c:extLst>
      </c:lineChart>
      <c:catAx>
        <c:axId val="32089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892248"/>
        <c:crosses val="autoZero"/>
        <c:auto val="1"/>
        <c:lblAlgn val="ctr"/>
        <c:lblOffset val="100"/>
        <c:noMultiLvlLbl val="0"/>
      </c:catAx>
      <c:valAx>
        <c:axId val="320892248"/>
        <c:scaling>
          <c:orientation val="minMax"/>
          <c:max val="1.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89185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0.14667589005718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558438681403356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15+16 '!$I$5</c:f>
              <c:strCache>
                <c:ptCount val="1"/>
                <c:pt idx="0">
                  <c:v>Tovary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15+16 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'!$Q$5:$V$5</c:f>
              <c:numCache>
                <c:formatCode>0.0</c:formatCode>
                <c:ptCount val="6"/>
                <c:pt idx="0">
                  <c:v>2.0173660015580932</c:v>
                </c:pt>
                <c:pt idx="1">
                  <c:v>0.98274196521201418</c:v>
                </c:pt>
                <c:pt idx="2">
                  <c:v>2.0264151228643468</c:v>
                </c:pt>
                <c:pt idx="3">
                  <c:v>3.3263156500840836</c:v>
                </c:pt>
                <c:pt idx="4">
                  <c:v>4.2437065214693188</c:v>
                </c:pt>
                <c:pt idx="5">
                  <c:v>4.8222286295263279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C5-4097-9BEB-240D97A3F50F}"/>
            </c:ext>
          </c:extLst>
        </c:ser>
        <c:ser>
          <c:idx val="8"/>
          <c:order val="1"/>
          <c:tx>
            <c:strRef>
              <c:f>'Graf 15+16 '!$I$6</c:f>
              <c:strCache>
                <c:ptCount val="1"/>
                <c:pt idx="0">
                  <c:v>Služby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15+16 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'!$Q$6:$V$6</c:f>
              <c:numCache>
                <c:formatCode>0.0</c:formatCode>
                <c:ptCount val="6"/>
                <c:pt idx="0">
                  <c:v>0.56124367003628617</c:v>
                </c:pt>
                <c:pt idx="1">
                  <c:v>0.97369904159303522</c:v>
                </c:pt>
                <c:pt idx="2">
                  <c:v>0.2553236519712172</c:v>
                </c:pt>
                <c:pt idx="3">
                  <c:v>0.14378649102811372</c:v>
                </c:pt>
                <c:pt idx="4">
                  <c:v>0.12733698947102248</c:v>
                </c:pt>
                <c:pt idx="5">
                  <c:v>0.18444150564755354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9C5-4097-9BEB-240D97A3F50F}"/>
            </c:ext>
          </c:extLst>
        </c:ser>
        <c:ser>
          <c:idx val="0"/>
          <c:order val="2"/>
          <c:tx>
            <c:strRef>
              <c:f>'Graf 15+16 '!$I$7</c:f>
              <c:strCache>
                <c:ptCount val="1"/>
                <c:pt idx="0">
                  <c:v>Primárne výnosy</c:v>
                </c:pt>
              </c:strCache>
            </c:strRef>
          </c:tx>
          <c:invertIfNegative val="0"/>
          <c:cat>
            <c:strRef>
              <c:f>'Graf 15+16 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'!$Q$7:$V$7</c:f>
              <c:numCache>
                <c:formatCode>0.0</c:formatCode>
                <c:ptCount val="6"/>
                <c:pt idx="0">
                  <c:v>-2.3490299592086394</c:v>
                </c:pt>
                <c:pt idx="1">
                  <c:v>-2.2390677189974442</c:v>
                </c:pt>
                <c:pt idx="2">
                  <c:v>-2.4</c:v>
                </c:pt>
                <c:pt idx="3">
                  <c:v>-2.7</c:v>
                </c:pt>
                <c:pt idx="4">
                  <c:v>-3</c:v>
                </c:pt>
                <c:pt idx="5">
                  <c:v>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9C5-4097-9BEB-240D97A3F50F}"/>
            </c:ext>
          </c:extLst>
        </c:ser>
        <c:ser>
          <c:idx val="1"/>
          <c:order val="3"/>
          <c:tx>
            <c:strRef>
              <c:f>'Graf 15+16 '!$I$8</c:f>
              <c:strCache>
                <c:ptCount val="1"/>
                <c:pt idx="0">
                  <c:v>Sekundárne výnosy</c:v>
                </c:pt>
              </c:strCache>
            </c:strRef>
          </c:tx>
          <c:invertIfNegative val="0"/>
          <c:cat>
            <c:strRef>
              <c:f>'Graf 15+16 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'!$Q$8:$V$8</c:f>
              <c:numCache>
                <c:formatCode>0.0</c:formatCode>
                <c:ptCount val="6"/>
                <c:pt idx="0">
                  <c:v>-1.6868553287956376</c:v>
                </c:pt>
                <c:pt idx="1">
                  <c:v>-1.4966136688848097</c:v>
                </c:pt>
                <c:pt idx="2">
                  <c:v>-1.5</c:v>
                </c:pt>
                <c:pt idx="3">
                  <c:v>-1.5</c:v>
                </c:pt>
                <c:pt idx="4">
                  <c:v>-1.5</c:v>
                </c:pt>
                <c:pt idx="5">
                  <c:v>-1.5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9C5-4097-9BEB-240D97A3F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3419424"/>
        <c:axId val="324251496"/>
      </c:barChart>
      <c:lineChart>
        <c:grouping val="standard"/>
        <c:varyColors val="0"/>
        <c:ser>
          <c:idx val="3"/>
          <c:order val="4"/>
          <c:tx>
            <c:strRef>
              <c:f>'Graf 15+16 '!$I$9</c:f>
              <c:strCache>
                <c:ptCount val="1"/>
                <c:pt idx="0">
                  <c:v>BÚ PB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15+16 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'!$Q$9:$V$9</c:f>
              <c:numCache>
                <c:formatCode>0.0</c:formatCode>
                <c:ptCount val="6"/>
                <c:pt idx="0">
                  <c:v>-1.4572756164098981</c:v>
                </c:pt>
                <c:pt idx="1">
                  <c:v>-1.7792403810772046</c:v>
                </c:pt>
                <c:pt idx="2">
                  <c:v>-1.6182612251644362</c:v>
                </c:pt>
                <c:pt idx="3">
                  <c:v>-0.72989785888780268</c:v>
                </c:pt>
                <c:pt idx="4">
                  <c:v>-0.12895648905965801</c:v>
                </c:pt>
                <c:pt idx="5">
                  <c:v>0.50667013517388204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9C5-4097-9BEB-240D97A3F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3419424"/>
        <c:axId val="324251496"/>
      </c:lineChart>
      <c:catAx>
        <c:axId val="32341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324251496"/>
        <c:crosses val="autoZero"/>
        <c:auto val="1"/>
        <c:lblAlgn val="ctr"/>
        <c:lblOffset val="100"/>
        <c:noMultiLvlLbl val="0"/>
      </c:catAx>
      <c:valAx>
        <c:axId val="32425149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323419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660898376296121E-2"/>
          <c:y val="1.1594789183462156E-2"/>
          <c:w val="0.9104445974671419"/>
          <c:h val="0.211646801030605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98591299275993E-2"/>
          <c:y val="5.9986353855937424E-2"/>
          <c:w val="0.8809365133706113"/>
          <c:h val="0.833955024404612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15+16 '!$I$15</c:f>
              <c:strCache>
                <c:ptCount val="1"/>
                <c:pt idx="0">
                  <c:v>Čistá inflácia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15+16 '!$K$13:$P$13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'!$K$15:$P$15</c:f>
              <c:numCache>
                <c:formatCode>0.0</c:formatCode>
                <c:ptCount val="6"/>
                <c:pt idx="0">
                  <c:v>0.17326684800518732</c:v>
                </c:pt>
                <c:pt idx="1">
                  <c:v>0.8755332671193965</c:v>
                </c:pt>
                <c:pt idx="2">
                  <c:v>1.2554850865322158</c:v>
                </c:pt>
                <c:pt idx="3">
                  <c:v>1.5215490243778111</c:v>
                </c:pt>
                <c:pt idx="4">
                  <c:v>1.7071420709837555</c:v>
                </c:pt>
                <c:pt idx="5">
                  <c:v>1.7891367154547324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8A-4BC1-B3EA-139BB76CDBD5}"/>
            </c:ext>
          </c:extLst>
        </c:ser>
        <c:ser>
          <c:idx val="2"/>
          <c:order val="2"/>
          <c:tx>
            <c:strRef>
              <c:f>'Graf 15+16 '!$I$16</c:f>
              <c:strCache>
                <c:ptCount val="1"/>
                <c:pt idx="0">
                  <c:v>Ceny potravín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strRef>
              <c:f>'Graf 15+16 '!$K$13:$P$13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'!$K$16:$P$16</c:f>
              <c:numCache>
                <c:formatCode>0.0</c:formatCode>
                <c:ptCount val="6"/>
                <c:pt idx="0">
                  <c:v>-0.12327950232979722</c:v>
                </c:pt>
                <c:pt idx="1">
                  <c:v>0.71369693521385291</c:v>
                </c:pt>
                <c:pt idx="2">
                  <c:v>0.4928795830507246</c:v>
                </c:pt>
                <c:pt idx="3">
                  <c:v>0.32259095000665738</c:v>
                </c:pt>
                <c:pt idx="4">
                  <c:v>0.45142076500862338</c:v>
                </c:pt>
                <c:pt idx="5">
                  <c:v>0.52035481367727321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78A-4BC1-B3EA-139BB76CDBD5}"/>
            </c:ext>
          </c:extLst>
        </c:ser>
        <c:ser>
          <c:idx val="3"/>
          <c:order val="3"/>
          <c:tx>
            <c:strRef>
              <c:f>'Graf 15+16 '!$I$17</c:f>
              <c:strCache>
                <c:ptCount val="1"/>
                <c:pt idx="0">
                  <c:v>Regulované ceny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</c:spPr>
          <c:invertIfNegative val="0"/>
          <c:cat>
            <c:strRef>
              <c:f>'Graf 15+16 '!$K$13:$P$13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'!$K$17:$P$17</c:f>
              <c:numCache>
                <c:formatCode>0.0</c:formatCode>
                <c:ptCount val="6"/>
                <c:pt idx="0">
                  <c:v>-0.2461164033808719</c:v>
                </c:pt>
                <c:pt idx="1">
                  <c:v>-0.38336891664329964</c:v>
                </c:pt>
                <c:pt idx="2">
                  <c:v>0.28503070636560962</c:v>
                </c:pt>
                <c:pt idx="3">
                  <c:v>0.18846286030849391</c:v>
                </c:pt>
                <c:pt idx="4">
                  <c:v>3.7887236640763856E-2</c:v>
                </c:pt>
                <c:pt idx="5">
                  <c:v>3.7887236640754843E-2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78A-4BC1-B3EA-139BB76CD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324252280"/>
        <c:axId val="324252672"/>
      </c:barChart>
      <c:lineChart>
        <c:grouping val="standard"/>
        <c:varyColors val="0"/>
        <c:ser>
          <c:idx val="0"/>
          <c:order val="0"/>
          <c:tx>
            <c:strRef>
              <c:f>'Graf 15+16 '!$I$14</c:f>
              <c:strCache>
                <c:ptCount val="1"/>
                <c:pt idx="0">
                  <c:v>Celková inflácia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15+16 '!$K$13:$P$13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'!$K$14:$P$14</c:f>
              <c:numCache>
                <c:formatCode>0.0</c:formatCode>
                <c:ptCount val="6"/>
                <c:pt idx="0">
                  <c:v>-0.51947654708679458</c:v>
                </c:pt>
                <c:pt idx="1">
                  <c:v>1.3067541252434145</c:v>
                </c:pt>
                <c:pt idx="2">
                  <c:v>2.0266667109876568</c:v>
                </c:pt>
                <c:pt idx="3">
                  <c:v>2.0328790754654769</c:v>
                </c:pt>
                <c:pt idx="4">
                  <c:v>2.194873622108795</c:v>
                </c:pt>
                <c:pt idx="5">
                  <c:v>2.3473866130593324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78A-4BC1-B3EA-139BB76CDB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252280"/>
        <c:axId val="324252672"/>
      </c:lineChart>
      <c:catAx>
        <c:axId val="32425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252672"/>
        <c:crosses val="autoZero"/>
        <c:auto val="1"/>
        <c:lblAlgn val="ctr"/>
        <c:lblOffset val="100"/>
        <c:noMultiLvlLbl val="0"/>
      </c:catAx>
      <c:valAx>
        <c:axId val="3242526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252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452714897393729"/>
          <c:y val="0.7407058531332984"/>
          <c:w val="0.77901146860020964"/>
          <c:h val="0.17968724053233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3099679777191692E-2"/>
          <c:y val="8.5242482034935022E-2"/>
          <c:w val="0.89093095636884034"/>
          <c:h val="0.75584386814033566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'Graf 15+16 '!$I$21</c:f>
              <c:strCache>
                <c:ptCount val="1"/>
                <c:pt idx="0">
                  <c:v>Goods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15+16 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'!$Q$5:$V$5</c:f>
              <c:numCache>
                <c:formatCode>0.0</c:formatCode>
                <c:ptCount val="6"/>
                <c:pt idx="0">
                  <c:v>2.0173660015580932</c:v>
                </c:pt>
                <c:pt idx="1">
                  <c:v>0.98274196521201418</c:v>
                </c:pt>
                <c:pt idx="2">
                  <c:v>2.0264151228643468</c:v>
                </c:pt>
                <c:pt idx="3">
                  <c:v>3.3263156500840836</c:v>
                </c:pt>
                <c:pt idx="4">
                  <c:v>4.2437065214693188</c:v>
                </c:pt>
                <c:pt idx="5">
                  <c:v>4.8222286295263279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EA-4929-B95A-0E75AE48D80C}"/>
            </c:ext>
          </c:extLst>
        </c:ser>
        <c:ser>
          <c:idx val="8"/>
          <c:order val="1"/>
          <c:tx>
            <c:strRef>
              <c:f>'Graf 15+16 '!$I$22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'Graf 15+16 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'!$Q$6:$V$6</c:f>
              <c:numCache>
                <c:formatCode>0.0</c:formatCode>
                <c:ptCount val="6"/>
                <c:pt idx="0">
                  <c:v>0.56124367003628617</c:v>
                </c:pt>
                <c:pt idx="1">
                  <c:v>0.97369904159303522</c:v>
                </c:pt>
                <c:pt idx="2">
                  <c:v>0.2553236519712172</c:v>
                </c:pt>
                <c:pt idx="3">
                  <c:v>0.14378649102811372</c:v>
                </c:pt>
                <c:pt idx="4">
                  <c:v>0.12733698947102248</c:v>
                </c:pt>
                <c:pt idx="5">
                  <c:v>0.18444150564755354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EA-4929-B95A-0E75AE48D80C}"/>
            </c:ext>
          </c:extLst>
        </c:ser>
        <c:ser>
          <c:idx val="0"/>
          <c:order val="2"/>
          <c:tx>
            <c:strRef>
              <c:f>'Graf 15+16 '!$I$23</c:f>
              <c:strCache>
                <c:ptCount val="1"/>
                <c:pt idx="0">
                  <c:v>Primary income</c:v>
                </c:pt>
              </c:strCache>
            </c:strRef>
          </c:tx>
          <c:invertIfNegative val="0"/>
          <c:cat>
            <c:strRef>
              <c:f>'Graf 15+16 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'!$Q$7:$V$7</c:f>
              <c:numCache>
                <c:formatCode>0.0</c:formatCode>
                <c:ptCount val="6"/>
                <c:pt idx="0">
                  <c:v>-2.3490299592086394</c:v>
                </c:pt>
                <c:pt idx="1">
                  <c:v>-2.2390677189974442</c:v>
                </c:pt>
                <c:pt idx="2">
                  <c:v>-2.4</c:v>
                </c:pt>
                <c:pt idx="3">
                  <c:v>-2.7</c:v>
                </c:pt>
                <c:pt idx="4">
                  <c:v>-3</c:v>
                </c:pt>
                <c:pt idx="5">
                  <c:v>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6EA-4929-B95A-0E75AE48D80C}"/>
            </c:ext>
          </c:extLst>
        </c:ser>
        <c:ser>
          <c:idx val="1"/>
          <c:order val="3"/>
          <c:tx>
            <c:strRef>
              <c:f>'Graf 15+16 '!$I$24</c:f>
              <c:strCache>
                <c:ptCount val="1"/>
                <c:pt idx="0">
                  <c:v>Secondary income</c:v>
                </c:pt>
              </c:strCache>
            </c:strRef>
          </c:tx>
          <c:invertIfNegative val="0"/>
          <c:cat>
            <c:strRef>
              <c:f>'Graf 15+16 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'!$Q$8:$V$8</c:f>
              <c:numCache>
                <c:formatCode>0.0</c:formatCode>
                <c:ptCount val="6"/>
                <c:pt idx="0">
                  <c:v>-1.6868553287956376</c:v>
                </c:pt>
                <c:pt idx="1">
                  <c:v>-1.4966136688848097</c:v>
                </c:pt>
                <c:pt idx="2">
                  <c:v>-1.5</c:v>
                </c:pt>
                <c:pt idx="3">
                  <c:v>-1.5</c:v>
                </c:pt>
                <c:pt idx="4">
                  <c:v>-1.5</c:v>
                </c:pt>
                <c:pt idx="5">
                  <c:v>-1.5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6EA-4929-B95A-0E75AE48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253456"/>
        <c:axId val="324253848"/>
      </c:barChart>
      <c:lineChart>
        <c:grouping val="standard"/>
        <c:varyColors val="0"/>
        <c:ser>
          <c:idx val="3"/>
          <c:order val="4"/>
          <c:tx>
            <c:strRef>
              <c:f>'Graf 15+16 '!$I$25</c:f>
              <c:strCache>
                <c:ptCount val="1"/>
                <c:pt idx="0">
                  <c:v>CAB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'Graf 15+16 '!$Q$4:$V$4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'!$Q$9:$V$9</c:f>
              <c:numCache>
                <c:formatCode>0.0</c:formatCode>
                <c:ptCount val="6"/>
                <c:pt idx="0">
                  <c:v>-1.4572756164098981</c:v>
                </c:pt>
                <c:pt idx="1">
                  <c:v>-1.7792403810772046</c:v>
                </c:pt>
                <c:pt idx="2">
                  <c:v>-1.6182612251644362</c:v>
                </c:pt>
                <c:pt idx="3">
                  <c:v>-0.72989785888780268</c:v>
                </c:pt>
                <c:pt idx="4">
                  <c:v>-0.12895648905965801</c:v>
                </c:pt>
                <c:pt idx="5">
                  <c:v>0.50667013517388204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6EA-4929-B95A-0E75AE48D8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253456"/>
        <c:axId val="324253848"/>
      </c:lineChart>
      <c:catAx>
        <c:axId val="32425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/>
            </a:pPr>
            <a:endParaRPr lang="sk-SK"/>
          </a:p>
        </c:txPr>
        <c:crossAx val="324253848"/>
        <c:crosses val="autoZero"/>
        <c:auto val="1"/>
        <c:lblAlgn val="ctr"/>
        <c:lblOffset val="100"/>
        <c:noMultiLvlLbl val="0"/>
      </c:catAx>
      <c:valAx>
        <c:axId val="324253848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sk-SK"/>
          </a:p>
        </c:txPr>
        <c:crossAx val="3242534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660898376296121E-2"/>
          <c:y val="1.1594789183462156E-2"/>
          <c:w val="0.9104445974671419"/>
          <c:h val="0.211646801030605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 Narrow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98591299275993E-2"/>
          <c:y val="5.9986353855937424E-2"/>
          <c:w val="0.8809365133706113"/>
          <c:h val="0.833955024404612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15+16 '!$I$31</c:f>
              <c:strCache>
                <c:ptCount val="1"/>
                <c:pt idx="0">
                  <c:v>Net inflation</c:v>
                </c:pt>
              </c:strCache>
            </c:strRef>
          </c:tx>
          <c:spPr>
            <a:solidFill>
              <a:srgbClr val="2C9ADC"/>
            </a:solidFill>
            <a:ln>
              <a:noFill/>
            </a:ln>
            <a:effectLst/>
          </c:spPr>
          <c:invertIfNegative val="0"/>
          <c:cat>
            <c:strRef>
              <c:f>'Graf 15+16 '!$K$13:$P$13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'!$K$31:$P$31</c:f>
              <c:numCache>
                <c:formatCode>0.0</c:formatCode>
                <c:ptCount val="6"/>
                <c:pt idx="0">
                  <c:v>8.6094893216599952E-2</c:v>
                </c:pt>
                <c:pt idx="1">
                  <c:v>0.45892263481685747</c:v>
                </c:pt>
                <c:pt idx="2">
                  <c:v>1.1423262420594484</c:v>
                </c:pt>
                <c:pt idx="3">
                  <c:v>1.2786410817071783</c:v>
                </c:pt>
                <c:pt idx="4">
                  <c:v>1.5725036543301107</c:v>
                </c:pt>
                <c:pt idx="5">
                  <c:v>1.7468263439999665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D2F-4A0F-B3BB-F168BA59D235}"/>
            </c:ext>
          </c:extLst>
        </c:ser>
        <c:ser>
          <c:idx val="2"/>
          <c:order val="2"/>
          <c:tx>
            <c:strRef>
              <c:f>'Graf 15+16 '!$I$32</c:f>
              <c:strCache>
                <c:ptCount val="1"/>
                <c:pt idx="0">
                  <c:v>Food prices</c:v>
                </c:pt>
              </c:strCache>
            </c:strRef>
          </c:tx>
          <c:spPr>
            <a:solidFill>
              <a:srgbClr val="555555"/>
            </a:solidFill>
            <a:ln>
              <a:noFill/>
            </a:ln>
            <a:effectLst/>
          </c:spPr>
          <c:invertIfNegative val="0"/>
          <c:cat>
            <c:strRef>
              <c:f>'Graf 15+16 '!$K$13:$P$13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'!$K$32:$P$32</c:f>
              <c:numCache>
                <c:formatCode>0.0</c:formatCode>
                <c:ptCount val="6"/>
                <c:pt idx="0">
                  <c:v>-6.2469102124757807E-2</c:v>
                </c:pt>
                <c:pt idx="1">
                  <c:v>-0.32652382541412461</c:v>
                </c:pt>
                <c:pt idx="2">
                  <c:v>0.26046912998791155</c:v>
                </c:pt>
                <c:pt idx="3">
                  <c:v>0.16341635069565374</c:v>
                </c:pt>
                <c:pt idx="4">
                  <c:v>0.2831115672470248</c:v>
                </c:pt>
                <c:pt idx="5">
                  <c:v>0.34552307765107626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D2F-4A0F-B3BB-F168BA59D235}"/>
            </c:ext>
          </c:extLst>
        </c:ser>
        <c:ser>
          <c:idx val="3"/>
          <c:order val="3"/>
          <c:tx>
            <c:strRef>
              <c:f>'Graf 15+16 '!$I$33</c:f>
              <c:strCache>
                <c:ptCount val="1"/>
                <c:pt idx="0">
                  <c:v>Regulated prices</c:v>
                </c:pt>
              </c:strCache>
            </c:strRef>
          </c:tx>
          <c:spPr>
            <a:solidFill>
              <a:srgbClr val="BDD7EE"/>
            </a:solidFill>
            <a:ln>
              <a:noFill/>
            </a:ln>
            <a:effectLst/>
          </c:spPr>
          <c:invertIfNegative val="0"/>
          <c:cat>
            <c:strRef>
              <c:f>'Graf 15+16 '!$K$13:$P$13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'!$K$33:$P$33</c:f>
              <c:numCache>
                <c:formatCode>0.0</c:formatCode>
                <c:ptCount val="6"/>
                <c:pt idx="0">
                  <c:v>-0.35237593082336832</c:v>
                </c:pt>
                <c:pt idx="1">
                  <c:v>-0.65187535648952744</c:v>
                </c:pt>
                <c:pt idx="2">
                  <c:v>-0.22899100714636098</c:v>
                </c:pt>
                <c:pt idx="3">
                  <c:v>0.15636274906735162</c:v>
                </c:pt>
                <c:pt idx="4">
                  <c:v>3.8865247884077074E-2</c:v>
                </c:pt>
                <c:pt idx="5">
                  <c:v>3.8805073609469498E-2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D2F-4A0F-B3BB-F168BA59D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overlap val="100"/>
        <c:axId val="324254632"/>
        <c:axId val="324255024"/>
      </c:barChart>
      <c:lineChart>
        <c:grouping val="standard"/>
        <c:varyColors val="0"/>
        <c:ser>
          <c:idx val="0"/>
          <c:order val="0"/>
          <c:tx>
            <c:strRef>
              <c:f>'Graf 15+16 '!$I$30</c:f>
              <c:strCache>
                <c:ptCount val="1"/>
                <c:pt idx="0">
                  <c:v>Total inflation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'Graf 15+16 '!$K$13:$P$13</c:f>
              <c:strCache>
                <c:ptCount val="6"/>
                <c:pt idx="0">
                  <c:v>2016</c:v>
                </c:pt>
                <c:pt idx="1">
                  <c:v>2017</c:v>
                </c:pt>
                <c:pt idx="2">
                  <c:v>2018F</c:v>
                </c:pt>
                <c:pt idx="3">
                  <c:v>2019F</c:v>
                </c:pt>
                <c:pt idx="4">
                  <c:v>2020F</c:v>
                </c:pt>
                <c:pt idx="5">
                  <c:v>2021F</c:v>
                </c:pt>
              </c:strCache>
            </c:strRef>
          </c:cat>
          <c:val>
            <c:numRef>
              <c:f>'Graf 15+16 '!$K$30:$P$30</c:f>
              <c:numCache>
                <c:formatCode>0.0</c:formatCode>
                <c:ptCount val="6"/>
                <c:pt idx="0">
                  <c:v>-0.30685544460117209</c:v>
                </c:pt>
                <c:pt idx="1">
                  <c:v>-0.51947654708679458</c:v>
                </c:pt>
                <c:pt idx="2">
                  <c:v>1.0950972835435557</c:v>
                </c:pt>
                <c:pt idx="3">
                  <c:v>1.6775191223474151</c:v>
                </c:pt>
                <c:pt idx="4">
                  <c:v>1.8944804694612127</c:v>
                </c:pt>
                <c:pt idx="5">
                  <c:v>2.1311544952605121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D2F-4A0F-B3BB-F168BA59D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254632"/>
        <c:axId val="324255024"/>
      </c:lineChart>
      <c:catAx>
        <c:axId val="324254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255024"/>
        <c:crosses val="autoZero"/>
        <c:auto val="1"/>
        <c:lblAlgn val="ctr"/>
        <c:lblOffset val="100"/>
        <c:noMultiLvlLbl val="0"/>
      </c:catAx>
      <c:valAx>
        <c:axId val="3242550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254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033653229910361E-2"/>
          <c:y val="6.8286026463608915E-2"/>
          <c:w val="0.38607757363662876"/>
          <c:h val="0.38141316170165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17+Tab 5 '!$L$4</c:f>
              <c:strCache>
                <c:ptCount val="1"/>
                <c:pt idx="0">
                  <c:v>Rast HDP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611111111111110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985-462F-A897-45A83FE9CE4A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111111111111059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985-462F-A897-45A83FE9CE4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666666666666664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985-462F-A897-45A83FE9CE4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2777777777777778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985-462F-A897-45A83FE9CE4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666666666666767E-2"/>
                  <c:y val="-1.388888888888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985-462F-A897-45A83FE9CE4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17+Tab 5 '!$M$3:$S$3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17+Tab 5 '!$M$4:$S$4</c:f>
              <c:numCache>
                <c:formatCode>0.0</c:formatCode>
                <c:ptCount val="7"/>
                <c:pt idx="0">
                  <c:v>3.8501006044002306</c:v>
                </c:pt>
                <c:pt idx="1">
                  <c:v>3.3246952959640197</c:v>
                </c:pt>
                <c:pt idx="2">
                  <c:v>3.4148380549375634</c:v>
                </c:pt>
                <c:pt idx="3">
                  <c:v>4.2132237559521224</c:v>
                </c:pt>
                <c:pt idx="4">
                  <c:v>4.5082075300671542</c:v>
                </c:pt>
                <c:pt idx="5">
                  <c:v>3.8741085149651688</c:v>
                </c:pt>
                <c:pt idx="6">
                  <c:v>3.3915538796869038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985-462F-A897-45A83FE9CE4A}"/>
            </c:ext>
          </c:extLst>
        </c:ser>
        <c:ser>
          <c:idx val="5"/>
          <c:order val="1"/>
          <c:tx>
            <c:strRef>
              <c:f>'Graf 17+Tab 5 '!$L$5</c:f>
              <c:strCache>
                <c:ptCount val="1"/>
                <c:pt idx="0">
                  <c:v>Bez JLR</c:v>
                </c:pt>
              </c:strCache>
            </c:strRef>
          </c:tx>
          <c:spPr>
            <a:ln w="19050">
              <a:solidFill>
                <a:srgbClr val="7030A0"/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985-462F-A897-45A83FE9CE4A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11111111111110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985-462F-A897-45A83FE9CE4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5000000000000001E-2"/>
                  <c:y val="3.7037037037036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985-462F-A897-45A83FE9CE4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7777777777777776E-2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985-462F-A897-45A83FE9CE4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17+Tab 5 '!$M$3:$S$3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17+Tab 5 '!$M$5:$S$5</c:f>
              <c:numCache>
                <c:formatCode>0.0</c:formatCode>
                <c:ptCount val="7"/>
                <c:pt idx="0">
                  <c:v>3.8501006044002306</c:v>
                </c:pt>
                <c:pt idx="1">
                  <c:v>3.2907466996929591</c:v>
                </c:pt>
                <c:pt idx="2">
                  <c:v>3.1879010470308167</c:v>
                </c:pt>
                <c:pt idx="3">
                  <c:v>4.2325554469376137</c:v>
                </c:pt>
                <c:pt idx="4">
                  <c:v>4.184442269010602</c:v>
                </c:pt>
                <c:pt idx="5">
                  <c:v>3.4168603839367595</c:v>
                </c:pt>
                <c:pt idx="6">
                  <c:v>2.9909003089109434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5985-462F-A897-45A83FE9CE4A}"/>
            </c:ext>
          </c:extLst>
        </c:ser>
        <c:ser>
          <c:idx val="0"/>
          <c:order val="2"/>
          <c:tx>
            <c:strRef>
              <c:f>'Graf 17+Tab 5 '!$L$6</c:f>
              <c:strCache>
                <c:ptCount val="1"/>
                <c:pt idx="0">
                  <c:v>Bez JLR a VW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5985-462F-A897-45A83FE9CE4A}"/>
              </c:ext>
            </c:extLst>
          </c:dPt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985-462F-A897-45A83FE9CE4A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66666666666664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985-462F-A897-45A83FE9CE4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333333333333332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985-462F-A897-45A83FE9CE4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88888888888889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985-462F-A897-45A83FE9CE4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17+Tab 5 '!$M$3:$S$3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17+Tab 5 '!$M$6:$S$6</c:f>
              <c:numCache>
                <c:formatCode>0.0</c:formatCode>
                <c:ptCount val="7"/>
                <c:pt idx="0">
                  <c:v>3.8501006044002306</c:v>
                </c:pt>
                <c:pt idx="1">
                  <c:v>3.0191579295242743</c:v>
                </c:pt>
                <c:pt idx="2">
                  <c:v>3.256667851834516</c:v>
                </c:pt>
                <c:pt idx="3">
                  <c:v>3.9778837276498225</c:v>
                </c:pt>
                <c:pt idx="4">
                  <c:v>3.9525241050240023</c:v>
                </c:pt>
                <c:pt idx="5">
                  <c:v>3.4168603839367595</c:v>
                </c:pt>
                <c:pt idx="6">
                  <c:v>2.9909003089109434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5985-462F-A897-45A83FE9C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660464"/>
        <c:axId val="324660856"/>
      </c:lineChart>
      <c:catAx>
        <c:axId val="32466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sk-SK"/>
          </a:p>
        </c:txPr>
        <c:crossAx val="324660856"/>
        <c:crosses val="autoZero"/>
        <c:auto val="1"/>
        <c:lblAlgn val="ctr"/>
        <c:lblOffset val="100"/>
        <c:noMultiLvlLbl val="0"/>
      </c:catAx>
      <c:valAx>
        <c:axId val="324660856"/>
        <c:scaling>
          <c:orientation val="minMax"/>
          <c:max val="5"/>
          <c:min val="2.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324660464"/>
        <c:crosses val="autoZero"/>
        <c:crossBetween val="between"/>
      </c:valAx>
      <c:spPr>
        <a:noFill/>
      </c:spPr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83145069444444442"/>
        </c:manualLayout>
      </c:layout>
      <c:lineChart>
        <c:grouping val="standard"/>
        <c:varyColors val="0"/>
        <c:ser>
          <c:idx val="3"/>
          <c:order val="0"/>
          <c:tx>
            <c:strRef>
              <c:f>'Graf 17+Tab 5 '!$L$9</c:f>
              <c:strCache>
                <c:ptCount val="1"/>
                <c:pt idx="0">
                  <c:v>GDP growth</c:v>
                </c:pt>
              </c:strCache>
            </c:strRef>
          </c:tx>
          <c:spPr>
            <a:ln w="25400">
              <a:solidFill>
                <a:srgbClr val="2C9ADC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3.611111111111110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0C3-4C30-9D26-1DAEFE9F0EC3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111111111111059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0C3-4C30-9D26-1DAEFE9F0EC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666666666666664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0C3-4C30-9D26-1DAEFE9F0EC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2777777777777778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0C3-4C30-9D26-1DAEFE9F0EC3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666666666666767E-2"/>
                  <c:y val="-1.388888888888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0C3-4C30-9D26-1DAEFE9F0EC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17+Tab 5 '!$M$3:$R$3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17+Tab 5 '!$M$4:$R$4</c:f>
              <c:numCache>
                <c:formatCode>0.0</c:formatCode>
                <c:ptCount val="6"/>
                <c:pt idx="0">
                  <c:v>3.8501006044002306</c:v>
                </c:pt>
                <c:pt idx="1">
                  <c:v>3.3246952959640197</c:v>
                </c:pt>
                <c:pt idx="2">
                  <c:v>3.4148380549375634</c:v>
                </c:pt>
                <c:pt idx="3">
                  <c:v>4.2132237559521224</c:v>
                </c:pt>
                <c:pt idx="4">
                  <c:v>4.5082075300671542</c:v>
                </c:pt>
                <c:pt idx="5">
                  <c:v>3.8741085149651688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0C3-4C30-9D26-1DAEFE9F0EC3}"/>
            </c:ext>
          </c:extLst>
        </c:ser>
        <c:ser>
          <c:idx val="5"/>
          <c:order val="1"/>
          <c:tx>
            <c:strRef>
              <c:f>'Graf 17+Tab 5 '!$L$10</c:f>
              <c:strCache>
                <c:ptCount val="1"/>
                <c:pt idx="0">
                  <c:v>w/o JLR</c:v>
                </c:pt>
              </c:strCache>
            </c:strRef>
          </c:tx>
          <c:spPr>
            <a:ln w="19050">
              <a:solidFill>
                <a:srgbClr val="7030A0"/>
              </a:solidFill>
              <a:prstDash val="dash"/>
            </a:ln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0C3-4C30-9D26-1DAEFE9F0EC3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11111111111110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0C3-4C30-9D26-1DAEFE9F0EC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5000000000000001E-2"/>
                  <c:y val="3.7037037037036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0C3-4C30-9D26-1DAEFE9F0EC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7777777777777776E-2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0C3-4C30-9D26-1DAEFE9F0EC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17+Tab 5 '!$M$3:$R$3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17+Tab 5 '!$M$5:$R$5</c:f>
              <c:numCache>
                <c:formatCode>0.0</c:formatCode>
                <c:ptCount val="6"/>
                <c:pt idx="0">
                  <c:v>3.8501006044002306</c:v>
                </c:pt>
                <c:pt idx="1">
                  <c:v>3.2907466996929591</c:v>
                </c:pt>
                <c:pt idx="2">
                  <c:v>3.1879010470308167</c:v>
                </c:pt>
                <c:pt idx="3">
                  <c:v>4.2325554469376137</c:v>
                </c:pt>
                <c:pt idx="4">
                  <c:v>4.184442269010602</c:v>
                </c:pt>
                <c:pt idx="5">
                  <c:v>3.4168603839367595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00C3-4C30-9D26-1DAEFE9F0EC3}"/>
            </c:ext>
          </c:extLst>
        </c:ser>
        <c:ser>
          <c:idx val="0"/>
          <c:order val="2"/>
          <c:tx>
            <c:strRef>
              <c:f>'Graf 17+Tab 5 '!$L$11</c:f>
              <c:strCache>
                <c:ptCount val="1"/>
                <c:pt idx="0">
                  <c:v>w/o JLR and VW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00C3-4C30-9D26-1DAEFE9F0EC3}"/>
              </c:ext>
            </c:extLst>
          </c:dPt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00C3-4C30-9D26-1DAEFE9F0EC3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66666666666664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00C3-4C30-9D26-1DAEFE9F0EC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333333333333332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00C3-4C30-9D26-1DAEFE9F0EC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888888888888889E-2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00C3-4C30-9D26-1DAEFE9F0EC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17+Tab 5 '!$M$3:$R$3</c:f>
              <c:numCache>
                <c:formatCode>General</c:formatCode>
                <c:ptCount val="6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</c:numCache>
            </c:numRef>
          </c:cat>
          <c:val>
            <c:numRef>
              <c:f>'Graf 17+Tab 5 '!$M$6:$R$6</c:f>
              <c:numCache>
                <c:formatCode>0.0</c:formatCode>
                <c:ptCount val="6"/>
                <c:pt idx="0">
                  <c:v>3.8501006044002306</c:v>
                </c:pt>
                <c:pt idx="1">
                  <c:v>3.0191579295242743</c:v>
                </c:pt>
                <c:pt idx="2">
                  <c:v>3.256667851834516</c:v>
                </c:pt>
                <c:pt idx="3">
                  <c:v>3.9778837276498225</c:v>
                </c:pt>
                <c:pt idx="4">
                  <c:v>3.9525241050240023</c:v>
                </c:pt>
                <c:pt idx="5">
                  <c:v>3.4168603839367595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00C3-4C30-9D26-1DAEFE9F0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661640"/>
        <c:axId val="324662032"/>
      </c:lineChart>
      <c:catAx>
        <c:axId val="324661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sk-SK"/>
          </a:p>
        </c:txPr>
        <c:crossAx val="324662032"/>
        <c:crosses val="autoZero"/>
        <c:auto val="1"/>
        <c:lblAlgn val="ctr"/>
        <c:lblOffset val="100"/>
        <c:noMultiLvlLbl val="0"/>
      </c:catAx>
      <c:valAx>
        <c:axId val="324662032"/>
        <c:scaling>
          <c:orientation val="minMax"/>
          <c:max val="5"/>
          <c:min val="2.5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324661640"/>
        <c:crosses val="autoZero"/>
        <c:crossBetween val="between"/>
      </c:valAx>
      <c:spPr>
        <a:noFill/>
      </c:spPr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18+Tab 6 '!$K$6</c:f>
              <c:strCache>
                <c:ptCount val="1"/>
                <c:pt idx="0">
                  <c:v>zamestnanosť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18+Tab 6 '!$L$5:$X$5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</c:strCache>
            </c:strRef>
          </c:cat>
          <c:val>
            <c:numRef>
              <c:f>'Graf 18+Tab 6 '!$L$6:$X$6</c:f>
              <c:numCache>
                <c:formatCode>0.0</c:formatCode>
                <c:ptCount val="13"/>
                <c:pt idx="0">
                  <c:v>-0.19488672485750042</c:v>
                </c:pt>
                <c:pt idx="1">
                  <c:v>-0.16978504516543391</c:v>
                </c:pt>
                <c:pt idx="2">
                  <c:v>0.4313171103674342</c:v>
                </c:pt>
                <c:pt idx="3">
                  <c:v>0.10007053575067715</c:v>
                </c:pt>
                <c:pt idx="4">
                  <c:v>7.8652545750203681E-2</c:v>
                </c:pt>
                <c:pt idx="5">
                  <c:v>0.34345865207849391</c:v>
                </c:pt>
                <c:pt idx="6">
                  <c:v>0.47980722941477588</c:v>
                </c:pt>
                <c:pt idx="7">
                  <c:v>0.52665586863334868</c:v>
                </c:pt>
                <c:pt idx="8">
                  <c:v>0.48329353722053497</c:v>
                </c:pt>
                <c:pt idx="9">
                  <c:v>0.34911294706278972</c:v>
                </c:pt>
                <c:pt idx="10">
                  <c:v>0.24762774979203303</c:v>
                </c:pt>
                <c:pt idx="11">
                  <c:v>0.23427352068471663</c:v>
                </c:pt>
                <c:pt idx="12">
                  <c:v>0.20796652270321123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B53-43D6-AD88-259B96262364}"/>
            </c:ext>
          </c:extLst>
        </c:ser>
        <c:ser>
          <c:idx val="2"/>
          <c:order val="1"/>
          <c:tx>
            <c:strRef>
              <c:f>'Graf 18+Tab 6 '!$K$7</c:f>
              <c:strCache>
                <c:ptCount val="1"/>
                <c:pt idx="0">
                  <c:v>zásoba kapitálu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18+Tab 6 '!$L$5:$X$5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</c:strCache>
            </c:strRef>
          </c:cat>
          <c:val>
            <c:numRef>
              <c:f>'Graf 18+Tab 6 '!$L$7:$X$7</c:f>
              <c:numCache>
                <c:formatCode>0.0</c:formatCode>
                <c:ptCount val="13"/>
                <c:pt idx="0">
                  <c:v>1.0309052354103523</c:v>
                </c:pt>
                <c:pt idx="1">
                  <c:v>0.76033496742830131</c:v>
                </c:pt>
                <c:pt idx="2">
                  <c:v>0.9403789631506223</c:v>
                </c:pt>
                <c:pt idx="3">
                  <c:v>0.8046742386444492</c:v>
                </c:pt>
                <c:pt idx="4">
                  <c:v>0.54890223481110978</c:v>
                </c:pt>
                <c:pt idx="5">
                  <c:v>0.51771339819015749</c:v>
                </c:pt>
                <c:pt idx="6">
                  <c:v>0.7925667010990779</c:v>
                </c:pt>
                <c:pt idx="7">
                  <c:v>0.84689262266290555</c:v>
                </c:pt>
                <c:pt idx="8">
                  <c:v>0.66272518439036321</c:v>
                </c:pt>
                <c:pt idx="9">
                  <c:v>0.85065746042215573</c:v>
                </c:pt>
                <c:pt idx="10">
                  <c:v>0.95805389219381765</c:v>
                </c:pt>
                <c:pt idx="11">
                  <c:v>1.0395923305589356</c:v>
                </c:pt>
                <c:pt idx="12">
                  <c:v>1.1156218917259666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B53-43D6-AD88-259B96262364}"/>
            </c:ext>
          </c:extLst>
        </c:ser>
        <c:ser>
          <c:idx val="3"/>
          <c:order val="2"/>
          <c:tx>
            <c:strRef>
              <c:f>'Graf 18+Tab 6 '!$K$8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18+Tab 6 '!$L$5:$X$5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</c:strCache>
            </c:strRef>
          </c:cat>
          <c:val>
            <c:numRef>
              <c:f>'Graf 18+Tab 6 '!$L$8:$X$8</c:f>
              <c:numCache>
                <c:formatCode>0.0</c:formatCode>
                <c:ptCount val="13"/>
                <c:pt idx="0">
                  <c:v>0.47357573516034518</c:v>
                </c:pt>
                <c:pt idx="1">
                  <c:v>0.55274815858842863</c:v>
                </c:pt>
                <c:pt idx="2">
                  <c:v>1.0374698299807212</c:v>
                </c:pt>
                <c:pt idx="3">
                  <c:v>1.3990485132244337</c:v>
                </c:pt>
                <c:pt idx="4">
                  <c:v>1.3818593710132046</c:v>
                </c:pt>
                <c:pt idx="5">
                  <c:v>1.5756978195875107</c:v>
                </c:pt>
                <c:pt idx="6">
                  <c:v>1.850028536038234</c:v>
                </c:pt>
                <c:pt idx="7">
                  <c:v>1.588746295088646</c:v>
                </c:pt>
                <c:pt idx="8">
                  <c:v>1.8213633736261827</c:v>
                </c:pt>
                <c:pt idx="9">
                  <c:v>2.5109467337872564</c:v>
                </c:pt>
                <c:pt idx="10">
                  <c:v>2.7557805822797823</c:v>
                </c:pt>
                <c:pt idx="11">
                  <c:v>2.618783693953028</c:v>
                </c:pt>
                <c:pt idx="12">
                  <c:v>2.3739475693793528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B53-43D6-AD88-259B96262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662816"/>
        <c:axId val="324663208"/>
      </c:barChart>
      <c:lineChart>
        <c:grouping val="standard"/>
        <c:varyColors val="0"/>
        <c:ser>
          <c:idx val="0"/>
          <c:order val="3"/>
          <c:tx>
            <c:strRef>
              <c:f>'Graf 18+Tab 6 '!$K$9</c:f>
              <c:strCache>
                <c:ptCount val="1"/>
                <c:pt idx="0">
                  <c:v>pot. produkt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18+Tab 6 '!$L$5:$X$5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</c:strCache>
            </c:strRef>
          </c:cat>
          <c:val>
            <c:numRef>
              <c:f>'Graf 18+Tab 6 '!$L$9:$X$9</c:f>
              <c:numCache>
                <c:formatCode>0.0</c:formatCode>
                <c:ptCount val="13"/>
                <c:pt idx="0">
                  <c:v>1.309594245713197</c:v>
                </c:pt>
                <c:pt idx="1">
                  <c:v>1.143298080851296</c:v>
                </c:pt>
                <c:pt idx="2">
                  <c:v>2.4091659034987778</c:v>
                </c:pt>
                <c:pt idx="3">
                  <c:v>2.3037932876195599</c:v>
                </c:pt>
                <c:pt idx="4">
                  <c:v>2.0094141515745179</c:v>
                </c:pt>
                <c:pt idx="5">
                  <c:v>2.4368698698561619</c:v>
                </c:pt>
                <c:pt idx="6">
                  <c:v>3.1224024665520878</c:v>
                </c:pt>
                <c:pt idx="7">
                  <c:v>2.9622947863849003</c:v>
                </c:pt>
                <c:pt idx="8">
                  <c:v>2.9673820952370811</c:v>
                </c:pt>
                <c:pt idx="9">
                  <c:v>3.7107171412722018</c:v>
                </c:pt>
                <c:pt idx="10">
                  <c:v>3.9614622242656328</c:v>
                </c:pt>
                <c:pt idx="11">
                  <c:v>3.8926495451966803</c:v>
                </c:pt>
                <c:pt idx="12">
                  <c:v>3.6975359838085309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B53-43D6-AD88-259B96262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662816"/>
        <c:axId val="324663208"/>
      </c:lineChart>
      <c:catAx>
        <c:axId val="324662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324663208"/>
        <c:crosses val="autoZero"/>
        <c:auto val="1"/>
        <c:lblAlgn val="ctr"/>
        <c:lblOffset val="100"/>
        <c:noMultiLvlLbl val="0"/>
      </c:catAx>
      <c:valAx>
        <c:axId val="324663208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324662816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11640494465005755"/>
          <c:y val="5.3832996837792871E-2"/>
          <c:w val="0.74467622517334575"/>
          <c:h val="0.1527094690086816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'Graf 18+Tab 6 '!$K$13</c:f>
              <c:strCache>
                <c:ptCount val="1"/>
                <c:pt idx="0">
                  <c:v>employment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strRef>
              <c:f>'Graf 18+Tab 6 '!$L$5:$X$5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</c:strCache>
            </c:strRef>
          </c:cat>
          <c:val>
            <c:numRef>
              <c:f>'Graf 18+Tab 6 '!$L$6:$X$6</c:f>
              <c:numCache>
                <c:formatCode>0.0</c:formatCode>
                <c:ptCount val="13"/>
                <c:pt idx="0">
                  <c:v>-0.19488672485750042</c:v>
                </c:pt>
                <c:pt idx="1">
                  <c:v>-0.16978504516543391</c:v>
                </c:pt>
                <c:pt idx="2">
                  <c:v>0.4313171103674342</c:v>
                </c:pt>
                <c:pt idx="3">
                  <c:v>0.10007053575067715</c:v>
                </c:pt>
                <c:pt idx="4">
                  <c:v>7.8652545750203681E-2</c:v>
                </c:pt>
                <c:pt idx="5">
                  <c:v>0.34345865207849391</c:v>
                </c:pt>
                <c:pt idx="6">
                  <c:v>0.47980722941477588</c:v>
                </c:pt>
                <c:pt idx="7">
                  <c:v>0.52665586863334868</c:v>
                </c:pt>
                <c:pt idx="8">
                  <c:v>0.48329353722053497</c:v>
                </c:pt>
                <c:pt idx="9">
                  <c:v>0.34911294706278972</c:v>
                </c:pt>
                <c:pt idx="10">
                  <c:v>0.24762774979203303</c:v>
                </c:pt>
                <c:pt idx="11">
                  <c:v>0.23427352068471663</c:v>
                </c:pt>
                <c:pt idx="12">
                  <c:v>0.20796652270321123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754-4527-828F-872C3F5BE250}"/>
            </c:ext>
          </c:extLst>
        </c:ser>
        <c:ser>
          <c:idx val="2"/>
          <c:order val="1"/>
          <c:tx>
            <c:strRef>
              <c:f>'Graf 18+Tab 6 '!$K$14</c:f>
              <c:strCache>
                <c:ptCount val="1"/>
                <c:pt idx="0">
                  <c:v>capital stock</c:v>
                </c:pt>
              </c:strCache>
            </c:strRef>
          </c:tx>
          <c:spPr>
            <a:solidFill>
              <a:srgbClr val="D6DCE5"/>
            </a:solidFill>
          </c:spPr>
          <c:invertIfNegative val="0"/>
          <c:cat>
            <c:strRef>
              <c:f>'Graf 18+Tab 6 '!$L$5:$X$5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</c:strCache>
            </c:strRef>
          </c:cat>
          <c:val>
            <c:numRef>
              <c:f>'Graf 18+Tab 6 '!$L$7:$X$7</c:f>
              <c:numCache>
                <c:formatCode>0.0</c:formatCode>
                <c:ptCount val="13"/>
                <c:pt idx="0">
                  <c:v>1.0309052354103523</c:v>
                </c:pt>
                <c:pt idx="1">
                  <c:v>0.76033496742830131</c:v>
                </c:pt>
                <c:pt idx="2">
                  <c:v>0.9403789631506223</c:v>
                </c:pt>
                <c:pt idx="3">
                  <c:v>0.8046742386444492</c:v>
                </c:pt>
                <c:pt idx="4">
                  <c:v>0.54890223481110978</c:v>
                </c:pt>
                <c:pt idx="5">
                  <c:v>0.51771339819015749</c:v>
                </c:pt>
                <c:pt idx="6">
                  <c:v>0.7925667010990779</c:v>
                </c:pt>
                <c:pt idx="7">
                  <c:v>0.84689262266290555</c:v>
                </c:pt>
                <c:pt idx="8">
                  <c:v>0.66272518439036321</c:v>
                </c:pt>
                <c:pt idx="9">
                  <c:v>0.85065746042215573</c:v>
                </c:pt>
                <c:pt idx="10">
                  <c:v>0.95805389219381765</c:v>
                </c:pt>
                <c:pt idx="11">
                  <c:v>1.0395923305589356</c:v>
                </c:pt>
                <c:pt idx="12">
                  <c:v>1.1156218917259666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754-4527-828F-872C3F5BE250}"/>
            </c:ext>
          </c:extLst>
        </c:ser>
        <c:ser>
          <c:idx val="3"/>
          <c:order val="2"/>
          <c:tx>
            <c:strRef>
              <c:f>'Graf 18+Tab 6 '!$K$15</c:f>
              <c:strCache>
                <c:ptCount val="1"/>
                <c:pt idx="0">
                  <c:v>TFP</c:v>
                </c:pt>
              </c:strCache>
            </c:strRef>
          </c:tx>
          <c:spPr>
            <a:solidFill>
              <a:srgbClr val="555555"/>
            </a:solidFill>
          </c:spPr>
          <c:invertIfNegative val="0"/>
          <c:cat>
            <c:strRef>
              <c:f>'Graf 18+Tab 6 '!$L$5:$X$5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</c:strCache>
            </c:strRef>
          </c:cat>
          <c:val>
            <c:numRef>
              <c:f>'Graf 18+Tab 6 '!$L$8:$X$8</c:f>
              <c:numCache>
                <c:formatCode>0.0</c:formatCode>
                <c:ptCount val="13"/>
                <c:pt idx="0">
                  <c:v>0.47357573516034518</c:v>
                </c:pt>
                <c:pt idx="1">
                  <c:v>0.55274815858842863</c:v>
                </c:pt>
                <c:pt idx="2">
                  <c:v>1.0374698299807212</c:v>
                </c:pt>
                <c:pt idx="3">
                  <c:v>1.3990485132244337</c:v>
                </c:pt>
                <c:pt idx="4">
                  <c:v>1.3818593710132046</c:v>
                </c:pt>
                <c:pt idx="5">
                  <c:v>1.5756978195875107</c:v>
                </c:pt>
                <c:pt idx="6">
                  <c:v>1.850028536038234</c:v>
                </c:pt>
                <c:pt idx="7">
                  <c:v>1.588746295088646</c:v>
                </c:pt>
                <c:pt idx="8">
                  <c:v>1.8213633736261827</c:v>
                </c:pt>
                <c:pt idx="9">
                  <c:v>2.5109467337872564</c:v>
                </c:pt>
                <c:pt idx="10">
                  <c:v>2.7557805822797823</c:v>
                </c:pt>
                <c:pt idx="11">
                  <c:v>2.618783693953028</c:v>
                </c:pt>
                <c:pt idx="12">
                  <c:v>2.3739475693793528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754-4527-828F-872C3F5B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5504920"/>
        <c:axId val="325505312"/>
      </c:barChart>
      <c:lineChart>
        <c:grouping val="standard"/>
        <c:varyColors val="0"/>
        <c:ser>
          <c:idx val="0"/>
          <c:order val="3"/>
          <c:tx>
            <c:strRef>
              <c:f>'Graf 18+Tab 6 '!$K$16</c:f>
              <c:strCache>
                <c:ptCount val="1"/>
                <c:pt idx="0">
                  <c:v>pot. output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18+Tab 6 '!$L$5:$X$5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2018F</c:v>
                </c:pt>
                <c:pt idx="10">
                  <c:v>2019F</c:v>
                </c:pt>
                <c:pt idx="11">
                  <c:v>2020F</c:v>
                </c:pt>
                <c:pt idx="12">
                  <c:v>2021F</c:v>
                </c:pt>
              </c:strCache>
            </c:strRef>
          </c:cat>
          <c:val>
            <c:numRef>
              <c:f>'Graf 18+Tab 6 '!$L$9:$X$9</c:f>
              <c:numCache>
                <c:formatCode>0.0</c:formatCode>
                <c:ptCount val="13"/>
                <c:pt idx="0">
                  <c:v>1.309594245713197</c:v>
                </c:pt>
                <c:pt idx="1">
                  <c:v>1.143298080851296</c:v>
                </c:pt>
                <c:pt idx="2">
                  <c:v>2.4091659034987778</c:v>
                </c:pt>
                <c:pt idx="3">
                  <c:v>2.3037932876195599</c:v>
                </c:pt>
                <c:pt idx="4">
                  <c:v>2.0094141515745179</c:v>
                </c:pt>
                <c:pt idx="5">
                  <c:v>2.4368698698561619</c:v>
                </c:pt>
                <c:pt idx="6">
                  <c:v>3.1224024665520878</c:v>
                </c:pt>
                <c:pt idx="7">
                  <c:v>2.9622947863849003</c:v>
                </c:pt>
                <c:pt idx="8">
                  <c:v>2.9673820952370811</c:v>
                </c:pt>
                <c:pt idx="9">
                  <c:v>3.7107171412722018</c:v>
                </c:pt>
                <c:pt idx="10">
                  <c:v>3.9614622242656328</c:v>
                </c:pt>
                <c:pt idx="11">
                  <c:v>3.8926495451966803</c:v>
                </c:pt>
                <c:pt idx="12">
                  <c:v>3.6975359838085309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754-4527-828F-872C3F5BE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04920"/>
        <c:axId val="325505312"/>
      </c:lineChart>
      <c:catAx>
        <c:axId val="32550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325505312"/>
        <c:crosses val="autoZero"/>
        <c:auto val="1"/>
        <c:lblAlgn val="ctr"/>
        <c:lblOffset val="100"/>
        <c:noMultiLvlLbl val="0"/>
      </c:catAx>
      <c:valAx>
        <c:axId val="325505312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.0" sourceLinked="1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32550492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15425992649852241"/>
          <c:y val="5.3832982919019938E-2"/>
          <c:w val="0.68579083765948812"/>
          <c:h val="0.17003561475244303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19  + Tab 7 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19  + Tab 7 '!$K$5:$AB$5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2018F</c:v>
                </c:pt>
                <c:pt idx="15">
                  <c:v>2019F</c:v>
                </c:pt>
                <c:pt idx="16">
                  <c:v>2020F</c:v>
                </c:pt>
                <c:pt idx="17">
                  <c:v>2021F</c:v>
                </c:pt>
              </c:strCache>
            </c:strRef>
          </c:cat>
          <c:val>
            <c:numRef>
              <c:f>'Graf 19  + Tab 7 '!$K$6:$AB$6</c:f>
              <c:numCache>
                <c:formatCode>0.00</c:formatCode>
                <c:ptCount val="18"/>
                <c:pt idx="0">
                  <c:v>-1.2599594962723435</c:v>
                </c:pt>
                <c:pt idx="1">
                  <c:v>-1.6871618725808581</c:v>
                </c:pt>
                <c:pt idx="2">
                  <c:v>-1.0995755712041322</c:v>
                </c:pt>
                <c:pt idx="3">
                  <c:v>2.0219789319028032</c:v>
                </c:pt>
                <c:pt idx="4">
                  <c:v>2.161291054721739</c:v>
                </c:pt>
                <c:pt idx="5">
                  <c:v>-4.6278839034769188</c:v>
                </c:pt>
                <c:pt idx="6">
                  <c:v>-0.95266945421412075</c:v>
                </c:pt>
                <c:pt idx="7">
                  <c:v>-0.55736166962565337</c:v>
                </c:pt>
                <c:pt idx="8">
                  <c:v>-1.1870720854364472</c:v>
                </c:pt>
                <c:pt idx="9">
                  <c:v>-1.6901424650205326</c:v>
                </c:pt>
                <c:pt idx="10">
                  <c:v>-1.3880480792584564</c:v>
                </c:pt>
                <c:pt idx="11">
                  <c:v>-0.68730045660982964</c:v>
                </c:pt>
                <c:pt idx="12">
                  <c:v>-0.32770656322884495</c:v>
                </c:pt>
                <c:pt idx="13">
                  <c:v>9.2176087213173427E-2</c:v>
                </c:pt>
                <c:pt idx="14">
                  <c:v>0.56642343268447592</c:v>
                </c:pt>
                <c:pt idx="15">
                  <c:v>1.0994109254611752</c:v>
                </c:pt>
                <c:pt idx="16">
                  <c:v>1.0871002021800185</c:v>
                </c:pt>
                <c:pt idx="17">
                  <c:v>0.79466472355658557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322-4ADF-B424-3CA2E1BDB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506096"/>
        <c:axId val="325506488"/>
      </c:lineChart>
      <c:catAx>
        <c:axId val="32550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325506488"/>
        <c:crosses val="autoZero"/>
        <c:auto val="1"/>
        <c:lblAlgn val="ctr"/>
        <c:lblOffset val="100"/>
        <c:noMultiLvlLbl val="0"/>
      </c:catAx>
      <c:valAx>
        <c:axId val="325506488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3255060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'Graf 19  + Tab 7 '!$J$6</c:f>
              <c:strCache>
                <c:ptCount val="1"/>
                <c:pt idx="0">
                  <c:v>produkčná medzera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'Graf 19  + Tab 7 '!$K$5:$AB$5</c:f>
              <c:strCache>
                <c:ptCount val="1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2018F</c:v>
                </c:pt>
                <c:pt idx="15">
                  <c:v>2019F</c:v>
                </c:pt>
                <c:pt idx="16">
                  <c:v>2020F</c:v>
                </c:pt>
                <c:pt idx="17">
                  <c:v>2021F</c:v>
                </c:pt>
              </c:strCache>
            </c:strRef>
          </c:cat>
          <c:val>
            <c:numRef>
              <c:f>'Graf 19  + Tab 7 '!$K$6:$AB$6</c:f>
              <c:numCache>
                <c:formatCode>0.00</c:formatCode>
                <c:ptCount val="18"/>
                <c:pt idx="0">
                  <c:v>-1.2599594962723435</c:v>
                </c:pt>
                <c:pt idx="1">
                  <c:v>-1.6871618725808581</c:v>
                </c:pt>
                <c:pt idx="2">
                  <c:v>-1.0995755712041322</c:v>
                </c:pt>
                <c:pt idx="3">
                  <c:v>2.0219789319028032</c:v>
                </c:pt>
                <c:pt idx="4">
                  <c:v>2.161291054721739</c:v>
                </c:pt>
                <c:pt idx="5">
                  <c:v>-4.6278839034769188</c:v>
                </c:pt>
                <c:pt idx="6">
                  <c:v>-0.95266945421412075</c:v>
                </c:pt>
                <c:pt idx="7">
                  <c:v>-0.55736166962565337</c:v>
                </c:pt>
                <c:pt idx="8">
                  <c:v>-1.1870720854364472</c:v>
                </c:pt>
                <c:pt idx="9">
                  <c:v>-1.6901424650205326</c:v>
                </c:pt>
                <c:pt idx="10">
                  <c:v>-1.3880480792584564</c:v>
                </c:pt>
                <c:pt idx="11">
                  <c:v>-0.68730045660982964</c:v>
                </c:pt>
                <c:pt idx="12">
                  <c:v>-0.32770656322884495</c:v>
                </c:pt>
                <c:pt idx="13">
                  <c:v>9.2176087213173427E-2</c:v>
                </c:pt>
                <c:pt idx="14">
                  <c:v>0.56642343268447592</c:v>
                </c:pt>
                <c:pt idx="15">
                  <c:v>1.0994109254611752</c:v>
                </c:pt>
                <c:pt idx="16">
                  <c:v>1.0871002021800185</c:v>
                </c:pt>
                <c:pt idx="17">
                  <c:v>0.79466472355658557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981-48B9-A284-EA7AF9208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507272"/>
        <c:axId val="325507664"/>
      </c:lineChart>
      <c:catAx>
        <c:axId val="325507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6350">
            <a:solidFill>
              <a:schemeClr val="tx1"/>
            </a:solidFill>
          </a:ln>
        </c:spPr>
        <c:crossAx val="325507664"/>
        <c:crosses val="autoZero"/>
        <c:auto val="1"/>
        <c:lblAlgn val="ctr"/>
        <c:lblOffset val="100"/>
        <c:noMultiLvlLbl val="0"/>
      </c:catAx>
      <c:valAx>
        <c:axId val="325507664"/>
        <c:scaling>
          <c:orientation val="minMax"/>
        </c:scaling>
        <c:delete val="0"/>
        <c:axPos val="l"/>
        <c:majorGridlines>
          <c:spPr>
            <a:ln w="6350">
              <a:solidFill>
                <a:schemeClr val="bg1">
                  <a:lumMod val="9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 w="6350">
            <a:solidFill>
              <a:schemeClr val="tx1"/>
            </a:solidFill>
          </a:ln>
        </c:spPr>
        <c:crossAx val="32550727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81539126675313"/>
          <c:y val="0.27367254328716689"/>
          <c:w val="0.8408531488687131"/>
          <c:h val="0.60866944255775723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'Graf 1+2'!$J$46</c:f>
              <c:strCache>
                <c:ptCount val="1"/>
                <c:pt idx="0">
                  <c:v>Gross debt (excl. ESM and EFSF)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1+2'!$K$44:$P$44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1+2'!$K$22:$P$22</c:f>
              <c:numCache>
                <c:formatCode>0.0</c:formatCode>
                <c:ptCount val="6"/>
                <c:pt idx="0">
                  <c:v>48.689020639412561</c:v>
                </c:pt>
                <c:pt idx="1">
                  <c:v>47.8746175565988</c:v>
                </c:pt>
                <c:pt idx="2">
                  <c:v>46.451302276892996</c:v>
                </c:pt>
                <c:pt idx="3">
                  <c:v>43.881059027738708</c:v>
                </c:pt>
                <c:pt idx="4">
                  <c:v>42.367913804663743</c:v>
                </c:pt>
                <c:pt idx="5">
                  <c:v>40.941541217370158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61-4C26-8DA0-F928E411BDE3}"/>
            </c:ext>
          </c:extLst>
        </c:ser>
        <c:ser>
          <c:idx val="3"/>
          <c:order val="4"/>
          <c:tx>
            <c:strRef>
              <c:f>'Graf 1+2'!$J$47</c:f>
              <c:strCache>
                <c:ptCount val="1"/>
                <c:pt idx="0">
                  <c:v>EFSF and  ESM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cat>
            <c:numRef>
              <c:f>'Graf 1+2'!$K$44:$P$44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1+2'!$K$23:$P$23</c:f>
              <c:numCache>
                <c:formatCode>0.0</c:formatCode>
                <c:ptCount val="6"/>
                <c:pt idx="0">
                  <c:v>3.1296559117480172</c:v>
                </c:pt>
                <c:pt idx="1">
                  <c:v>2.9885675783811561</c:v>
                </c:pt>
                <c:pt idx="2">
                  <c:v>2.8169951170355376</c:v>
                </c:pt>
                <c:pt idx="3">
                  <c:v>2.643129892969788</c:v>
                </c:pt>
                <c:pt idx="4">
                  <c:v>2.4897829648757033</c:v>
                </c:pt>
                <c:pt idx="5">
                  <c:v>2.3537719126620984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F61-4C26-8DA0-F928E411B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0894600"/>
        <c:axId val="32089499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"/>
                <c:order val="2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1+2'!$K$44:$P$44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48.429664545439529</c:v>
                    </c:pt>
                    <c:pt idx="1">
                      <c:v>47.786688287494883</c:v>
                    </c:pt>
                    <c:pt idx="2">
                      <c:v>48.018210304633044</c:v>
                    </c:pt>
                    <c:pt idx="3">
                      <c:v>47.699076618538051</c:v>
                    </c:pt>
                    <c:pt idx="4">
                      <c:v>45.741595905286722</c:v>
                    </c:pt>
                    <c:pt idx="5">
                      <c:v>43.570038399392708</c:v>
                    </c:pt>
                  </c:numLit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E-4F61-4C26-8DA0-F928E411BDE3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1+2'!$K$44:$P$44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2.6429262410349352</c:v>
                    </c:pt>
                    <c:pt idx="1">
                      <c:v>2.4088898555942739</c:v>
                    </c:pt>
                    <c:pt idx="2">
                      <c:v>2.3339952728793585</c:v>
                    </c:pt>
                    <c:pt idx="3">
                      <c:v>2.2165975348427831</c:v>
                    </c:pt>
                    <c:pt idx="4">
                      <c:v>2.0851298852770812</c:v>
                    </c:pt>
                    <c:pt idx="5">
                      <c:v>1.9510357445666193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F-4F61-4C26-8DA0-F928E411BDE3}"/>
                  </c:ext>
                </c:extLst>
              </c15:ser>
            </c15:filteredBarSeries>
            <c15:filteredBarSeries>
              <c15:ser>
                <c:idx val="4"/>
                <c:order val="5"/>
                <c:tx>
                  <c:v>#ODKAZ!</c:v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1+2'!$K$44:$P$44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1.9522579118334271</c:v>
                    </c:pt>
                    <c:pt idx="1">
                      <c:v>1.8680938465954051</c:v>
                    </c:pt>
                    <c:pt idx="2">
                      <c:v>1.6851893271237994</c:v>
                    </c:pt>
                    <c:pt idx="3">
                      <c:v>1.4659619362582053</c:v>
                    </c:pt>
                    <c:pt idx="4">
                      <c:v>1.2490601644404729</c:v>
                    </c:pt>
                    <c:pt idx="5">
                      <c:v>1.0658450998594231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10-4F61-4C26-8DA0-F928E411BDE3}"/>
                  </c:ext>
                </c:extLst>
              </c15:ser>
            </c15:filteredBarSeries>
            <c15:filteredBarSeries>
              <c15:ser>
                <c:idx val="5"/>
                <c:order val="6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1+2'!$K$44:$P$44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-1.0901560276103766</c:v>
                    </c:pt>
                    <c:pt idx="1">
                      <c:v>-0.9892290577345122</c:v>
                    </c:pt>
                    <c:pt idx="2">
                      <c:v>-5.2529058681955121E-2</c:v>
                    </c:pt>
                    <c:pt idx="3">
                      <c:v>-0.69690895178757728</c:v>
                    </c:pt>
                    <c:pt idx="4">
                      <c:v>-2.3519320426307999</c:v>
                    </c:pt>
                    <c:pt idx="5">
                      <c:v>-2.5358692542098993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11-4F61-4C26-8DA0-F928E411BDE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1"/>
          <c:tx>
            <c:strRef>
              <c:f>'Graf 1+2'!$J$45</c:f>
              <c:strCache>
                <c:ptCount val="1"/>
                <c:pt idx="0">
                  <c:v>General government gross debt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F61-4C26-8DA0-F928E411BDE3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F61-4C26-8DA0-F928E411BDE3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F61-4C26-8DA0-F928E411BDE3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F61-4C26-8DA0-F928E411BDE3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F61-4C26-8DA0-F928E411BD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1+2'!$K$44:$P$44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1+2'!$K$21:$P$21</c:f>
              <c:numCache>
                <c:formatCode>0.0</c:formatCode>
                <c:ptCount val="6"/>
                <c:pt idx="0">
                  <c:v>51.818676551160578</c:v>
                </c:pt>
                <c:pt idx="1">
                  <c:v>50.863185134979958</c:v>
                </c:pt>
                <c:pt idx="2">
                  <c:v>49.268297393928535</c:v>
                </c:pt>
                <c:pt idx="3">
                  <c:v>46.52418892070849</c:v>
                </c:pt>
                <c:pt idx="4">
                  <c:v>44.857696769539444</c:v>
                </c:pt>
                <c:pt idx="5">
                  <c:v>43.295313130032255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4F61-4C26-8DA0-F928E411BDE3}"/>
            </c:ext>
          </c:extLst>
        </c:ser>
        <c:ser>
          <c:idx val="6"/>
          <c:order val="7"/>
          <c:tx>
            <c:strRef>
              <c:f>'Graf 1+2'!$J$48</c:f>
              <c:strCache>
                <c:ptCount val="1"/>
                <c:pt idx="0">
                  <c:v>Net debt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9C9BA"/>
              </a:solidFill>
              <a:ln w="9525">
                <a:solidFill>
                  <a:srgbClr val="F9C9BA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6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1+2'!$K$44:$P$44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1+2'!$K$24:$P$24</c:f>
              <c:numCache>
                <c:formatCode>0.0</c:formatCode>
                <c:ptCount val="6"/>
                <c:pt idx="0">
                  <c:v>46.895851029634215</c:v>
                </c:pt>
                <c:pt idx="1">
                  <c:v>45.507185534157529</c:v>
                </c:pt>
                <c:pt idx="2">
                  <c:v>43.93145552362536</c:v>
                </c:pt>
                <c:pt idx="3">
                  <c:v>42.031399329379951</c:v>
                </c:pt>
                <c:pt idx="4">
                  <c:v>40.088206545299599</c:v>
                </c:pt>
                <c:pt idx="5">
                  <c:v>38.493411658087027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4F61-4C26-8DA0-F928E411B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94600"/>
        <c:axId val="320894992"/>
      </c:lineChart>
      <c:catAx>
        <c:axId val="320894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894992"/>
        <c:crosses val="autoZero"/>
        <c:auto val="1"/>
        <c:lblAlgn val="ctr"/>
        <c:lblOffset val="100"/>
        <c:noMultiLvlLbl val="0"/>
      </c:catAx>
      <c:valAx>
        <c:axId val="320894992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894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52702118460866E-2"/>
          <c:y val="9.7452424800491093E-3"/>
          <c:w val="0.95579658452226546"/>
          <c:h val="0.218794505831798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Nominálne saldo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9.05278414693547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4E9-4D2A-AD3C-BA696963D75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2070378862580637E-2"/>
                  <c:y val="5.5436507936507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B4E9-4D2A-AD3C-BA696963D75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0351894312902082E-3"/>
                  <c:y val="1.0079365079365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4E9-4D2A-AD3C-BA696963D75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20+21 '!$B$20:$G$20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'!$B$21:$G$21</c:f>
              <c:numCache>
                <c:formatCode>0.00</c:formatCode>
                <c:ptCount val="6"/>
                <c:pt idx="0">
                  <c:v>-2.2064959832030882</c:v>
                </c:pt>
                <c:pt idx="1">
                  <c:v>-1.0407271892731618</c:v>
                </c:pt>
                <c:pt idx="2">
                  <c:v>-0.79910212580028939</c:v>
                </c:pt>
                <c:pt idx="3">
                  <c:v>-0.31517668539133092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4E9-4D2A-AD3C-BA696963D75B}"/>
            </c:ext>
          </c:extLst>
        </c:ser>
        <c:ser>
          <c:idx val="3"/>
          <c:order val="1"/>
          <c:tx>
            <c:v>Štrukturálne saldo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20+21 '!$B$20:$G$20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'!$B$22:$G$22</c:f>
              <c:numCache>
                <c:formatCode>0.00</c:formatCode>
                <c:ptCount val="6"/>
                <c:pt idx="0">
                  <c:v>-2.0362071520030711</c:v>
                </c:pt>
                <c:pt idx="1">
                  <c:v>-1.0769884619963133</c:v>
                </c:pt>
                <c:pt idx="2">
                  <c:v>-1.0219281882893039</c:v>
                </c:pt>
                <c:pt idx="3">
                  <c:v>-0.7476754017966265</c:v>
                </c:pt>
                <c:pt idx="4">
                  <c:v>-0.42765578470995369</c:v>
                </c:pt>
                <c:pt idx="5">
                  <c:v>-0.31261420543608148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4E9-4D2A-AD3C-BA696963D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5508448"/>
        <c:axId val="324929624"/>
        <c:extLst xmlns:c16r2="http://schemas.microsoft.com/office/drawing/2015/06/chart"/>
      </c:barChart>
      <c:lineChart>
        <c:grouping val="standard"/>
        <c:varyColors val="0"/>
        <c:ser>
          <c:idx val="6"/>
          <c:order val="2"/>
          <c:tx>
            <c:v>Konsolidačné úsilie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4389768690672782E-2"/>
                  <c:y val="-6.0564285714285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4E9-4D2A-AD3C-BA696963D75B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597198626637996E-2"/>
                  <c:y val="3.5189682539682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4E9-4D2A-AD3C-BA696963D75B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'Graf 20+21 '!$B$23:$G$23</c:f>
              <c:numCache>
                <c:formatCode>0.00</c:formatCode>
                <c:ptCount val="6"/>
                <c:pt idx="0">
                  <c:v>0.75179018100000006</c:v>
                </c:pt>
                <c:pt idx="1">
                  <c:v>0.95921869000675786</c:v>
                </c:pt>
                <c:pt idx="2">
                  <c:v>5.5060273707009388E-2</c:v>
                </c:pt>
                <c:pt idx="3">
                  <c:v>0.27425278649267737</c:v>
                </c:pt>
                <c:pt idx="4">
                  <c:v>0.32001961708667281</c:v>
                </c:pt>
                <c:pt idx="5">
                  <c:v>0.11504157927387221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B4E9-4D2A-AD3C-BA696963D7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5508448"/>
        <c:axId val="324929624"/>
        <c:extLst xmlns:c16r2="http://schemas.microsoft.com/office/drawing/2015/06/chart"/>
      </c:lineChart>
      <c:catAx>
        <c:axId val="32550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929624"/>
        <c:crosses val="autoZero"/>
        <c:auto val="1"/>
        <c:lblAlgn val="ctr"/>
        <c:lblOffset val="100"/>
        <c:noMultiLvlLbl val="0"/>
      </c:catAx>
      <c:valAx>
        <c:axId val="324929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550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8.1078968253968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81539126675313"/>
          <c:y val="0.22366712707182315"/>
          <c:w val="0.8408531488687131"/>
          <c:h val="0.65867480049109883"/>
        </c:manualLayout>
      </c:layout>
      <c:barChart>
        <c:barDir val="col"/>
        <c:grouping val="stacked"/>
        <c:varyColors val="0"/>
        <c:ser>
          <c:idx val="7"/>
          <c:order val="0"/>
          <c:tx>
            <c:v>Hrubý dlh (očistený o EFSF a ESM)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20+21 '!$K$20:$P$20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'!$K$22:$P$22</c:f>
              <c:numCache>
                <c:formatCode>0.0</c:formatCode>
                <c:ptCount val="6"/>
                <c:pt idx="0">
                  <c:v>48.689020639412561</c:v>
                </c:pt>
                <c:pt idx="1">
                  <c:v>47.8746175565988</c:v>
                </c:pt>
                <c:pt idx="2">
                  <c:v>46.451302276892996</c:v>
                </c:pt>
                <c:pt idx="3">
                  <c:v>43.881059027738708</c:v>
                </c:pt>
                <c:pt idx="4">
                  <c:v>42.367913804663743</c:v>
                </c:pt>
                <c:pt idx="5">
                  <c:v>40.941541217370158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A2-42D3-B7F2-13DBEDD63672}"/>
            </c:ext>
          </c:extLst>
        </c:ser>
        <c:ser>
          <c:idx val="3"/>
          <c:order val="2"/>
          <c:tx>
            <c:strRef>
              <c:f>'Graf 20+21 '!$J$23</c:f>
              <c:strCache>
                <c:ptCount val="1"/>
                <c:pt idx="0">
                  <c:v>EFSF + ESM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'Graf 20+21 '!$K$20:$P$20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'!$K$23:$P$23</c:f>
              <c:numCache>
                <c:formatCode>0.0</c:formatCode>
                <c:ptCount val="6"/>
                <c:pt idx="0">
                  <c:v>3.1296559117480172</c:v>
                </c:pt>
                <c:pt idx="1">
                  <c:v>2.9885675783811561</c:v>
                </c:pt>
                <c:pt idx="2">
                  <c:v>2.8169951170355376</c:v>
                </c:pt>
                <c:pt idx="3">
                  <c:v>2.643129892969788</c:v>
                </c:pt>
                <c:pt idx="4">
                  <c:v>2.4897829648757033</c:v>
                </c:pt>
                <c:pt idx="5">
                  <c:v>2.3537719126620984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A2-42D3-B7F2-13DBEDD63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930408"/>
        <c:axId val="324930800"/>
        <c:extLst xmlns:c16r2="http://schemas.microsoft.com/office/drawing/2015/06/chart"/>
      </c:barChart>
      <c:lineChart>
        <c:grouping val="standard"/>
        <c:varyColors val="0"/>
        <c:ser>
          <c:idx val="0"/>
          <c:order val="1"/>
          <c:tx>
            <c:strRef>
              <c:f>'Graf 20+21 '!$J$21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EA2-42D3-B7F2-13DBEDD63672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EA2-42D3-B7F2-13DBEDD63672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EA2-42D3-B7F2-13DBEDD63672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EA2-42D3-B7F2-13DBEDD63672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EA2-42D3-B7F2-13DBEDD636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20+21 '!$K$20:$P$20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'!$K$21:$P$21</c:f>
              <c:numCache>
                <c:formatCode>0.0</c:formatCode>
                <c:ptCount val="6"/>
                <c:pt idx="0">
                  <c:v>51.818676551160578</c:v>
                </c:pt>
                <c:pt idx="1">
                  <c:v>50.863185134979958</c:v>
                </c:pt>
                <c:pt idx="2">
                  <c:v>49.268297393928535</c:v>
                </c:pt>
                <c:pt idx="3">
                  <c:v>46.52418892070849</c:v>
                </c:pt>
                <c:pt idx="4">
                  <c:v>44.857696769539444</c:v>
                </c:pt>
                <c:pt idx="5">
                  <c:v>43.295313130032255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EEA2-42D3-B7F2-13DBEDD63672}"/>
            </c:ext>
          </c:extLst>
        </c:ser>
        <c:ser>
          <c:idx val="6"/>
          <c:order val="3"/>
          <c:tx>
            <c:v>Čistý dlh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6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20+21 '!$K$20:$P$20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'!$K$24:$P$24</c:f>
              <c:numCache>
                <c:formatCode>0.0</c:formatCode>
                <c:ptCount val="6"/>
                <c:pt idx="0">
                  <c:v>46.895851029634215</c:v>
                </c:pt>
                <c:pt idx="1">
                  <c:v>45.507185534157529</c:v>
                </c:pt>
                <c:pt idx="2">
                  <c:v>43.93145552362536</c:v>
                </c:pt>
                <c:pt idx="3">
                  <c:v>42.031399329379951</c:v>
                </c:pt>
                <c:pt idx="4">
                  <c:v>40.088206545299599</c:v>
                </c:pt>
                <c:pt idx="5">
                  <c:v>38.493411658087027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EEA2-42D3-B7F2-13DBEDD63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930408"/>
        <c:axId val="324930800"/>
      </c:lineChart>
      <c:catAx>
        <c:axId val="324930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930800"/>
        <c:crosses val="autoZero"/>
        <c:auto val="1"/>
        <c:lblAlgn val="ctr"/>
        <c:lblOffset val="100"/>
        <c:noMultiLvlLbl val="0"/>
      </c:catAx>
      <c:valAx>
        <c:axId val="324930800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930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716728317815579E-2"/>
          <c:y val="0"/>
          <c:w val="0.95579658452226546"/>
          <c:h val="0.194431399631675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20+21 '!$A$45</c:f>
              <c:strCache>
                <c:ptCount val="1"/>
                <c:pt idx="0">
                  <c:v>Gemeral government balance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20+21 '!$B$44:$G$44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'!$B$45:$G$45</c:f>
              <c:numCache>
                <c:formatCode>0.00</c:formatCode>
                <c:ptCount val="6"/>
                <c:pt idx="0">
                  <c:v>-2.2064959832030882</c:v>
                </c:pt>
                <c:pt idx="1">
                  <c:v>-1.0407271892731618</c:v>
                </c:pt>
                <c:pt idx="2">
                  <c:v>-0.79910212580028939</c:v>
                </c:pt>
                <c:pt idx="3">
                  <c:v>-0.31517668539133092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27-4BB9-8C07-9EC63906DA07}"/>
            </c:ext>
          </c:extLst>
        </c:ser>
        <c:ser>
          <c:idx val="3"/>
          <c:order val="3"/>
          <c:tx>
            <c:strRef>
              <c:f>'Graf 20+21 '!$A$46</c:f>
              <c:strCache>
                <c:ptCount val="1"/>
                <c:pt idx="0">
                  <c:v>Structural balance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20+21 '!$B$44:$G$44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'!$B$46:$G$46</c:f>
              <c:numCache>
                <c:formatCode>0.00</c:formatCode>
                <c:ptCount val="6"/>
                <c:pt idx="0">
                  <c:v>-2.0362071520030711</c:v>
                </c:pt>
                <c:pt idx="1">
                  <c:v>-1.0769884619963133</c:v>
                </c:pt>
                <c:pt idx="2">
                  <c:v>-1.0219281882893039</c:v>
                </c:pt>
                <c:pt idx="3">
                  <c:v>-0.7476754017966265</c:v>
                </c:pt>
                <c:pt idx="4">
                  <c:v>-0.42765578470995369</c:v>
                </c:pt>
                <c:pt idx="5">
                  <c:v>-0.31261420543608148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27-4BB9-8C07-9EC63906D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24931584"/>
        <c:axId val="32493197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20+21 '!$B$44:$G$44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-0.76824761672633235</c:v>
                    </c:pt>
                    <c:pt idx="1">
                      <c:v>-0.48303497501143366</c:v>
                    </c:pt>
                    <c:pt idx="2">
                      <c:v>-0.40937913778683582</c:v>
                    </c:pt>
                    <c:pt idx="3">
                      <c:v>-0.26601868576682675</c:v>
                    </c:pt>
                    <c:pt idx="4">
                      <c:v>8.2188494979382049E-2</c:v>
                    </c:pt>
                    <c:pt idx="5">
                      <c:v>0.65512676216840304</c:v>
                    </c:pt>
                  </c:numLit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4-0927-4BB9-8C07-9EC63906DA0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20+21 '!$B$44:$G$44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-1.2519740276885707E-3</c:v>
                    </c:pt>
                    <c:pt idx="1">
                      <c:v>-0.31213125928600882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5-0927-4BB9-8C07-9EC63906DA0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20+21 '!$B$44:$G$44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0.4</c:v>
                    </c:pt>
                    <c:pt idx="1">
                      <c:v>0</c:v>
                    </c:pt>
                    <c:pt idx="2">
                      <c:v>0</c:v>
                    </c:pt>
                    <c:pt idx="3">
                      <c:v>0</c:v>
                    </c:pt>
                    <c:pt idx="4">
                      <c:v>0</c:v>
                    </c:pt>
                    <c:pt idx="5">
                      <c:v>0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7-0927-4BB9-8C07-9EC63906DA0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6"/>
          <c:order val="6"/>
          <c:tx>
            <c:strRef>
              <c:f>'Graf 20+21 '!$A$47</c:f>
              <c:strCache>
                <c:ptCount val="1"/>
                <c:pt idx="0">
                  <c:v>Consolidation effort EC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1.0532215629464728E-2"/>
                  <c:y val="-5.552460317460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927-4BB9-8C07-9EC63906DA07}"/>
                </c:ext>
                <c:ext xmlns:c15="http://schemas.microsoft.com/office/drawing/2012/chart" uri="{CE6537A1-D6FC-4f65-9D91-7224C49458BB}"/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</c:numLit>
          </c:cat>
          <c:val>
            <c:numRef>
              <c:f>'Graf 20+21 '!$B$47:$G$47</c:f>
              <c:numCache>
                <c:formatCode>0.00</c:formatCode>
                <c:ptCount val="6"/>
                <c:pt idx="0">
                  <c:v>0.75179018100000006</c:v>
                </c:pt>
                <c:pt idx="1">
                  <c:v>0.95921869000675786</c:v>
                </c:pt>
                <c:pt idx="2">
                  <c:v>5.5060273707009388E-2</c:v>
                </c:pt>
                <c:pt idx="3">
                  <c:v>0.27425278649267737</c:v>
                </c:pt>
                <c:pt idx="4">
                  <c:v>0.32001961708667281</c:v>
                </c:pt>
                <c:pt idx="5">
                  <c:v>0.11504157927387221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927-4BB9-8C07-9EC63906D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931584"/>
        <c:axId val="324931976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#ODKAZ!</c:v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Lit>
                    <c:formatCode>General</c:formatCode>
                    <c:ptCount val="6"/>
                    <c:pt idx="0">
                      <c:v>2014</c:v>
                    </c:pt>
                    <c:pt idx="1">
                      <c:v>2015</c:v>
                    </c:pt>
                    <c:pt idx="2">
                      <c:v>2016</c:v>
                    </c:pt>
                    <c:pt idx="3">
                      <c:v>2017</c:v>
                    </c:pt>
                    <c:pt idx="4">
                      <c:v>2018</c:v>
                    </c:pt>
                    <c:pt idx="5">
                      <c:v>2019</c:v>
                    </c:pt>
                  </c:numLit>
                </c:cat>
                <c:val>
                  <c:numLit>
                    <c:formatCode>General</c:formatCode>
                    <c:ptCount val="6"/>
                    <c:pt idx="0">
                      <c:v>-0.36519077765016172</c:v>
                    </c:pt>
                    <c:pt idx="1">
                      <c:v>-0.25433335645657884</c:v>
                    </c:pt>
                    <c:pt idx="2">
                      <c:v>0.4542129034893938</c:v>
                    </c:pt>
                    <c:pt idx="3">
                      <c:v>0.69663954797999073</c:v>
                    </c:pt>
                    <c:pt idx="4">
                      <c:v>0.50179281925379127</c:v>
                    </c:pt>
                    <c:pt idx="5">
                      <c:v>2.2188494979382023E-2</c:v>
                    </c:pt>
                  </c:numLit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6-0927-4BB9-8C07-9EC63906DA07}"/>
                  </c:ext>
                </c:extLst>
              </c15:ser>
            </c15:filteredLineSeries>
          </c:ext>
        </c:extLst>
      </c:lineChart>
      <c:catAx>
        <c:axId val="32493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931976"/>
        <c:crosses val="autoZero"/>
        <c:auto val="1"/>
        <c:lblAlgn val="ctr"/>
        <c:lblOffset val="100"/>
        <c:noMultiLvlLbl val="0"/>
      </c:catAx>
      <c:valAx>
        <c:axId val="324931976"/>
        <c:scaling>
          <c:orientation val="minMax"/>
          <c:max val="1.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93158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6.509994083639456E-2"/>
          <c:y val="4.535714285714286E-2"/>
          <c:w val="0.89999995244083164"/>
          <c:h val="0.14667589005718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881539126675313"/>
          <c:y val="0.27367254328716689"/>
          <c:w val="0.8408531488687131"/>
          <c:h val="0.60866944255775723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'Graf 20+21 '!$J$46</c:f>
              <c:strCache>
                <c:ptCount val="1"/>
                <c:pt idx="0">
                  <c:v>Gross debt (excl. ESM and EFSF)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'Graf 20+21 '!$K$44:$P$44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'!$K$22:$P$22</c:f>
              <c:numCache>
                <c:formatCode>0.0</c:formatCode>
                <c:ptCount val="6"/>
                <c:pt idx="0">
                  <c:v>48.689020639412561</c:v>
                </c:pt>
                <c:pt idx="1">
                  <c:v>47.8746175565988</c:v>
                </c:pt>
                <c:pt idx="2">
                  <c:v>46.451302276892996</c:v>
                </c:pt>
                <c:pt idx="3">
                  <c:v>43.881059027738708</c:v>
                </c:pt>
                <c:pt idx="4">
                  <c:v>42.367913804663743</c:v>
                </c:pt>
                <c:pt idx="5">
                  <c:v>40.941541217370158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43-4A3D-9573-997EAFDEC177}"/>
            </c:ext>
          </c:extLst>
        </c:ser>
        <c:ser>
          <c:idx val="3"/>
          <c:order val="4"/>
          <c:tx>
            <c:strRef>
              <c:f>'Graf 20+21 '!$J$47</c:f>
              <c:strCache>
                <c:ptCount val="1"/>
                <c:pt idx="0">
                  <c:v>EFSF and  ESM</c:v>
                </c:pt>
              </c:strCache>
            </c:strRef>
          </c:tx>
          <c:spPr>
            <a:solidFill>
              <a:srgbClr val="AAD3F2"/>
            </a:solidFill>
            <a:ln>
              <a:noFill/>
            </a:ln>
            <a:effectLst/>
          </c:spPr>
          <c:invertIfNegative val="0"/>
          <c:cat>
            <c:numRef>
              <c:f>'Graf 20+21 '!$K$44:$P$44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'!$K$23:$P$23</c:f>
              <c:numCache>
                <c:formatCode>0.0</c:formatCode>
                <c:ptCount val="6"/>
                <c:pt idx="0">
                  <c:v>3.1296559117480172</c:v>
                </c:pt>
                <c:pt idx="1">
                  <c:v>2.9885675783811561</c:v>
                </c:pt>
                <c:pt idx="2">
                  <c:v>2.8169951170355376</c:v>
                </c:pt>
                <c:pt idx="3">
                  <c:v>2.643129892969788</c:v>
                </c:pt>
                <c:pt idx="4">
                  <c:v>2.4897829648757033</c:v>
                </c:pt>
                <c:pt idx="5">
                  <c:v>2.3537719126620984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43-4A3D-9573-997EAFDEC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932760"/>
        <c:axId val="324933152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"/>
                <c:order val="2"/>
                <c:tx>
                  <c:v>#ODKAZ!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20+21 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48.429664545439529</c:v>
                    </c:pt>
                    <c:pt idx="1">
                      <c:v>47.786688287494883</c:v>
                    </c:pt>
                    <c:pt idx="2">
                      <c:v>48.018210304633044</c:v>
                    </c:pt>
                    <c:pt idx="3">
                      <c:v>47.699076618538051</c:v>
                    </c:pt>
                    <c:pt idx="4">
                      <c:v>45.741595905286722</c:v>
                    </c:pt>
                    <c:pt idx="5">
                      <c:v>43.570038399392708</c:v>
                    </c:pt>
                  </c:numLit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E-CF43-4A3D-9573-997EAFDEC177}"/>
                  </c:ext>
                </c:extLst>
              </c15:ser>
            </c15:filteredBarSeries>
            <c15:filteredBarSeries>
              <c15:ser>
                <c:idx val="2"/>
                <c:order val="3"/>
                <c:tx>
                  <c:v>#ODKAZ!</c:v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20+21 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2.6429262410349352</c:v>
                    </c:pt>
                    <c:pt idx="1">
                      <c:v>2.4088898555942739</c:v>
                    </c:pt>
                    <c:pt idx="2">
                      <c:v>2.3339952728793585</c:v>
                    </c:pt>
                    <c:pt idx="3">
                      <c:v>2.2165975348427831</c:v>
                    </c:pt>
                    <c:pt idx="4">
                      <c:v>2.0851298852770812</c:v>
                    </c:pt>
                    <c:pt idx="5">
                      <c:v>1.9510357445666193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0F-CF43-4A3D-9573-997EAFDEC177}"/>
                  </c:ext>
                </c:extLst>
              </c15:ser>
            </c15:filteredBarSeries>
            <c15:filteredBarSeries>
              <c15:ser>
                <c:idx val="4"/>
                <c:order val="5"/>
                <c:tx>
                  <c:v>#ODKAZ!</c:v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20+21 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1.9522579118334271</c:v>
                    </c:pt>
                    <c:pt idx="1">
                      <c:v>1.8680938465954051</c:v>
                    </c:pt>
                    <c:pt idx="2">
                      <c:v>1.6851893271237994</c:v>
                    </c:pt>
                    <c:pt idx="3">
                      <c:v>1.4659619362582053</c:v>
                    </c:pt>
                    <c:pt idx="4">
                      <c:v>1.2490601644404729</c:v>
                    </c:pt>
                    <c:pt idx="5">
                      <c:v>1.0658450998594231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10-CF43-4A3D-9573-997EAFDEC177}"/>
                  </c:ext>
                </c:extLst>
              </c15:ser>
            </c15:filteredBarSeries>
            <c15:filteredBarSeries>
              <c15:ser>
                <c:idx val="5"/>
                <c:order val="6"/>
                <c:tx>
                  <c:v>#ODKAZ!</c:v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'Graf 20+21 '!$K$44:$P$44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2016</c:v>
                      </c:pt>
                      <c:pt idx="1">
                        <c:v>2017</c:v>
                      </c:pt>
                      <c:pt idx="2">
                        <c:v>2018</c:v>
                      </c:pt>
                      <c:pt idx="3">
                        <c:v>2019</c:v>
                      </c:pt>
                      <c:pt idx="4">
                        <c:v>2020</c:v>
                      </c:pt>
                      <c:pt idx="5">
                        <c:v>2021</c:v>
                      </c:pt>
                    </c:numCache>
                  </c:numRef>
                </c:cat>
                <c:val>
                  <c:numLit>
                    <c:formatCode>General</c:formatCode>
                    <c:ptCount val="6"/>
                    <c:pt idx="0">
                      <c:v>-1.0901560276103766</c:v>
                    </c:pt>
                    <c:pt idx="1">
                      <c:v>-0.9892290577345122</c:v>
                    </c:pt>
                    <c:pt idx="2">
                      <c:v>-5.2529058681955121E-2</c:v>
                    </c:pt>
                    <c:pt idx="3">
                      <c:v>-0.69690895178757728</c:v>
                    </c:pt>
                    <c:pt idx="4">
                      <c:v>-2.3519320426307999</c:v>
                    </c:pt>
                    <c:pt idx="5">
                      <c:v>-2.5358692542098993</c:v>
                    </c:pt>
                  </c:numLit>
                </c:val>
                <c:extLst xmlns:c16r2="http://schemas.microsoft.com/office/drawing/2015/06/chart" xmlns:c15="http://schemas.microsoft.com/office/drawing/2012/chart">
                  <c:ext xmlns:c16="http://schemas.microsoft.com/office/drawing/2014/chart" uri="{C3380CC4-5D6E-409C-BE32-E72D297353CC}">
                    <c16:uniqueId val="{00000011-CF43-4A3D-9573-997EAFDEC177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1"/>
          <c:tx>
            <c:strRef>
              <c:f>'Graf 20+21 '!$J$45</c:f>
              <c:strCache>
                <c:ptCount val="1"/>
                <c:pt idx="0">
                  <c:v>General government gross debt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  <a:prstDash val="sysDot"/>
                </a:ln>
                <a:effectLst/>
              </c:spPr>
            </c:marker>
            <c:bubble3D val="0"/>
            <c:spPr>
              <a:ln w="28575" cap="rnd">
                <a:noFill/>
                <a:prstDash val="sysDot"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F43-4A3D-9573-997EAFDEC177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F43-4A3D-9573-997EAFDEC177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F43-4A3D-9573-997EAFDEC177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F43-4A3D-9573-997EAFDEC177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28575" cap="rnd">
                <a:noFill/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F43-4A3D-9573-997EAFDEC1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20+21 '!$K$44:$P$44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'!$K$21:$P$21</c:f>
              <c:numCache>
                <c:formatCode>0.0</c:formatCode>
                <c:ptCount val="6"/>
                <c:pt idx="0">
                  <c:v>51.818676551160578</c:v>
                </c:pt>
                <c:pt idx="1">
                  <c:v>50.863185134979958</c:v>
                </c:pt>
                <c:pt idx="2">
                  <c:v>49.268297393928535</c:v>
                </c:pt>
                <c:pt idx="3">
                  <c:v>46.52418892070849</c:v>
                </c:pt>
                <c:pt idx="4">
                  <c:v>44.857696769539444</c:v>
                </c:pt>
                <c:pt idx="5">
                  <c:v>43.295313130032255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CF43-4A3D-9573-997EAFDEC177}"/>
            </c:ext>
          </c:extLst>
        </c:ser>
        <c:ser>
          <c:idx val="6"/>
          <c:order val="7"/>
          <c:tx>
            <c:strRef>
              <c:f>'Graf 20+21 '!$J$48</c:f>
              <c:strCache>
                <c:ptCount val="1"/>
                <c:pt idx="0">
                  <c:v>Net debt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F9C9BA"/>
              </a:solidFill>
              <a:ln w="9525">
                <a:solidFill>
                  <a:srgbClr val="F9C9BA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6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20+21 '!$K$44:$P$44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20+21 '!$K$24:$P$24</c:f>
              <c:numCache>
                <c:formatCode>0.0</c:formatCode>
                <c:ptCount val="6"/>
                <c:pt idx="0">
                  <c:v>46.895851029634215</c:v>
                </c:pt>
                <c:pt idx="1">
                  <c:v>45.507185534157529</c:v>
                </c:pt>
                <c:pt idx="2">
                  <c:v>43.93145552362536</c:v>
                </c:pt>
                <c:pt idx="3">
                  <c:v>42.031399329379951</c:v>
                </c:pt>
                <c:pt idx="4">
                  <c:v>40.088206545299599</c:v>
                </c:pt>
                <c:pt idx="5">
                  <c:v>38.493411658087027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CF43-4A3D-9573-997EAFDEC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932760"/>
        <c:axId val="324933152"/>
      </c:lineChart>
      <c:catAx>
        <c:axId val="324932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933152"/>
        <c:crosses val="autoZero"/>
        <c:auto val="1"/>
        <c:lblAlgn val="ctr"/>
        <c:lblOffset val="100"/>
        <c:noMultiLvlLbl val="0"/>
      </c:catAx>
      <c:valAx>
        <c:axId val="324933152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4932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252702118460866E-2"/>
          <c:y val="9.7452424800491093E-3"/>
          <c:w val="0.95579658452226546"/>
          <c:h val="0.218794505831798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A73C-40E2-A06B-78FF861E8416}"/>
              </c:ext>
            </c:extLst>
          </c:dPt>
          <c:dPt>
            <c:idx val="7"/>
            <c:invertIfNegative val="0"/>
            <c:bubble3D val="0"/>
            <c:spPr>
              <a:solidFill>
                <a:srgbClr val="F9C9BA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355-4C22-BC00-15557E3044CD}"/>
              </c:ext>
            </c:extLst>
          </c:dPt>
          <c:dPt>
            <c:idx val="8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73C-40E2-A06B-78FF861E8416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A73C-40E2-A06B-78FF861E8416}"/>
              </c:ext>
            </c:extLst>
          </c:dPt>
          <c:dPt>
            <c:idx val="10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73C-40E2-A06B-78FF861E8416}"/>
              </c:ext>
            </c:extLst>
          </c:dPt>
          <c:cat>
            <c:strRef>
              <c:f>'Graf 22'!$B$25:$B$39</c:f>
              <c:strCache>
                <c:ptCount val="15"/>
                <c:pt idx="0">
                  <c:v>Saldo VS - rozpočet</c:v>
                </c:pt>
                <c:pt idx="1">
                  <c:v>Príspevky na sociálne zabezpečenie (D.61)</c:v>
                </c:pt>
                <c:pt idx="2">
                  <c:v>Ostatné bežné transfery (D.7P)</c:v>
                </c:pt>
                <c:pt idx="3">
                  <c:v>Nedaňové príjmy (P.11+P.12+P.131+D.4)</c:v>
                </c:pt>
                <c:pt idx="4">
                  <c:v>Kapitálové výdavky (P.5L+ D.9P)</c:v>
                </c:pt>
                <c:pt idx="5">
                  <c:v>Subvencie (D.3P)</c:v>
                </c:pt>
                <c:pt idx="6">
                  <c:v>Granty a transfery (D.39+D.7R+D.9R)</c:v>
                </c:pt>
                <c:pt idx="7">
                  <c:v>Kompenzácie zamestnancov (D.1P)</c:v>
                </c:pt>
                <c:pt idx="8">
                  <c:v>Daňové príjmy (D.2+D.5+D.91)</c:v>
                </c:pt>
                <c:pt idx="9">
                  <c:v>Medzispotreba (P.2)</c:v>
                </c:pt>
                <c:pt idx="10">
                  <c:v>Výdavky na sociálne dávky (D.62P)</c:v>
                </c:pt>
                <c:pt idx="11">
                  <c:v>Úrokové náklady (D.41P)</c:v>
                </c:pt>
                <c:pt idx="12">
                  <c:v>Dane (D.2+D.5)</c:v>
                </c:pt>
                <c:pt idx="13">
                  <c:v>Výdavky verejného zdravotného poistenia (D.632P)</c:v>
                </c:pt>
                <c:pt idx="14">
                  <c:v>Saldo VS - skutočnosť</c:v>
                </c:pt>
              </c:strCache>
            </c:strRef>
          </c:cat>
          <c:val>
            <c:numRef>
              <c:f>'Graf 22'!$E$25:$E$39</c:f>
              <c:numCache>
                <c:formatCode>#,##0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-124.53499999999372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75.091000000005351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73C-40E2-A06B-78FF861E8416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22'!$B$25:$B$39</c:f>
              <c:strCache>
                <c:ptCount val="15"/>
                <c:pt idx="0">
                  <c:v>Saldo VS - rozpočet</c:v>
                </c:pt>
                <c:pt idx="1">
                  <c:v>Príspevky na sociálne zabezpečenie (D.61)</c:v>
                </c:pt>
                <c:pt idx="2">
                  <c:v>Ostatné bežné transfery (D.7P)</c:v>
                </c:pt>
                <c:pt idx="3">
                  <c:v>Nedaňové príjmy (P.11+P.12+P.131+D.4)</c:v>
                </c:pt>
                <c:pt idx="4">
                  <c:v>Kapitálové výdavky (P.5L+ D.9P)</c:v>
                </c:pt>
                <c:pt idx="5">
                  <c:v>Subvencie (D.3P)</c:v>
                </c:pt>
                <c:pt idx="6">
                  <c:v>Granty a transfery (D.39+D.7R+D.9R)</c:v>
                </c:pt>
                <c:pt idx="7">
                  <c:v>Kompenzácie zamestnancov (D.1P)</c:v>
                </c:pt>
                <c:pt idx="8">
                  <c:v>Daňové príjmy (D.2+D.5+D.91)</c:v>
                </c:pt>
                <c:pt idx="9">
                  <c:v>Medzispotreba (P.2)</c:v>
                </c:pt>
                <c:pt idx="10">
                  <c:v>Výdavky na sociálne dávky (D.62P)</c:v>
                </c:pt>
                <c:pt idx="11">
                  <c:v>Úrokové náklady (D.41P)</c:v>
                </c:pt>
                <c:pt idx="12">
                  <c:v>Dane (D.2+D.5)</c:v>
                </c:pt>
                <c:pt idx="13">
                  <c:v>Výdavky verejného zdravotného poistenia (D.632P)</c:v>
                </c:pt>
                <c:pt idx="14">
                  <c:v>Saldo VS - skutočnosť</c:v>
                </c:pt>
              </c:strCache>
            </c:strRef>
          </c:cat>
          <c:val>
            <c:numRef>
              <c:f>'Graf 22'!$F$25:$F$39</c:f>
              <c:numCache>
                <c:formatCode>#,##0</c:formatCode>
                <c:ptCount val="15"/>
                <c:pt idx="1">
                  <c:v>-583.48699999999371</c:v>
                </c:pt>
                <c:pt idx="2">
                  <c:v>-124.53499999999372</c:v>
                </c:pt>
                <c:pt idx="3">
                  <c:v>0</c:v>
                </c:pt>
                <c:pt idx="4">
                  <c:v>194.61300000000551</c:v>
                </c:pt>
                <c:pt idx="5">
                  <c:v>511.24000000000547</c:v>
                </c:pt>
                <c:pt idx="6">
                  <c:v>75.091000000005351</c:v>
                </c:pt>
                <c:pt idx="7">
                  <c:v>0</c:v>
                </c:pt>
                <c:pt idx="8">
                  <c:v>-385.0679999999943</c:v>
                </c:pt>
                <c:pt idx="9">
                  <c:v>-635.10899999999356</c:v>
                </c:pt>
                <c:pt idx="10">
                  <c:v>-708.64299999999321</c:v>
                </c:pt>
                <c:pt idx="11">
                  <c:v>-771.58499999999231</c:v>
                </c:pt>
                <c:pt idx="12">
                  <c:v>-831.00399999999217</c:v>
                </c:pt>
                <c:pt idx="13">
                  <c:v>-871.88899999999217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A73C-40E2-A06B-78FF861E8416}"/>
            </c:ext>
          </c:extLst>
        </c:ser>
        <c:ser>
          <c:idx val="2"/>
          <c:order val="2"/>
          <c:spPr>
            <a:solidFill>
              <a:srgbClr val="C5E0B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D3F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73C-40E2-A06B-78FF861E8416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A73C-40E2-A06B-78FF861E8416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A73C-40E2-A06B-78FF861E8416}"/>
              </c:ext>
            </c:extLst>
          </c:dPt>
          <c:dPt>
            <c:idx val="3"/>
            <c:invertIfNegative val="0"/>
            <c:bubble3D val="0"/>
            <c:spPr>
              <a:solidFill>
                <a:srgbClr val="C5E0B4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73C-40E2-A06B-78FF861E8416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A73C-40E2-A06B-78FF861E8416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A73C-40E2-A06B-78FF861E8416}"/>
              </c:ext>
            </c:extLst>
          </c:dPt>
          <c:dPt>
            <c:idx val="6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73C-40E2-A06B-78FF861E8416}"/>
              </c:ext>
            </c:extLst>
          </c:dPt>
          <c:dPt>
            <c:idx val="7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73C-40E2-A06B-78FF861E8416}"/>
              </c:ext>
            </c:extLst>
          </c:dPt>
          <c:dPt>
            <c:idx val="8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A73C-40E2-A06B-78FF861E8416}"/>
              </c:ext>
            </c:extLst>
          </c:dPt>
          <c:dPt>
            <c:idx val="9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A73C-40E2-A06B-78FF861E8416}"/>
              </c:ext>
            </c:extLst>
          </c:dPt>
          <c:dPt>
            <c:idx val="10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A73C-40E2-A06B-78FF861E8416}"/>
              </c:ext>
            </c:extLst>
          </c:dPt>
          <c:dPt>
            <c:idx val="11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A73C-40E2-A06B-78FF861E8416}"/>
              </c:ext>
            </c:extLst>
          </c:dPt>
          <c:dPt>
            <c:idx val="12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A73C-40E2-A06B-78FF861E8416}"/>
              </c:ext>
            </c:extLst>
          </c:dPt>
          <c:dPt>
            <c:idx val="13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A73C-40E2-A06B-78FF861E8416}"/>
              </c:ext>
            </c:extLst>
          </c:dPt>
          <c:dPt>
            <c:idx val="14"/>
            <c:invertIfNegative val="0"/>
            <c:bubble3D val="0"/>
            <c:spPr>
              <a:solidFill>
                <a:srgbClr val="AAD3F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A73C-40E2-A06B-78FF861E841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A73C-40E2-A06B-78FF861E8416}"/>
              </c:ext>
            </c:extLst>
          </c:dPt>
          <c:dPt>
            <c:idx val="16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A73C-40E2-A06B-78FF861E8416}"/>
              </c:ext>
            </c:extLst>
          </c:dPt>
          <c:dLbls>
            <c:dLbl>
              <c:idx val="0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8FE6F7CC-85A6-4C80-ABE3-9B0E19BFD5A4}" type="VALUE">
                      <a:rPr lang="en-US"/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Arial Narrow" panose="020B0606020202030204" pitchFamily="34" charset="0"/>
                          <a:ea typeface="+mn-ea"/>
                          <a:cs typeface="+mn-cs"/>
                        </a:defRPr>
                      </a:pPr>
                      <a:t>[HODNOTA]</a:t>
                    </a:fld>
                    <a:r>
                      <a:rPr lang="en-US"/>
                      <a:t> </a:t>
                    </a: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(-1,29 % HDP)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A73C-40E2-A06B-78FF861E8416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500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459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E281CDA2-0A9E-44F4-8500-DEF01E1AB230}" type="VALUE">
                      <a:rPr lang="en-US"/>
                      <a:pPr/>
                      <a:t>[HODNOTA]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0A50328-C43F-4624-9FF8-1DFFBBADC314}" type="VALUE">
                      <a:rPr lang="en-US"/>
                      <a:pPr/>
                      <a:t>[HODNOTA]</a:t>
                    </a:fld>
                    <a:r>
                      <a:rPr lang="en-US"/>
                      <a:t> (-1,04</a:t>
                    </a:r>
                    <a:r>
                      <a:rPr lang="en-US" baseline="0"/>
                      <a:t> % HDP)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A73C-40E2-A06B-78FF861E8416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22'!$B$25:$B$39</c:f>
              <c:strCache>
                <c:ptCount val="15"/>
                <c:pt idx="0">
                  <c:v>Saldo VS - rozpočet</c:v>
                </c:pt>
                <c:pt idx="1">
                  <c:v>Príspevky na sociálne zabezpečenie (D.61)</c:v>
                </c:pt>
                <c:pt idx="2">
                  <c:v>Ostatné bežné transfery (D.7P)</c:v>
                </c:pt>
                <c:pt idx="3">
                  <c:v>Nedaňové príjmy (P.11+P.12+P.131+D.4)</c:v>
                </c:pt>
                <c:pt idx="4">
                  <c:v>Kapitálové výdavky (P.5L+ D.9P)</c:v>
                </c:pt>
                <c:pt idx="5">
                  <c:v>Subvencie (D.3P)</c:v>
                </c:pt>
                <c:pt idx="6">
                  <c:v>Granty a transfery (D.39+D.7R+D.9R)</c:v>
                </c:pt>
                <c:pt idx="7">
                  <c:v>Kompenzácie zamestnancov (D.1P)</c:v>
                </c:pt>
                <c:pt idx="8">
                  <c:v>Daňové príjmy (D.2+D.5+D.91)</c:v>
                </c:pt>
                <c:pt idx="9">
                  <c:v>Medzispotreba (P.2)</c:v>
                </c:pt>
                <c:pt idx="10">
                  <c:v>Výdavky na sociálne dávky (D.62P)</c:v>
                </c:pt>
                <c:pt idx="11">
                  <c:v>Úrokové náklady (D.41P)</c:v>
                </c:pt>
                <c:pt idx="12">
                  <c:v>Dane (D.2+D.5)</c:v>
                </c:pt>
                <c:pt idx="13">
                  <c:v>Výdavky verejného zdravotného poistenia (D.632P)</c:v>
                </c:pt>
                <c:pt idx="14">
                  <c:v>Saldo VS - skutočnosť</c:v>
                </c:pt>
              </c:strCache>
            </c:strRef>
          </c:cat>
          <c:val>
            <c:numRef>
              <c:f>'Graf 22'!$G$25:$G$39</c:f>
              <c:numCache>
                <c:formatCode>#,##0</c:formatCode>
                <c:ptCount val="15"/>
                <c:pt idx="0">
                  <c:v>-1083.4889999999941</c:v>
                </c:pt>
                <c:pt idx="1">
                  <c:v>-500.00200000000041</c:v>
                </c:pt>
                <c:pt idx="2">
                  <c:v>-458.952</c:v>
                </c:pt>
                <c:pt idx="3">
                  <c:v>194.61300000000551</c:v>
                </c:pt>
                <c:pt idx="4">
                  <c:v>316.62699999999995</c:v>
                </c:pt>
                <c:pt idx="5">
                  <c:v>116.96899999999999</c:v>
                </c:pt>
                <c:pt idx="6">
                  <c:v>553.11800000000017</c:v>
                </c:pt>
                <c:pt idx="7">
                  <c:v>-385.0679999999943</c:v>
                </c:pt>
                <c:pt idx="8">
                  <c:v>-250.04099999999926</c:v>
                </c:pt>
                <c:pt idx="9">
                  <c:v>-73.533999999999651</c:v>
                </c:pt>
                <c:pt idx="10">
                  <c:v>-62.941999999999098</c:v>
                </c:pt>
                <c:pt idx="11">
                  <c:v>-59.418999999999869</c:v>
                </c:pt>
                <c:pt idx="12">
                  <c:v>-40.884999999999991</c:v>
                </c:pt>
                <c:pt idx="13">
                  <c:v>-12.575000000000728</c:v>
                </c:pt>
                <c:pt idx="14">
                  <c:v>-884.46399999999289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A73C-40E2-A06B-78FF861E8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24933936"/>
        <c:axId val="324934328"/>
      </c:barChart>
      <c:catAx>
        <c:axId val="3249339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324934328"/>
        <c:crosses val="autoZero"/>
        <c:auto val="1"/>
        <c:lblAlgn val="ctr"/>
        <c:lblOffset val="100"/>
        <c:noMultiLvlLbl val="0"/>
      </c:catAx>
      <c:valAx>
        <c:axId val="324934328"/>
        <c:scaling>
          <c:orientation val="minMax"/>
          <c:max val="800"/>
          <c:min val="-13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24933936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7804882109787443"/>
          <c:y val="8.1858837755853175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2FA0-44F3-B67E-B9BA628B716A}"/>
              </c:ext>
            </c:extLst>
          </c:dPt>
          <c:dPt>
            <c:idx val="7"/>
            <c:invertIfNegative val="0"/>
            <c:bubble3D val="0"/>
            <c:spPr>
              <a:solidFill>
                <a:srgbClr val="F9C9BA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3CA-4626-B630-FC855DC49A14}"/>
              </c:ext>
            </c:extLst>
          </c:dPt>
          <c:dPt>
            <c:idx val="8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FA0-44F3-B67E-B9BA628B716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2FA0-44F3-B67E-B9BA628B716A}"/>
              </c:ext>
            </c:extLst>
          </c:dPt>
          <c:dPt>
            <c:idx val="10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FA0-44F3-B67E-B9BA628B716A}"/>
              </c:ext>
            </c:extLst>
          </c:dPt>
          <c:cat>
            <c:strRef>
              <c:f>'Graf 22'!$K$25:$K$39</c:f>
              <c:strCache>
                <c:ptCount val="15"/>
                <c:pt idx="0">
                  <c:v>Headline balance - Budget</c:v>
                </c:pt>
                <c:pt idx="1">
                  <c:v>Social contributions (D.61)</c:v>
                </c:pt>
                <c:pt idx="2">
                  <c:v>Other current transfers (D.7P)</c:v>
                </c:pt>
                <c:pt idx="3">
                  <c:v>Nontax revenues (P.11+P.12+P.131+D.4)</c:v>
                </c:pt>
                <c:pt idx="4">
                  <c:v>Capital expenditures (P.5L+ D.9P)</c:v>
                </c:pt>
                <c:pt idx="5">
                  <c:v>Subsidies (D.3P)</c:v>
                </c:pt>
                <c:pt idx="6">
                  <c:v>Grants and transfers (D.39+D.7R+D.9R)</c:v>
                </c:pt>
                <c:pt idx="7">
                  <c:v>Compensations (D.1P)</c:v>
                </c:pt>
                <c:pt idx="8">
                  <c:v>Tax revenue (D.2+D.5+D.91)</c:v>
                </c:pt>
                <c:pt idx="9">
                  <c:v>Intermediate consumption (P.2)</c:v>
                </c:pt>
                <c:pt idx="10">
                  <c:v>Social benefits expenditure (D.62P)</c:v>
                </c:pt>
                <c:pt idx="11">
                  <c:v>Interests (D.41P)</c:v>
                </c:pt>
                <c:pt idx="12">
                  <c:v>Taxes (D.2+D.5)</c:v>
                </c:pt>
                <c:pt idx="13">
                  <c:v>Expenditure on healthcare (D.632P)</c:v>
                </c:pt>
                <c:pt idx="14">
                  <c:v>Headline balance - Final</c:v>
                </c:pt>
              </c:strCache>
            </c:strRef>
          </c:cat>
          <c:val>
            <c:numRef>
              <c:f>'Graf 22'!$N$25:$N$39</c:f>
              <c:numCache>
                <c:formatCode>#,##0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-124.53499999999372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75.091000000005351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FA0-44F3-B67E-B9BA628B716A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22'!$K$25:$K$39</c:f>
              <c:strCache>
                <c:ptCount val="15"/>
                <c:pt idx="0">
                  <c:v>Headline balance - Budget</c:v>
                </c:pt>
                <c:pt idx="1">
                  <c:v>Social contributions (D.61)</c:v>
                </c:pt>
                <c:pt idx="2">
                  <c:v>Other current transfers (D.7P)</c:v>
                </c:pt>
                <c:pt idx="3">
                  <c:v>Nontax revenues (P.11+P.12+P.131+D.4)</c:v>
                </c:pt>
                <c:pt idx="4">
                  <c:v>Capital expenditures (P.5L+ D.9P)</c:v>
                </c:pt>
                <c:pt idx="5">
                  <c:v>Subsidies (D.3P)</c:v>
                </c:pt>
                <c:pt idx="6">
                  <c:v>Grants and transfers (D.39+D.7R+D.9R)</c:v>
                </c:pt>
                <c:pt idx="7">
                  <c:v>Compensations (D.1P)</c:v>
                </c:pt>
                <c:pt idx="8">
                  <c:v>Tax revenue (D.2+D.5+D.91)</c:v>
                </c:pt>
                <c:pt idx="9">
                  <c:v>Intermediate consumption (P.2)</c:v>
                </c:pt>
                <c:pt idx="10">
                  <c:v>Social benefits expenditure (D.62P)</c:v>
                </c:pt>
                <c:pt idx="11">
                  <c:v>Interests (D.41P)</c:v>
                </c:pt>
                <c:pt idx="12">
                  <c:v>Taxes (D.2+D.5)</c:v>
                </c:pt>
                <c:pt idx="13">
                  <c:v>Expenditure on healthcare (D.632P)</c:v>
                </c:pt>
                <c:pt idx="14">
                  <c:v>Headline balance - Final</c:v>
                </c:pt>
              </c:strCache>
            </c:strRef>
          </c:cat>
          <c:val>
            <c:numRef>
              <c:f>'Graf 22'!$O$25:$O$39</c:f>
              <c:numCache>
                <c:formatCode>#,##0</c:formatCode>
                <c:ptCount val="15"/>
                <c:pt idx="1">
                  <c:v>-583.48699999999371</c:v>
                </c:pt>
                <c:pt idx="2">
                  <c:v>-124.53499999999372</c:v>
                </c:pt>
                <c:pt idx="3">
                  <c:v>0</c:v>
                </c:pt>
                <c:pt idx="4">
                  <c:v>194.61300000000551</c:v>
                </c:pt>
                <c:pt idx="5">
                  <c:v>511.24000000000547</c:v>
                </c:pt>
                <c:pt idx="6">
                  <c:v>75.091000000005351</c:v>
                </c:pt>
                <c:pt idx="7">
                  <c:v>0</c:v>
                </c:pt>
                <c:pt idx="8">
                  <c:v>-385.0679999999943</c:v>
                </c:pt>
                <c:pt idx="9">
                  <c:v>-635.10899999999356</c:v>
                </c:pt>
                <c:pt idx="10">
                  <c:v>-708.64299999999321</c:v>
                </c:pt>
                <c:pt idx="11">
                  <c:v>-771.58499999999231</c:v>
                </c:pt>
                <c:pt idx="12">
                  <c:v>-831.00399999999217</c:v>
                </c:pt>
                <c:pt idx="13">
                  <c:v>-871.88899999999217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FA0-44F3-B67E-B9BA628B716A}"/>
            </c:ext>
          </c:extLst>
        </c:ser>
        <c:ser>
          <c:idx val="2"/>
          <c:order val="2"/>
          <c:spPr>
            <a:solidFill>
              <a:srgbClr val="C5E0B4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AAD3F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FA0-44F3-B67E-B9BA628B716A}"/>
              </c:ext>
            </c:extLst>
          </c:dPt>
          <c:dPt>
            <c:idx val="1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2FA0-44F3-B67E-B9BA628B716A}"/>
              </c:ext>
            </c:extLst>
          </c:dPt>
          <c:dPt>
            <c:idx val="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B-2FA0-44F3-B67E-B9BA628B716A}"/>
              </c:ext>
            </c:extLst>
          </c:dPt>
          <c:dPt>
            <c:idx val="3"/>
            <c:invertIfNegative val="0"/>
            <c:bubble3D val="0"/>
            <c:spPr>
              <a:solidFill>
                <a:srgbClr val="C5E0B4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FA0-44F3-B67E-B9BA628B716A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E-2FA0-44F3-B67E-B9BA628B716A}"/>
              </c:ext>
            </c:extLst>
          </c:dPt>
          <c:dPt>
            <c:idx val="5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F-2FA0-44F3-B67E-B9BA628B716A}"/>
              </c:ext>
            </c:extLst>
          </c:dPt>
          <c:dPt>
            <c:idx val="6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FA0-44F3-B67E-B9BA628B716A}"/>
              </c:ext>
            </c:extLst>
          </c:dPt>
          <c:dPt>
            <c:idx val="7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FA0-44F3-B67E-B9BA628B716A}"/>
              </c:ext>
            </c:extLst>
          </c:dPt>
          <c:dPt>
            <c:idx val="8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2FA0-44F3-B67E-B9BA628B716A}"/>
              </c:ext>
            </c:extLst>
          </c:dPt>
          <c:dPt>
            <c:idx val="9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2FA0-44F3-B67E-B9BA628B716A}"/>
              </c:ext>
            </c:extLst>
          </c:dPt>
          <c:dPt>
            <c:idx val="10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9-2FA0-44F3-B67E-B9BA628B716A}"/>
              </c:ext>
            </c:extLst>
          </c:dPt>
          <c:dPt>
            <c:idx val="11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2FA0-44F3-B67E-B9BA628B716A}"/>
              </c:ext>
            </c:extLst>
          </c:dPt>
          <c:dPt>
            <c:idx val="12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D-2FA0-44F3-B67E-B9BA628B716A}"/>
              </c:ext>
            </c:extLst>
          </c:dPt>
          <c:dPt>
            <c:idx val="13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F-2FA0-44F3-B67E-B9BA628B716A}"/>
              </c:ext>
            </c:extLst>
          </c:dPt>
          <c:dPt>
            <c:idx val="14"/>
            <c:invertIfNegative val="0"/>
            <c:bubble3D val="0"/>
            <c:spPr>
              <a:solidFill>
                <a:srgbClr val="AAD3F2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1-2FA0-44F3-B67E-B9BA628B716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3-2FA0-44F3-B67E-B9BA628B716A}"/>
              </c:ext>
            </c:extLst>
          </c:dPt>
          <c:dPt>
            <c:idx val="16"/>
            <c:invertIfNegative val="0"/>
            <c:bubble3D val="0"/>
            <c:spPr>
              <a:solidFill>
                <a:srgbClr val="F8CBAD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5-2FA0-44F3-B67E-B9BA628B716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1AD508BA-16FF-4886-B8E7-9C9AC395DA1A}" type="VALUE">
                      <a:rPr lang="en-US"/>
                      <a:pPr/>
                      <a:t>[HODNOTA]</a:t>
                    </a:fld>
                    <a:r>
                      <a:rPr lang="en-US"/>
                      <a:t> (-1.29</a:t>
                    </a:r>
                    <a:r>
                      <a:rPr lang="en-US" baseline="0"/>
                      <a:t> % of GDP)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500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459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-553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  <a:ea typeface="+mn-ea"/>
                        <a:cs typeface="+mn-cs"/>
                      </a:defRPr>
                    </a:pPr>
                    <a:fld id="{C2B0A7CB-712E-43F6-8845-F013404D0C15}" type="VALUE">
                      <a:rPr lang="en-US"/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Arial Narrow" panose="020B0606020202030204" pitchFamily="34" charset="0"/>
                          <a:ea typeface="+mn-ea"/>
                          <a:cs typeface="+mn-cs"/>
                        </a:defRPr>
                      </a:pPr>
                      <a:t>[HODNOTA]</a:t>
                    </a:fld>
                    <a:r>
                      <a:rPr lang="en-US"/>
                      <a:t> </a:t>
                    </a:r>
                    <a:r>
                      <a:rPr lang="en-US" sz="1000" b="0" i="0" u="none" strike="noStrike" kern="1200" baseline="0">
                        <a:solidFill>
                          <a:sysClr val="windowText" lastClr="000000"/>
                        </a:solidFill>
                        <a:latin typeface="Arial Narrow" panose="020B0606020202030204" pitchFamily="34" charset="0"/>
                      </a:rPr>
                      <a:t>(-1.04 % of GDP)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2FA0-44F3-B67E-B9BA628B716A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22'!$K$25:$K$39</c:f>
              <c:strCache>
                <c:ptCount val="15"/>
                <c:pt idx="0">
                  <c:v>Headline balance - Budget</c:v>
                </c:pt>
                <c:pt idx="1">
                  <c:v>Social contributions (D.61)</c:v>
                </c:pt>
                <c:pt idx="2">
                  <c:v>Other current transfers (D.7P)</c:v>
                </c:pt>
                <c:pt idx="3">
                  <c:v>Nontax revenues (P.11+P.12+P.131+D.4)</c:v>
                </c:pt>
                <c:pt idx="4">
                  <c:v>Capital expenditures (P.5L+ D.9P)</c:v>
                </c:pt>
                <c:pt idx="5">
                  <c:v>Subsidies (D.3P)</c:v>
                </c:pt>
                <c:pt idx="6">
                  <c:v>Grants and transfers (D.39+D.7R+D.9R)</c:v>
                </c:pt>
                <c:pt idx="7">
                  <c:v>Compensations (D.1P)</c:v>
                </c:pt>
                <c:pt idx="8">
                  <c:v>Tax revenue (D.2+D.5+D.91)</c:v>
                </c:pt>
                <c:pt idx="9">
                  <c:v>Intermediate consumption (P.2)</c:v>
                </c:pt>
                <c:pt idx="10">
                  <c:v>Social benefits expenditure (D.62P)</c:v>
                </c:pt>
                <c:pt idx="11">
                  <c:v>Interests (D.41P)</c:v>
                </c:pt>
                <c:pt idx="12">
                  <c:v>Taxes (D.2+D.5)</c:v>
                </c:pt>
                <c:pt idx="13">
                  <c:v>Expenditure on healthcare (D.632P)</c:v>
                </c:pt>
                <c:pt idx="14">
                  <c:v>Headline balance - Final</c:v>
                </c:pt>
              </c:strCache>
            </c:strRef>
          </c:cat>
          <c:val>
            <c:numRef>
              <c:f>'Graf 22'!$P$25:$P$39</c:f>
              <c:numCache>
                <c:formatCode>#,##0</c:formatCode>
                <c:ptCount val="15"/>
                <c:pt idx="0">
                  <c:v>-1083.4889999999941</c:v>
                </c:pt>
                <c:pt idx="1">
                  <c:v>-500.00200000000041</c:v>
                </c:pt>
                <c:pt idx="2">
                  <c:v>-458.952</c:v>
                </c:pt>
                <c:pt idx="3">
                  <c:v>194.61300000000551</c:v>
                </c:pt>
                <c:pt idx="4">
                  <c:v>316.62699999999995</c:v>
                </c:pt>
                <c:pt idx="5">
                  <c:v>116.96899999999999</c:v>
                </c:pt>
                <c:pt idx="6">
                  <c:v>553.11800000000017</c:v>
                </c:pt>
                <c:pt idx="7">
                  <c:v>-385.0679999999943</c:v>
                </c:pt>
                <c:pt idx="8">
                  <c:v>-250.04099999999926</c:v>
                </c:pt>
                <c:pt idx="9">
                  <c:v>-73.533999999999651</c:v>
                </c:pt>
                <c:pt idx="10">
                  <c:v>-62.941999999999098</c:v>
                </c:pt>
                <c:pt idx="11">
                  <c:v>-59.418999999999869</c:v>
                </c:pt>
                <c:pt idx="12">
                  <c:v>-40.884999999999991</c:v>
                </c:pt>
                <c:pt idx="13">
                  <c:v>-12.575000000000728</c:v>
                </c:pt>
                <c:pt idx="14">
                  <c:v>-884.46399999999289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7-2FA0-44F3-B67E-B9BA628B7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24935112"/>
        <c:axId val="324935504"/>
      </c:barChart>
      <c:catAx>
        <c:axId val="3249351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324935504"/>
        <c:crosses val="autoZero"/>
        <c:auto val="1"/>
        <c:lblAlgn val="ctr"/>
        <c:lblOffset val="100"/>
        <c:noMultiLvlLbl val="0"/>
      </c:catAx>
      <c:valAx>
        <c:axId val="324935504"/>
        <c:scaling>
          <c:orientation val="minMax"/>
          <c:max val="800"/>
          <c:min val="-13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24935112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34951881014875"/>
          <c:y val="5.7607275729865758E-2"/>
          <c:w val="0.53229793644215539"/>
          <c:h val="0.847475114362837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23+24'!$B$25</c:f>
              <c:strCache>
                <c:ptCount val="1"/>
                <c:pt idx="0">
                  <c:v>vplyv jednorázových faktorov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'Graf 23+24'!$C$25</c:f>
              <c:numCache>
                <c:formatCode>0</c:formatCode>
                <c:ptCount val="1"/>
                <c:pt idx="0">
                  <c:v>51.263393909999678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890-4B35-9807-E692267F1995}"/>
            </c:ext>
          </c:extLst>
        </c:ser>
        <c:ser>
          <c:idx val="2"/>
          <c:order val="1"/>
          <c:tx>
            <c:strRef>
              <c:f>'Graf 23+24'!$B$24</c:f>
              <c:strCache>
                <c:ptCount val="1"/>
                <c:pt idx="0">
                  <c:v>vplyv novej legislatívy (len dane IFP)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'Graf 23+24'!$C$24</c:f>
              <c:numCache>
                <c:formatCode>0</c:formatCode>
                <c:ptCount val="1"/>
                <c:pt idx="0">
                  <c:v>5.5567380199999894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890-4B35-9807-E692267F1995}"/>
            </c:ext>
          </c:extLst>
        </c:ser>
        <c:ser>
          <c:idx val="8"/>
          <c:order val="2"/>
          <c:tx>
            <c:strRef>
              <c:f>'Graf 23+24'!$B$23</c:f>
              <c:strCache>
                <c:ptCount val="1"/>
                <c:pt idx="0">
                  <c:v>vplyv levelu (chyba prognózy)</c:v>
                </c:pt>
              </c:strCache>
            </c:strRef>
          </c:tx>
          <c:spPr>
            <a:solidFill>
              <a:srgbClr val="AAD3F2">
                <a:lumMod val="90000"/>
              </a:srgb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'Graf 23+24'!$C$23</c:f>
              <c:numCache>
                <c:formatCode>0</c:formatCode>
                <c:ptCount val="1"/>
                <c:pt idx="0">
                  <c:v>-163.99500313889033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890-4B35-9807-E692267F1995}"/>
            </c:ext>
          </c:extLst>
        </c:ser>
        <c:ser>
          <c:idx val="5"/>
          <c:order val="3"/>
          <c:tx>
            <c:strRef>
              <c:f>'Graf 23+24'!$B$22</c:f>
              <c:strCache>
                <c:ptCount val="1"/>
                <c:pt idx="0">
                  <c:v>vplyv makra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890-4B35-9807-E692267F199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'Graf 23+24'!$C$22</c:f>
              <c:numCache>
                <c:formatCode>0</c:formatCode>
                <c:ptCount val="1"/>
                <c:pt idx="0">
                  <c:v>219.20129892551344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890-4B35-9807-E692267F1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4936288"/>
        <c:axId val="324936680"/>
      </c:barChart>
      <c:lineChart>
        <c:grouping val="standard"/>
        <c:varyColors val="0"/>
        <c:ser>
          <c:idx val="1"/>
          <c:order val="4"/>
          <c:tx>
            <c:strRef>
              <c:f>'Graf 23+24'!$B$21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9"/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5.4977075234016799E-2"/>
                  <c:y val="-0.30877224258350561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sk-SK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890-4B35-9807-E692267F199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'Graf 23+24'!$C$21</c:f>
              <c:numCache>
                <c:formatCode>0</c:formatCode>
                <c:ptCount val="1"/>
                <c:pt idx="0">
                  <c:v>112.02642771662278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D890-4B35-9807-E692267F1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936288"/>
        <c:axId val="324936680"/>
      </c:lineChart>
      <c:catAx>
        <c:axId val="32493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4936680"/>
        <c:crosses val="autoZero"/>
        <c:auto val="1"/>
        <c:lblAlgn val="ctr"/>
        <c:lblOffset val="100"/>
        <c:noMultiLvlLbl val="0"/>
      </c:catAx>
      <c:valAx>
        <c:axId val="324936680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324936288"/>
        <c:crosses val="autoZero"/>
        <c:crossBetween val="between"/>
        <c:majorUnit val="100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461383495057188"/>
          <c:y val="7.3713546223388743E-2"/>
          <c:w val="0.33641264543304705"/>
          <c:h val="0.692738221002247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834951881014875"/>
          <c:y val="5.3453630796150481E-2"/>
          <c:w val="0.56905649951650794"/>
          <c:h val="0.857481373196265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23+24'!$B$49</c:f>
              <c:strCache>
                <c:ptCount val="1"/>
                <c:pt idx="0">
                  <c:v>One offs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'Graf 23+24'!$C$49</c:f>
              <c:numCache>
                <c:formatCode>0</c:formatCode>
                <c:ptCount val="1"/>
                <c:pt idx="0">
                  <c:v>51.263393909999678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B0-4488-8E45-F9294B6B2DDB}"/>
            </c:ext>
          </c:extLst>
        </c:ser>
        <c:ser>
          <c:idx val="2"/>
          <c:order val="1"/>
          <c:tx>
            <c:strRef>
              <c:f>'Graf 23+24'!$B$48</c:f>
              <c:strCache>
                <c:ptCount val="1"/>
                <c:pt idx="0">
                  <c:v>New legislation contributions</c:v>
                </c:pt>
              </c:strCache>
            </c:strRef>
          </c:tx>
          <c:spPr>
            <a:ln w="28575">
              <a:noFill/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0B0-4488-8E45-F9294B6B2DD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'Graf 23+24'!$C$48</c:f>
              <c:numCache>
                <c:formatCode>0</c:formatCode>
                <c:ptCount val="1"/>
                <c:pt idx="0">
                  <c:v>5.5567380199999894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0B0-4488-8E45-F9294B6B2DDB}"/>
            </c:ext>
          </c:extLst>
        </c:ser>
        <c:ser>
          <c:idx val="8"/>
          <c:order val="2"/>
          <c:tx>
            <c:strRef>
              <c:f>'Graf 23+24'!$B$47</c:f>
              <c:strCache>
                <c:ptCount val="1"/>
                <c:pt idx="0">
                  <c:v>Level / ETR</c:v>
                </c:pt>
              </c:strCache>
            </c:strRef>
          </c:tx>
          <c:spPr>
            <a:solidFill>
              <a:srgbClr val="AAD3F2">
                <a:lumMod val="90000"/>
              </a:srgb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'Graf 23+24'!$C$47</c:f>
              <c:numCache>
                <c:formatCode>0</c:formatCode>
                <c:ptCount val="1"/>
                <c:pt idx="0">
                  <c:v>-163.99500313889033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0B0-4488-8E45-F9294B6B2DDB}"/>
            </c:ext>
          </c:extLst>
        </c:ser>
        <c:ser>
          <c:idx val="5"/>
          <c:order val="3"/>
          <c:tx>
            <c:strRef>
              <c:f>'Graf 23+24'!$B$46</c:f>
              <c:strCache>
                <c:ptCount val="1"/>
                <c:pt idx="0">
                  <c:v>Macroeconomic contributions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2.121889068003332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0B0-4488-8E45-F9294B6B2DD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'Graf 23+24'!$C$46</c:f>
              <c:numCache>
                <c:formatCode>0</c:formatCode>
                <c:ptCount val="1"/>
                <c:pt idx="0">
                  <c:v>219.20129892551344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0B0-4488-8E45-F9294B6B2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6644792"/>
        <c:axId val="326645184"/>
      </c:barChart>
      <c:lineChart>
        <c:grouping val="standard"/>
        <c:varyColors val="0"/>
        <c:ser>
          <c:idx val="1"/>
          <c:order val="4"/>
          <c:tx>
            <c:strRef>
              <c:f>'Graf 23+24'!$B$21</c:f>
              <c:strCache>
                <c:ptCount val="1"/>
                <c:pt idx="0">
                  <c:v>Spolu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9"/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5.4977075234016799E-2"/>
                  <c:y val="-0.24613197997913458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sk-SK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0B0-4488-8E45-F9294B6B2DD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'Graf 23+24'!$C$21</c:f>
              <c:numCache>
                <c:formatCode>0</c:formatCode>
                <c:ptCount val="1"/>
                <c:pt idx="0">
                  <c:v>112.02642771662278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D0B0-4488-8E45-F9294B6B2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644792"/>
        <c:axId val="326645184"/>
      </c:lineChart>
      <c:catAx>
        <c:axId val="326644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6645184"/>
        <c:crosses val="autoZero"/>
        <c:auto val="1"/>
        <c:lblAlgn val="ctr"/>
        <c:lblOffset val="100"/>
        <c:noMultiLvlLbl val="0"/>
      </c:catAx>
      <c:valAx>
        <c:axId val="326645184"/>
        <c:scaling>
          <c:orientation val="minMax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326644792"/>
        <c:crosses val="autoZero"/>
        <c:crossBetween val="between"/>
        <c:majorUnit val="100"/>
      </c:valAx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6461383495057188"/>
          <c:y val="7.3713546223388743E-2"/>
          <c:w val="0.33641264543304705"/>
          <c:h val="0.692738221002247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'Graf 23+24'!$G$21</c:f>
              <c:strCache>
                <c:ptCount val="1"/>
                <c:pt idx="0">
                  <c:v>makro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ED-460B-A139-6E5ACB65EED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23+24'!$E$23:$E$29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23+24'!$G$23:$G$29</c:f>
              <c:numCache>
                <c:formatCode>#,##0</c:formatCode>
                <c:ptCount val="7"/>
                <c:pt idx="0">
                  <c:v>57.396411236641661</c:v>
                </c:pt>
                <c:pt idx="1">
                  <c:v>-35.298723455577381</c:v>
                </c:pt>
                <c:pt idx="2">
                  <c:v>3.2826254756232855</c:v>
                </c:pt>
                <c:pt idx="3">
                  <c:v>4.4168441910348681</c:v>
                </c:pt>
                <c:pt idx="4">
                  <c:v>148.73590678453618</c:v>
                </c:pt>
                <c:pt idx="5">
                  <c:v>68.708313716187661</c:v>
                </c:pt>
                <c:pt idx="6">
                  <c:v>-28.040079022932844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EED-460B-A139-6E5ACB65EEDD}"/>
            </c:ext>
          </c:extLst>
        </c:ser>
        <c:ser>
          <c:idx val="2"/>
          <c:order val="2"/>
          <c:tx>
            <c:strRef>
              <c:f>'Graf 23+24'!$H$21</c:f>
              <c:strCache>
                <c:ptCount val="1"/>
                <c:pt idx="0">
                  <c:v>EDS</c:v>
                </c:pt>
              </c:strCache>
            </c:strRef>
          </c:tx>
          <c:spPr>
            <a:solidFill>
              <a:schemeClr val="accent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ED-460B-A139-6E5ACB65EED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23+24'!$E$23:$E$29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23+24'!$H$23:$H$29</c:f>
              <c:numCache>
                <c:formatCode>#,##0</c:formatCode>
                <c:ptCount val="7"/>
                <c:pt idx="0">
                  <c:v>16.476347153358724</c:v>
                </c:pt>
                <c:pt idx="1">
                  <c:v>-389.12527654442249</c:v>
                </c:pt>
                <c:pt idx="2">
                  <c:v>160.00816086665998</c:v>
                </c:pt>
                <c:pt idx="3">
                  <c:v>-10.769477911034461</c:v>
                </c:pt>
                <c:pt idx="4">
                  <c:v>20.467446939800368</c:v>
                </c:pt>
                <c:pt idx="5">
                  <c:v>56.908047393814705</c:v>
                </c:pt>
                <c:pt idx="6">
                  <c:v>-17.960251037067167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EED-460B-A139-6E5ACB65EEDD}"/>
            </c:ext>
          </c:extLst>
        </c:ser>
        <c:ser>
          <c:idx val="3"/>
          <c:order val="3"/>
          <c:tx>
            <c:strRef>
              <c:f>'Graf 23+24'!$I$21</c:f>
              <c:strCache>
                <c:ptCount val="1"/>
                <c:pt idx="0">
                  <c:v>nová legislatíva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'Graf 23+24'!$E$23:$E$29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23+24'!$I$23:$I$29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5.5567380199999894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ED-460B-A139-6E5ACB65EEDD}"/>
            </c:ext>
          </c:extLst>
        </c:ser>
        <c:ser>
          <c:idx val="4"/>
          <c:order val="4"/>
          <c:tx>
            <c:strRef>
              <c:f>'Graf 23+24'!$J$21</c:f>
              <c:strCache>
                <c:ptCount val="1"/>
                <c:pt idx="0">
                  <c:v>jednorazové faktory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 23+24'!$E$23:$E$29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23+24'!$J$23:$J$29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34.807093909999686</c:v>
                </c:pt>
                <c:pt idx="3">
                  <c:v>-2.512</c:v>
                </c:pt>
                <c:pt idx="4">
                  <c:v>0</c:v>
                </c:pt>
                <c:pt idx="5">
                  <c:v>0</c:v>
                </c:pt>
                <c:pt idx="6">
                  <c:v>18.968299999999992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EEED-460B-A139-6E5ACB65E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6645968"/>
        <c:axId val="326646360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>
                  <a:alpha val="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691685716704792E-2"/>
                  <c:y val="-7.1751817908007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444373888747779E-2"/>
                  <c:y val="3.9329116647304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906802980272632E-2"/>
                  <c:y val="-5.4477862398347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111040555414448E-2"/>
                  <c:y val="4.8330450496966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666666666666768E-2"/>
                  <c:y val="-7.1751817908007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66666666666676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EEED-460B-A139-6E5ACB65EED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8799212598425198E-2"/>
                  <c:y val="6.247717395981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EEED-460B-A139-6E5ACB65EEDD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23+24'!$E$23:$E$29</c:f>
              <c:strCache>
                <c:ptCount val="7"/>
                <c:pt idx="0">
                  <c:v>DPFO</c:v>
                </c:pt>
                <c:pt idx="1">
                  <c:v>DPPO</c:v>
                </c:pt>
                <c:pt idx="2">
                  <c:v>DPH</c:v>
                </c:pt>
                <c:pt idx="3">
                  <c:v>SD</c:v>
                </c:pt>
                <c:pt idx="4">
                  <c:v>SO</c:v>
                </c:pt>
                <c:pt idx="5">
                  <c:v>ZO</c:v>
                </c:pt>
                <c:pt idx="6">
                  <c:v>Ostatné</c:v>
                </c:pt>
              </c:strCache>
            </c:strRef>
          </c:cat>
          <c:val>
            <c:numRef>
              <c:f>'Graf 23+24'!$F$23:$F$29</c:f>
              <c:numCache>
                <c:formatCode>#,##0</c:formatCode>
                <c:ptCount val="7"/>
                <c:pt idx="0">
                  <c:v>73.872758390000385</c:v>
                </c:pt>
                <c:pt idx="1">
                  <c:v>-424.42399999999986</c:v>
                </c:pt>
                <c:pt idx="2">
                  <c:v>198.09788025228295</c:v>
                </c:pt>
                <c:pt idx="3">
                  <c:v>-8.8646337199995919</c:v>
                </c:pt>
                <c:pt idx="4">
                  <c:v>169.20335372433655</c:v>
                </c:pt>
                <c:pt idx="5">
                  <c:v>125.61636111000237</c:v>
                </c:pt>
                <c:pt idx="6">
                  <c:v>-21.475292040000056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EEED-460B-A139-6E5ACB65E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645968"/>
        <c:axId val="326646360"/>
      </c:lineChart>
      <c:catAx>
        <c:axId val="32664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6646360"/>
        <c:crosses val="autoZero"/>
        <c:auto val="1"/>
        <c:lblAlgn val="ctr"/>
        <c:lblOffset val="100"/>
        <c:noMultiLvlLbl val="0"/>
      </c:catAx>
      <c:valAx>
        <c:axId val="32664636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6645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097239861146394E-2"/>
          <c:y val="5.0925925925925923E-2"/>
          <c:w val="0.88633286766573538"/>
          <c:h val="0.6420202682997958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'Graf 23+24'!$G$51</c:f>
              <c:strCache>
                <c:ptCount val="1"/>
                <c:pt idx="0">
                  <c:v>Macroeconomic contributions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A30-4900-865D-091D9302DA0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23+24'!$E$53:$E$59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23+24'!$G$53:$G$59</c:f>
              <c:numCache>
                <c:formatCode>#,##0</c:formatCode>
                <c:ptCount val="7"/>
                <c:pt idx="0">
                  <c:v>57.396411236641661</c:v>
                </c:pt>
                <c:pt idx="1">
                  <c:v>-35.298723455577381</c:v>
                </c:pt>
                <c:pt idx="2">
                  <c:v>3.2826254756232855</c:v>
                </c:pt>
                <c:pt idx="3">
                  <c:v>4.4168441910348681</c:v>
                </c:pt>
                <c:pt idx="4">
                  <c:v>148.73590678453618</c:v>
                </c:pt>
                <c:pt idx="5">
                  <c:v>68.708313716187661</c:v>
                </c:pt>
                <c:pt idx="6">
                  <c:v>-28.040079022932844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A30-4900-865D-091D9302DA00}"/>
            </c:ext>
          </c:extLst>
        </c:ser>
        <c:ser>
          <c:idx val="2"/>
          <c:order val="2"/>
          <c:tx>
            <c:strRef>
              <c:f>'Graf 23+24'!$H$51</c:f>
              <c:strCache>
                <c:ptCount val="1"/>
                <c:pt idx="0">
                  <c:v>Level / ETR</c:v>
                </c:pt>
              </c:strCache>
            </c:strRef>
          </c:tx>
          <c:spPr>
            <a:solidFill>
              <a:schemeClr val="accent2">
                <a:lumMod val="9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A30-4900-865D-091D9302DA0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23+24'!$E$53:$E$59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23+24'!$H$53:$H$59</c:f>
              <c:numCache>
                <c:formatCode>#,##0</c:formatCode>
                <c:ptCount val="7"/>
                <c:pt idx="0">
                  <c:v>16.476347153358724</c:v>
                </c:pt>
                <c:pt idx="1">
                  <c:v>-389.12527654442249</c:v>
                </c:pt>
                <c:pt idx="2">
                  <c:v>160.00816086665998</c:v>
                </c:pt>
                <c:pt idx="3">
                  <c:v>-10.769477911034461</c:v>
                </c:pt>
                <c:pt idx="4">
                  <c:v>20.467446939800368</c:v>
                </c:pt>
                <c:pt idx="5">
                  <c:v>56.908047393814705</c:v>
                </c:pt>
                <c:pt idx="6">
                  <c:v>-17.960251037067167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A30-4900-865D-091D9302DA00}"/>
            </c:ext>
          </c:extLst>
        </c:ser>
        <c:ser>
          <c:idx val="3"/>
          <c:order val="3"/>
          <c:tx>
            <c:strRef>
              <c:f>'Graf 23+24'!$I$51</c:f>
              <c:strCache>
                <c:ptCount val="1"/>
                <c:pt idx="0">
                  <c:v>Legislation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'Graf 23+24'!$E$53:$E$59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23+24'!$I$53:$I$59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5.5567380199999894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A30-4900-865D-091D9302DA00}"/>
            </c:ext>
          </c:extLst>
        </c:ser>
        <c:ser>
          <c:idx val="4"/>
          <c:order val="4"/>
          <c:tx>
            <c:strRef>
              <c:f>'Graf 23+24'!$J$51</c:f>
              <c:strCache>
                <c:ptCount val="1"/>
                <c:pt idx="0">
                  <c:v>One offs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strRef>
              <c:f>'Graf 23+24'!$E$53:$E$59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23+24'!$J$53:$J$59</c:f>
              <c:numCache>
                <c:formatCode>#,##0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34.807093909999686</c:v>
                </c:pt>
                <c:pt idx="3">
                  <c:v>-2.512</c:v>
                </c:pt>
                <c:pt idx="4">
                  <c:v>0</c:v>
                </c:pt>
                <c:pt idx="5">
                  <c:v>0</c:v>
                </c:pt>
                <c:pt idx="6">
                  <c:v>18.968299999999992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A30-4900-865D-091D9302D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6647144"/>
        <c:axId val="326647536"/>
      </c:barChar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>
                  <a:alpha val="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8830335681723997E-2"/>
                  <c:y val="-6.3622398370772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4444370769443291E-2"/>
                  <c:y val="1.494184464400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8711424229866002E-2"/>
                  <c:y val="-5.1158103564813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111065064235497E-2"/>
                  <c:y val="4.632730273264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1666749551042964E-2"/>
                  <c:y val="-6.362239837077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666666666666768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A30-4900-865D-091D9302DA00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6111065064235497E-2"/>
                  <c:y val="8.2682958944513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CA30-4900-865D-091D9302DA00}"/>
                </c:ex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  <a:ln w="3175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23+24'!$E$53:$E$59</c:f>
              <c:strCache>
                <c:ptCount val="7"/>
                <c:pt idx="0">
                  <c:v>PIT</c:v>
                </c:pt>
                <c:pt idx="1">
                  <c:v>CIT</c:v>
                </c:pt>
                <c:pt idx="2">
                  <c:v>VAT</c:v>
                </c:pt>
                <c:pt idx="3">
                  <c:v>Excises</c:v>
                </c:pt>
                <c:pt idx="4">
                  <c:v>SC</c:v>
                </c:pt>
                <c:pt idx="5">
                  <c:v>HC</c:v>
                </c:pt>
                <c:pt idx="6">
                  <c:v>Others</c:v>
                </c:pt>
              </c:strCache>
            </c:strRef>
          </c:cat>
          <c:val>
            <c:numRef>
              <c:f>'Graf 23+24'!$F$53:$F$59</c:f>
              <c:numCache>
                <c:formatCode>#,##0</c:formatCode>
                <c:ptCount val="7"/>
                <c:pt idx="0">
                  <c:v>73.872758390000385</c:v>
                </c:pt>
                <c:pt idx="1">
                  <c:v>-424.42399999999986</c:v>
                </c:pt>
                <c:pt idx="2">
                  <c:v>198.09788025228295</c:v>
                </c:pt>
                <c:pt idx="3">
                  <c:v>-8.8646337199995919</c:v>
                </c:pt>
                <c:pt idx="4">
                  <c:v>169.20335372433655</c:v>
                </c:pt>
                <c:pt idx="5">
                  <c:v>125.61636111000237</c:v>
                </c:pt>
                <c:pt idx="6">
                  <c:v>-21.475292040000056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CA30-4900-865D-091D9302D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647144"/>
        <c:axId val="326647536"/>
      </c:lineChart>
      <c:catAx>
        <c:axId val="32664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6647536"/>
        <c:crosses val="autoZero"/>
        <c:auto val="1"/>
        <c:lblAlgn val="ctr"/>
        <c:lblOffset val="100"/>
        <c:noMultiLvlLbl val="0"/>
      </c:catAx>
      <c:valAx>
        <c:axId val="32664753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6647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8.2749555499111005E-2"/>
          <c:y val="0.80497521143190431"/>
          <c:w val="0.81568368470070285"/>
          <c:h val="0.185765529308836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3465332697746"/>
          <c:y val="7.6488980206485549E-2"/>
          <c:w val="0.76233069334604509"/>
          <c:h val="0.77930936343800405"/>
        </c:manualLayout>
      </c:layout>
      <c:lineChart>
        <c:grouping val="standard"/>
        <c:varyColors val="0"/>
        <c:ser>
          <c:idx val="0"/>
          <c:order val="0"/>
          <c:tx>
            <c:v>Ropa Brent (USD/Barel) (lo)</c:v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3+4'!$H$3:$H$554</c:f>
              <c:numCache>
                <c:formatCode>m/d/yyyy</c:formatCode>
                <c:ptCount val="552"/>
                <c:pt idx="0">
                  <c:v>43172</c:v>
                </c:pt>
                <c:pt idx="1">
                  <c:v>43171</c:v>
                </c:pt>
                <c:pt idx="2">
                  <c:v>43168</c:v>
                </c:pt>
                <c:pt idx="3">
                  <c:v>43167</c:v>
                </c:pt>
                <c:pt idx="4">
                  <c:v>43166</c:v>
                </c:pt>
                <c:pt idx="5">
                  <c:v>43165</c:v>
                </c:pt>
                <c:pt idx="6">
                  <c:v>43164</c:v>
                </c:pt>
                <c:pt idx="7">
                  <c:v>43161</c:v>
                </c:pt>
                <c:pt idx="8">
                  <c:v>43160</c:v>
                </c:pt>
                <c:pt idx="9">
                  <c:v>43159</c:v>
                </c:pt>
                <c:pt idx="10">
                  <c:v>43158</c:v>
                </c:pt>
                <c:pt idx="11">
                  <c:v>43157</c:v>
                </c:pt>
                <c:pt idx="12">
                  <c:v>43154</c:v>
                </c:pt>
                <c:pt idx="13">
                  <c:v>43153</c:v>
                </c:pt>
                <c:pt idx="14">
                  <c:v>43152</c:v>
                </c:pt>
                <c:pt idx="15">
                  <c:v>43151</c:v>
                </c:pt>
                <c:pt idx="16">
                  <c:v>43147</c:v>
                </c:pt>
                <c:pt idx="17">
                  <c:v>43146</c:v>
                </c:pt>
                <c:pt idx="18">
                  <c:v>43145</c:v>
                </c:pt>
                <c:pt idx="19">
                  <c:v>43144</c:v>
                </c:pt>
                <c:pt idx="20">
                  <c:v>43143</c:v>
                </c:pt>
                <c:pt idx="21">
                  <c:v>43140</c:v>
                </c:pt>
                <c:pt idx="22">
                  <c:v>43139</c:v>
                </c:pt>
                <c:pt idx="23">
                  <c:v>43138</c:v>
                </c:pt>
                <c:pt idx="24">
                  <c:v>43137</c:v>
                </c:pt>
                <c:pt idx="25">
                  <c:v>43136</c:v>
                </c:pt>
                <c:pt idx="26">
                  <c:v>43133</c:v>
                </c:pt>
                <c:pt idx="27">
                  <c:v>43132</c:v>
                </c:pt>
                <c:pt idx="28">
                  <c:v>43131</c:v>
                </c:pt>
                <c:pt idx="29">
                  <c:v>43130</c:v>
                </c:pt>
                <c:pt idx="30">
                  <c:v>43129</c:v>
                </c:pt>
                <c:pt idx="31">
                  <c:v>43126</c:v>
                </c:pt>
                <c:pt idx="32">
                  <c:v>43125</c:v>
                </c:pt>
                <c:pt idx="33">
                  <c:v>43124</c:v>
                </c:pt>
                <c:pt idx="34">
                  <c:v>43123</c:v>
                </c:pt>
                <c:pt idx="35">
                  <c:v>43122</c:v>
                </c:pt>
                <c:pt idx="36">
                  <c:v>43119</c:v>
                </c:pt>
                <c:pt idx="37">
                  <c:v>43118</c:v>
                </c:pt>
                <c:pt idx="38">
                  <c:v>43117</c:v>
                </c:pt>
                <c:pt idx="39">
                  <c:v>43116</c:v>
                </c:pt>
                <c:pt idx="40">
                  <c:v>43112</c:v>
                </c:pt>
                <c:pt idx="41">
                  <c:v>43111</c:v>
                </c:pt>
                <c:pt idx="42">
                  <c:v>43110</c:v>
                </c:pt>
                <c:pt idx="43">
                  <c:v>43109</c:v>
                </c:pt>
                <c:pt idx="44">
                  <c:v>43108</c:v>
                </c:pt>
                <c:pt idx="45">
                  <c:v>43105</c:v>
                </c:pt>
                <c:pt idx="46">
                  <c:v>43104</c:v>
                </c:pt>
                <c:pt idx="47">
                  <c:v>43103</c:v>
                </c:pt>
                <c:pt idx="48">
                  <c:v>43102</c:v>
                </c:pt>
                <c:pt idx="49">
                  <c:v>43098</c:v>
                </c:pt>
                <c:pt idx="50">
                  <c:v>43097</c:v>
                </c:pt>
                <c:pt idx="51">
                  <c:v>43096</c:v>
                </c:pt>
                <c:pt idx="52">
                  <c:v>43095</c:v>
                </c:pt>
                <c:pt idx="53">
                  <c:v>43091</c:v>
                </c:pt>
                <c:pt idx="54">
                  <c:v>43090</c:v>
                </c:pt>
                <c:pt idx="55">
                  <c:v>43089</c:v>
                </c:pt>
                <c:pt idx="56">
                  <c:v>43088</c:v>
                </c:pt>
                <c:pt idx="57">
                  <c:v>43087</c:v>
                </c:pt>
                <c:pt idx="58">
                  <c:v>43084</c:v>
                </c:pt>
                <c:pt idx="59">
                  <c:v>43083</c:v>
                </c:pt>
                <c:pt idx="60">
                  <c:v>43082</c:v>
                </c:pt>
                <c:pt idx="61">
                  <c:v>43081</c:v>
                </c:pt>
                <c:pt idx="62">
                  <c:v>43080</c:v>
                </c:pt>
                <c:pt idx="63">
                  <c:v>43077</c:v>
                </c:pt>
                <c:pt idx="64">
                  <c:v>43076</c:v>
                </c:pt>
                <c:pt idx="65">
                  <c:v>43075</c:v>
                </c:pt>
                <c:pt idx="66">
                  <c:v>43074</c:v>
                </c:pt>
                <c:pt idx="67">
                  <c:v>43073</c:v>
                </c:pt>
                <c:pt idx="68">
                  <c:v>43070</c:v>
                </c:pt>
                <c:pt idx="69">
                  <c:v>43069</c:v>
                </c:pt>
                <c:pt idx="70">
                  <c:v>43068</c:v>
                </c:pt>
                <c:pt idx="71">
                  <c:v>43067</c:v>
                </c:pt>
                <c:pt idx="72">
                  <c:v>43066</c:v>
                </c:pt>
                <c:pt idx="73">
                  <c:v>43063</c:v>
                </c:pt>
                <c:pt idx="74">
                  <c:v>43061</c:v>
                </c:pt>
                <c:pt idx="75">
                  <c:v>43060</c:v>
                </c:pt>
                <c:pt idx="76">
                  <c:v>43059</c:v>
                </c:pt>
                <c:pt idx="77">
                  <c:v>43056</c:v>
                </c:pt>
                <c:pt idx="78">
                  <c:v>43055</c:v>
                </c:pt>
                <c:pt idx="79">
                  <c:v>43054</c:v>
                </c:pt>
                <c:pt idx="80">
                  <c:v>43053</c:v>
                </c:pt>
                <c:pt idx="81">
                  <c:v>43052</c:v>
                </c:pt>
                <c:pt idx="82">
                  <c:v>43049</c:v>
                </c:pt>
                <c:pt idx="83">
                  <c:v>43048</c:v>
                </c:pt>
                <c:pt idx="84">
                  <c:v>43047</c:v>
                </c:pt>
                <c:pt idx="85">
                  <c:v>43046</c:v>
                </c:pt>
                <c:pt idx="86">
                  <c:v>43045</c:v>
                </c:pt>
                <c:pt idx="87">
                  <c:v>43042</c:v>
                </c:pt>
                <c:pt idx="88">
                  <c:v>43041</c:v>
                </c:pt>
                <c:pt idx="89">
                  <c:v>43040</c:v>
                </c:pt>
                <c:pt idx="90">
                  <c:v>43039</c:v>
                </c:pt>
                <c:pt idx="91">
                  <c:v>43038</c:v>
                </c:pt>
                <c:pt idx="92">
                  <c:v>43035</c:v>
                </c:pt>
                <c:pt idx="93">
                  <c:v>43034</c:v>
                </c:pt>
                <c:pt idx="94">
                  <c:v>43033</c:v>
                </c:pt>
                <c:pt idx="95">
                  <c:v>43032</c:v>
                </c:pt>
                <c:pt idx="96">
                  <c:v>43031</c:v>
                </c:pt>
                <c:pt idx="97">
                  <c:v>43028</c:v>
                </c:pt>
                <c:pt idx="98">
                  <c:v>43027</c:v>
                </c:pt>
                <c:pt idx="99">
                  <c:v>43026</c:v>
                </c:pt>
                <c:pt idx="100">
                  <c:v>43025</c:v>
                </c:pt>
                <c:pt idx="101">
                  <c:v>43024</c:v>
                </c:pt>
                <c:pt idx="102">
                  <c:v>43021</c:v>
                </c:pt>
                <c:pt idx="103">
                  <c:v>43020</c:v>
                </c:pt>
                <c:pt idx="104">
                  <c:v>43019</c:v>
                </c:pt>
                <c:pt idx="105">
                  <c:v>43018</c:v>
                </c:pt>
                <c:pt idx="106">
                  <c:v>43017</c:v>
                </c:pt>
                <c:pt idx="107">
                  <c:v>43014</c:v>
                </c:pt>
                <c:pt idx="108">
                  <c:v>43013</c:v>
                </c:pt>
                <c:pt idx="109">
                  <c:v>43012</c:v>
                </c:pt>
                <c:pt idx="110">
                  <c:v>43011</c:v>
                </c:pt>
                <c:pt idx="111">
                  <c:v>43010</c:v>
                </c:pt>
                <c:pt idx="112">
                  <c:v>43007</c:v>
                </c:pt>
                <c:pt idx="113">
                  <c:v>43006</c:v>
                </c:pt>
                <c:pt idx="114">
                  <c:v>43005</c:v>
                </c:pt>
                <c:pt idx="115">
                  <c:v>43004</c:v>
                </c:pt>
                <c:pt idx="116">
                  <c:v>43003</c:v>
                </c:pt>
                <c:pt idx="117">
                  <c:v>43000</c:v>
                </c:pt>
                <c:pt idx="118">
                  <c:v>42999</c:v>
                </c:pt>
                <c:pt idx="119">
                  <c:v>42998</c:v>
                </c:pt>
                <c:pt idx="120">
                  <c:v>42997</c:v>
                </c:pt>
                <c:pt idx="121">
                  <c:v>42996</c:v>
                </c:pt>
                <c:pt idx="122">
                  <c:v>42993</c:v>
                </c:pt>
                <c:pt idx="123">
                  <c:v>42992</c:v>
                </c:pt>
                <c:pt idx="124">
                  <c:v>42991</c:v>
                </c:pt>
                <c:pt idx="125">
                  <c:v>42990</c:v>
                </c:pt>
                <c:pt idx="126">
                  <c:v>42989</c:v>
                </c:pt>
                <c:pt idx="127">
                  <c:v>42986</c:v>
                </c:pt>
                <c:pt idx="128">
                  <c:v>42985</c:v>
                </c:pt>
                <c:pt idx="129">
                  <c:v>42984</c:v>
                </c:pt>
                <c:pt idx="130">
                  <c:v>42983</c:v>
                </c:pt>
                <c:pt idx="131">
                  <c:v>42979</c:v>
                </c:pt>
                <c:pt idx="132">
                  <c:v>42978</c:v>
                </c:pt>
                <c:pt idx="133">
                  <c:v>42977</c:v>
                </c:pt>
                <c:pt idx="134">
                  <c:v>42976</c:v>
                </c:pt>
                <c:pt idx="135">
                  <c:v>42975</c:v>
                </c:pt>
                <c:pt idx="136">
                  <c:v>42972</c:v>
                </c:pt>
                <c:pt idx="137">
                  <c:v>42971</c:v>
                </c:pt>
                <c:pt idx="138">
                  <c:v>42970</c:v>
                </c:pt>
                <c:pt idx="139">
                  <c:v>42969</c:v>
                </c:pt>
                <c:pt idx="140">
                  <c:v>42968</c:v>
                </c:pt>
                <c:pt idx="141">
                  <c:v>42965</c:v>
                </c:pt>
                <c:pt idx="142">
                  <c:v>42964</c:v>
                </c:pt>
                <c:pt idx="143">
                  <c:v>42963</c:v>
                </c:pt>
                <c:pt idx="144">
                  <c:v>42962</c:v>
                </c:pt>
                <c:pt idx="145">
                  <c:v>42961</c:v>
                </c:pt>
                <c:pt idx="146">
                  <c:v>42958</c:v>
                </c:pt>
                <c:pt idx="147">
                  <c:v>42957</c:v>
                </c:pt>
                <c:pt idx="148">
                  <c:v>42956</c:v>
                </c:pt>
                <c:pt idx="149">
                  <c:v>42955</c:v>
                </c:pt>
                <c:pt idx="150">
                  <c:v>42954</c:v>
                </c:pt>
                <c:pt idx="151">
                  <c:v>42951</c:v>
                </c:pt>
                <c:pt idx="152">
                  <c:v>42950</c:v>
                </c:pt>
                <c:pt idx="153">
                  <c:v>42949</c:v>
                </c:pt>
                <c:pt idx="154">
                  <c:v>42948</c:v>
                </c:pt>
                <c:pt idx="155">
                  <c:v>42947</c:v>
                </c:pt>
                <c:pt idx="156">
                  <c:v>42944</c:v>
                </c:pt>
                <c:pt idx="157">
                  <c:v>42943</c:v>
                </c:pt>
                <c:pt idx="158">
                  <c:v>42942</c:v>
                </c:pt>
                <c:pt idx="159">
                  <c:v>42941</c:v>
                </c:pt>
                <c:pt idx="160">
                  <c:v>42940</c:v>
                </c:pt>
                <c:pt idx="161">
                  <c:v>42937</c:v>
                </c:pt>
                <c:pt idx="162">
                  <c:v>42936</c:v>
                </c:pt>
                <c:pt idx="163">
                  <c:v>42935</c:v>
                </c:pt>
                <c:pt idx="164">
                  <c:v>42934</c:v>
                </c:pt>
                <c:pt idx="165">
                  <c:v>42933</c:v>
                </c:pt>
                <c:pt idx="166">
                  <c:v>42930</c:v>
                </c:pt>
                <c:pt idx="167">
                  <c:v>42929</c:v>
                </c:pt>
                <c:pt idx="168">
                  <c:v>42928</c:v>
                </c:pt>
                <c:pt idx="169">
                  <c:v>42927</c:v>
                </c:pt>
                <c:pt idx="170">
                  <c:v>42926</c:v>
                </c:pt>
                <c:pt idx="171">
                  <c:v>42923</c:v>
                </c:pt>
                <c:pt idx="172">
                  <c:v>42922</c:v>
                </c:pt>
                <c:pt idx="173">
                  <c:v>42921</c:v>
                </c:pt>
                <c:pt idx="174">
                  <c:v>42919</c:v>
                </c:pt>
                <c:pt idx="175">
                  <c:v>42916</c:v>
                </c:pt>
                <c:pt idx="176">
                  <c:v>42915</c:v>
                </c:pt>
                <c:pt idx="177">
                  <c:v>42914</c:v>
                </c:pt>
                <c:pt idx="178">
                  <c:v>42913</c:v>
                </c:pt>
                <c:pt idx="179">
                  <c:v>42912</c:v>
                </c:pt>
                <c:pt idx="180">
                  <c:v>42909</c:v>
                </c:pt>
                <c:pt idx="181">
                  <c:v>42908</c:v>
                </c:pt>
                <c:pt idx="182">
                  <c:v>42907</c:v>
                </c:pt>
                <c:pt idx="183">
                  <c:v>42906</c:v>
                </c:pt>
                <c:pt idx="184">
                  <c:v>42905</c:v>
                </c:pt>
                <c:pt idx="185">
                  <c:v>42902</c:v>
                </c:pt>
                <c:pt idx="186">
                  <c:v>42901</c:v>
                </c:pt>
                <c:pt idx="187">
                  <c:v>42900</c:v>
                </c:pt>
                <c:pt idx="188">
                  <c:v>42899</c:v>
                </c:pt>
                <c:pt idx="189">
                  <c:v>42898</c:v>
                </c:pt>
                <c:pt idx="190">
                  <c:v>42895</c:v>
                </c:pt>
                <c:pt idx="191">
                  <c:v>42894</c:v>
                </c:pt>
                <c:pt idx="192">
                  <c:v>42893</c:v>
                </c:pt>
                <c:pt idx="193">
                  <c:v>42892</c:v>
                </c:pt>
                <c:pt idx="194">
                  <c:v>42891</c:v>
                </c:pt>
                <c:pt idx="195">
                  <c:v>42888</c:v>
                </c:pt>
                <c:pt idx="196">
                  <c:v>42887</c:v>
                </c:pt>
                <c:pt idx="197">
                  <c:v>42886</c:v>
                </c:pt>
                <c:pt idx="198">
                  <c:v>42885</c:v>
                </c:pt>
                <c:pt idx="199">
                  <c:v>42881</c:v>
                </c:pt>
                <c:pt idx="200">
                  <c:v>42880</c:v>
                </c:pt>
                <c:pt idx="201">
                  <c:v>42879</c:v>
                </c:pt>
                <c:pt idx="202">
                  <c:v>42878</c:v>
                </c:pt>
                <c:pt idx="203">
                  <c:v>42877</c:v>
                </c:pt>
                <c:pt idx="204">
                  <c:v>42874</c:v>
                </c:pt>
                <c:pt idx="205">
                  <c:v>42873</c:v>
                </c:pt>
                <c:pt idx="206">
                  <c:v>42872</c:v>
                </c:pt>
                <c:pt idx="207">
                  <c:v>42871</c:v>
                </c:pt>
                <c:pt idx="208">
                  <c:v>42870</c:v>
                </c:pt>
                <c:pt idx="209">
                  <c:v>42867</c:v>
                </c:pt>
                <c:pt idx="210">
                  <c:v>42866</c:v>
                </c:pt>
                <c:pt idx="211">
                  <c:v>42865</c:v>
                </c:pt>
                <c:pt idx="212">
                  <c:v>42864</c:v>
                </c:pt>
                <c:pt idx="213">
                  <c:v>42863</c:v>
                </c:pt>
                <c:pt idx="214">
                  <c:v>42860</c:v>
                </c:pt>
                <c:pt idx="215">
                  <c:v>42859</c:v>
                </c:pt>
                <c:pt idx="216">
                  <c:v>42858</c:v>
                </c:pt>
                <c:pt idx="217">
                  <c:v>42857</c:v>
                </c:pt>
                <c:pt idx="218">
                  <c:v>42856</c:v>
                </c:pt>
                <c:pt idx="219">
                  <c:v>42853</c:v>
                </c:pt>
                <c:pt idx="220">
                  <c:v>42852</c:v>
                </c:pt>
                <c:pt idx="221">
                  <c:v>42851</c:v>
                </c:pt>
                <c:pt idx="222">
                  <c:v>42850</c:v>
                </c:pt>
                <c:pt idx="223">
                  <c:v>42849</c:v>
                </c:pt>
                <c:pt idx="224">
                  <c:v>42846</c:v>
                </c:pt>
                <c:pt idx="225">
                  <c:v>42845</c:v>
                </c:pt>
                <c:pt idx="226">
                  <c:v>42844</c:v>
                </c:pt>
                <c:pt idx="227">
                  <c:v>42843</c:v>
                </c:pt>
                <c:pt idx="228">
                  <c:v>42842</c:v>
                </c:pt>
                <c:pt idx="229">
                  <c:v>42838</c:v>
                </c:pt>
                <c:pt idx="230">
                  <c:v>42837</c:v>
                </c:pt>
                <c:pt idx="231">
                  <c:v>42836</c:v>
                </c:pt>
                <c:pt idx="232">
                  <c:v>42835</c:v>
                </c:pt>
                <c:pt idx="233">
                  <c:v>42832</c:v>
                </c:pt>
                <c:pt idx="234">
                  <c:v>42831</c:v>
                </c:pt>
                <c:pt idx="235">
                  <c:v>42830</c:v>
                </c:pt>
                <c:pt idx="236">
                  <c:v>42829</c:v>
                </c:pt>
                <c:pt idx="237">
                  <c:v>42828</c:v>
                </c:pt>
                <c:pt idx="238">
                  <c:v>42825</c:v>
                </c:pt>
                <c:pt idx="239">
                  <c:v>42824</c:v>
                </c:pt>
                <c:pt idx="240">
                  <c:v>42823</c:v>
                </c:pt>
                <c:pt idx="241">
                  <c:v>42822</c:v>
                </c:pt>
                <c:pt idx="242">
                  <c:v>42821</c:v>
                </c:pt>
                <c:pt idx="243">
                  <c:v>42818</c:v>
                </c:pt>
                <c:pt idx="244">
                  <c:v>42817</c:v>
                </c:pt>
                <c:pt idx="245">
                  <c:v>42816</c:v>
                </c:pt>
                <c:pt idx="246">
                  <c:v>42815</c:v>
                </c:pt>
                <c:pt idx="247">
                  <c:v>42814</c:v>
                </c:pt>
                <c:pt idx="248">
                  <c:v>42811</c:v>
                </c:pt>
                <c:pt idx="249">
                  <c:v>42810</c:v>
                </c:pt>
                <c:pt idx="250">
                  <c:v>42809</c:v>
                </c:pt>
                <c:pt idx="251">
                  <c:v>42808</c:v>
                </c:pt>
                <c:pt idx="252">
                  <c:v>42807</c:v>
                </c:pt>
                <c:pt idx="253">
                  <c:v>42804</c:v>
                </c:pt>
                <c:pt idx="254">
                  <c:v>42803</c:v>
                </c:pt>
                <c:pt idx="255">
                  <c:v>42802</c:v>
                </c:pt>
                <c:pt idx="256">
                  <c:v>42801</c:v>
                </c:pt>
                <c:pt idx="257">
                  <c:v>42800</c:v>
                </c:pt>
                <c:pt idx="258">
                  <c:v>42797</c:v>
                </c:pt>
                <c:pt idx="259">
                  <c:v>42796</c:v>
                </c:pt>
                <c:pt idx="260">
                  <c:v>42795</c:v>
                </c:pt>
                <c:pt idx="261">
                  <c:v>42794</c:v>
                </c:pt>
                <c:pt idx="262">
                  <c:v>42793</c:v>
                </c:pt>
                <c:pt idx="263">
                  <c:v>42790</c:v>
                </c:pt>
                <c:pt idx="264">
                  <c:v>42789</c:v>
                </c:pt>
                <c:pt idx="265">
                  <c:v>42788</c:v>
                </c:pt>
                <c:pt idx="266">
                  <c:v>42787</c:v>
                </c:pt>
                <c:pt idx="267">
                  <c:v>42783</c:v>
                </c:pt>
                <c:pt idx="268">
                  <c:v>42782</c:v>
                </c:pt>
                <c:pt idx="269">
                  <c:v>42781</c:v>
                </c:pt>
                <c:pt idx="270">
                  <c:v>42780</c:v>
                </c:pt>
                <c:pt idx="271">
                  <c:v>42779</c:v>
                </c:pt>
                <c:pt idx="272">
                  <c:v>42776</c:v>
                </c:pt>
                <c:pt idx="273">
                  <c:v>42775</c:v>
                </c:pt>
                <c:pt idx="274">
                  <c:v>42774</c:v>
                </c:pt>
                <c:pt idx="275">
                  <c:v>42773</c:v>
                </c:pt>
                <c:pt idx="276">
                  <c:v>42772</c:v>
                </c:pt>
                <c:pt idx="277">
                  <c:v>42769</c:v>
                </c:pt>
                <c:pt idx="278">
                  <c:v>42768</c:v>
                </c:pt>
                <c:pt idx="279">
                  <c:v>42767</c:v>
                </c:pt>
                <c:pt idx="280">
                  <c:v>42766</c:v>
                </c:pt>
                <c:pt idx="281">
                  <c:v>42765</c:v>
                </c:pt>
                <c:pt idx="282">
                  <c:v>42762</c:v>
                </c:pt>
                <c:pt idx="283">
                  <c:v>42761</c:v>
                </c:pt>
                <c:pt idx="284">
                  <c:v>42760</c:v>
                </c:pt>
                <c:pt idx="285">
                  <c:v>42759</c:v>
                </c:pt>
                <c:pt idx="286">
                  <c:v>42758</c:v>
                </c:pt>
                <c:pt idx="287">
                  <c:v>42755</c:v>
                </c:pt>
                <c:pt idx="288">
                  <c:v>42754</c:v>
                </c:pt>
                <c:pt idx="289">
                  <c:v>42753</c:v>
                </c:pt>
                <c:pt idx="290">
                  <c:v>42752</c:v>
                </c:pt>
                <c:pt idx="291">
                  <c:v>42748</c:v>
                </c:pt>
                <c:pt idx="292">
                  <c:v>42747</c:v>
                </c:pt>
                <c:pt idx="293">
                  <c:v>42746</c:v>
                </c:pt>
                <c:pt idx="294">
                  <c:v>42745</c:v>
                </c:pt>
                <c:pt idx="295">
                  <c:v>42744</c:v>
                </c:pt>
                <c:pt idx="296">
                  <c:v>42741</c:v>
                </c:pt>
                <c:pt idx="297">
                  <c:v>42740</c:v>
                </c:pt>
                <c:pt idx="298">
                  <c:v>42739</c:v>
                </c:pt>
                <c:pt idx="299">
                  <c:v>42738</c:v>
                </c:pt>
                <c:pt idx="300">
                  <c:v>42734</c:v>
                </c:pt>
                <c:pt idx="301">
                  <c:v>42733</c:v>
                </c:pt>
                <c:pt idx="302">
                  <c:v>42732</c:v>
                </c:pt>
                <c:pt idx="303">
                  <c:v>42731</c:v>
                </c:pt>
                <c:pt idx="304">
                  <c:v>42727</c:v>
                </c:pt>
                <c:pt idx="305">
                  <c:v>42726</c:v>
                </c:pt>
                <c:pt idx="306">
                  <c:v>42725</c:v>
                </c:pt>
                <c:pt idx="307">
                  <c:v>42724</c:v>
                </c:pt>
                <c:pt idx="308">
                  <c:v>42723</c:v>
                </c:pt>
                <c:pt idx="309">
                  <c:v>42720</c:v>
                </c:pt>
                <c:pt idx="310">
                  <c:v>42719</c:v>
                </c:pt>
                <c:pt idx="311">
                  <c:v>42718</c:v>
                </c:pt>
                <c:pt idx="312">
                  <c:v>42717</c:v>
                </c:pt>
                <c:pt idx="313">
                  <c:v>42716</c:v>
                </c:pt>
                <c:pt idx="314">
                  <c:v>42713</c:v>
                </c:pt>
                <c:pt idx="315">
                  <c:v>42712</c:v>
                </c:pt>
                <c:pt idx="316">
                  <c:v>42711</c:v>
                </c:pt>
                <c:pt idx="317">
                  <c:v>42710</c:v>
                </c:pt>
                <c:pt idx="318">
                  <c:v>42709</c:v>
                </c:pt>
                <c:pt idx="319">
                  <c:v>42706</c:v>
                </c:pt>
                <c:pt idx="320">
                  <c:v>42705</c:v>
                </c:pt>
                <c:pt idx="321">
                  <c:v>42704</c:v>
                </c:pt>
                <c:pt idx="322">
                  <c:v>42703</c:v>
                </c:pt>
                <c:pt idx="323">
                  <c:v>42702</c:v>
                </c:pt>
                <c:pt idx="324">
                  <c:v>42699</c:v>
                </c:pt>
                <c:pt idx="325">
                  <c:v>42697</c:v>
                </c:pt>
                <c:pt idx="326">
                  <c:v>42696</c:v>
                </c:pt>
                <c:pt idx="327">
                  <c:v>42695</c:v>
                </c:pt>
                <c:pt idx="328">
                  <c:v>42692</c:v>
                </c:pt>
                <c:pt idx="329">
                  <c:v>42691</c:v>
                </c:pt>
                <c:pt idx="330">
                  <c:v>42690</c:v>
                </c:pt>
                <c:pt idx="331">
                  <c:v>42689</c:v>
                </c:pt>
                <c:pt idx="332">
                  <c:v>42688</c:v>
                </c:pt>
                <c:pt idx="333">
                  <c:v>42685</c:v>
                </c:pt>
                <c:pt idx="334">
                  <c:v>42684</c:v>
                </c:pt>
                <c:pt idx="335">
                  <c:v>42683</c:v>
                </c:pt>
                <c:pt idx="336">
                  <c:v>42682</c:v>
                </c:pt>
                <c:pt idx="337">
                  <c:v>42681</c:v>
                </c:pt>
                <c:pt idx="338">
                  <c:v>42678</c:v>
                </c:pt>
                <c:pt idx="339">
                  <c:v>42677</c:v>
                </c:pt>
                <c:pt idx="340">
                  <c:v>42676</c:v>
                </c:pt>
                <c:pt idx="341">
                  <c:v>42675</c:v>
                </c:pt>
                <c:pt idx="342">
                  <c:v>42674</c:v>
                </c:pt>
                <c:pt idx="343">
                  <c:v>42671</c:v>
                </c:pt>
                <c:pt idx="344">
                  <c:v>42670</c:v>
                </c:pt>
                <c:pt idx="345">
                  <c:v>42669</c:v>
                </c:pt>
                <c:pt idx="346">
                  <c:v>42668</c:v>
                </c:pt>
                <c:pt idx="347">
                  <c:v>42667</c:v>
                </c:pt>
                <c:pt idx="348">
                  <c:v>42664</c:v>
                </c:pt>
                <c:pt idx="349">
                  <c:v>42663</c:v>
                </c:pt>
                <c:pt idx="350">
                  <c:v>42662</c:v>
                </c:pt>
                <c:pt idx="351">
                  <c:v>42661</c:v>
                </c:pt>
                <c:pt idx="352">
                  <c:v>42660</c:v>
                </c:pt>
                <c:pt idx="353">
                  <c:v>42657</c:v>
                </c:pt>
                <c:pt idx="354">
                  <c:v>42656</c:v>
                </c:pt>
                <c:pt idx="355">
                  <c:v>42655</c:v>
                </c:pt>
                <c:pt idx="356">
                  <c:v>42654</c:v>
                </c:pt>
                <c:pt idx="357">
                  <c:v>42653</c:v>
                </c:pt>
                <c:pt idx="358">
                  <c:v>42650</c:v>
                </c:pt>
                <c:pt idx="359">
                  <c:v>42649</c:v>
                </c:pt>
                <c:pt idx="360">
                  <c:v>42648</c:v>
                </c:pt>
                <c:pt idx="361">
                  <c:v>42647</c:v>
                </c:pt>
                <c:pt idx="362">
                  <c:v>42646</c:v>
                </c:pt>
                <c:pt idx="363">
                  <c:v>42643</c:v>
                </c:pt>
                <c:pt idx="364">
                  <c:v>42642</c:v>
                </c:pt>
                <c:pt idx="365">
                  <c:v>42641</c:v>
                </c:pt>
                <c:pt idx="366">
                  <c:v>42640</c:v>
                </c:pt>
                <c:pt idx="367">
                  <c:v>42639</c:v>
                </c:pt>
                <c:pt idx="368">
                  <c:v>42636</c:v>
                </c:pt>
                <c:pt idx="369">
                  <c:v>42635</c:v>
                </c:pt>
                <c:pt idx="370">
                  <c:v>42634</c:v>
                </c:pt>
                <c:pt idx="371">
                  <c:v>42633</c:v>
                </c:pt>
                <c:pt idx="372">
                  <c:v>42632</c:v>
                </c:pt>
                <c:pt idx="373">
                  <c:v>42629</c:v>
                </c:pt>
                <c:pt idx="374">
                  <c:v>42628</c:v>
                </c:pt>
                <c:pt idx="375">
                  <c:v>42627</c:v>
                </c:pt>
                <c:pt idx="376">
                  <c:v>42626</c:v>
                </c:pt>
                <c:pt idx="377">
                  <c:v>42625</c:v>
                </c:pt>
                <c:pt idx="378">
                  <c:v>42622</c:v>
                </c:pt>
                <c:pt idx="379">
                  <c:v>42621</c:v>
                </c:pt>
                <c:pt idx="380">
                  <c:v>42620</c:v>
                </c:pt>
                <c:pt idx="381">
                  <c:v>42619</c:v>
                </c:pt>
                <c:pt idx="382">
                  <c:v>42615</c:v>
                </c:pt>
                <c:pt idx="383">
                  <c:v>42614</c:v>
                </c:pt>
                <c:pt idx="384">
                  <c:v>42613</c:v>
                </c:pt>
                <c:pt idx="385">
                  <c:v>42612</c:v>
                </c:pt>
                <c:pt idx="386">
                  <c:v>42611</c:v>
                </c:pt>
                <c:pt idx="387">
                  <c:v>42608</c:v>
                </c:pt>
                <c:pt idx="388">
                  <c:v>42607</c:v>
                </c:pt>
                <c:pt idx="389">
                  <c:v>42606</c:v>
                </c:pt>
                <c:pt idx="390">
                  <c:v>42605</c:v>
                </c:pt>
                <c:pt idx="391">
                  <c:v>42604</c:v>
                </c:pt>
                <c:pt idx="392">
                  <c:v>42601</c:v>
                </c:pt>
                <c:pt idx="393">
                  <c:v>42600</c:v>
                </c:pt>
                <c:pt idx="394">
                  <c:v>42599</c:v>
                </c:pt>
                <c:pt idx="395">
                  <c:v>42598</c:v>
                </c:pt>
                <c:pt idx="396">
                  <c:v>42597</c:v>
                </c:pt>
                <c:pt idx="397">
                  <c:v>42594</c:v>
                </c:pt>
                <c:pt idx="398">
                  <c:v>42593</c:v>
                </c:pt>
                <c:pt idx="399">
                  <c:v>42592</c:v>
                </c:pt>
                <c:pt idx="400">
                  <c:v>42591</c:v>
                </c:pt>
                <c:pt idx="401">
                  <c:v>42590</c:v>
                </c:pt>
                <c:pt idx="402">
                  <c:v>42587</c:v>
                </c:pt>
                <c:pt idx="403">
                  <c:v>42586</c:v>
                </c:pt>
                <c:pt idx="404">
                  <c:v>42585</c:v>
                </c:pt>
                <c:pt idx="405">
                  <c:v>42584</c:v>
                </c:pt>
                <c:pt idx="406">
                  <c:v>42583</c:v>
                </c:pt>
                <c:pt idx="407">
                  <c:v>42580</c:v>
                </c:pt>
                <c:pt idx="408">
                  <c:v>42579</c:v>
                </c:pt>
                <c:pt idx="409">
                  <c:v>42578</c:v>
                </c:pt>
                <c:pt idx="410">
                  <c:v>42577</c:v>
                </c:pt>
                <c:pt idx="411">
                  <c:v>42576</c:v>
                </c:pt>
                <c:pt idx="412">
                  <c:v>42573</c:v>
                </c:pt>
                <c:pt idx="413">
                  <c:v>42572</c:v>
                </c:pt>
                <c:pt idx="414">
                  <c:v>42571</c:v>
                </c:pt>
                <c:pt idx="415">
                  <c:v>42570</c:v>
                </c:pt>
                <c:pt idx="416">
                  <c:v>42569</c:v>
                </c:pt>
                <c:pt idx="417">
                  <c:v>42566</c:v>
                </c:pt>
                <c:pt idx="418">
                  <c:v>42565</c:v>
                </c:pt>
                <c:pt idx="419">
                  <c:v>42564</c:v>
                </c:pt>
                <c:pt idx="420">
                  <c:v>42563</c:v>
                </c:pt>
                <c:pt idx="421">
                  <c:v>42562</c:v>
                </c:pt>
                <c:pt idx="422">
                  <c:v>42559</c:v>
                </c:pt>
                <c:pt idx="423">
                  <c:v>42558</c:v>
                </c:pt>
                <c:pt idx="424">
                  <c:v>42557</c:v>
                </c:pt>
                <c:pt idx="425">
                  <c:v>42556</c:v>
                </c:pt>
                <c:pt idx="426">
                  <c:v>42552</c:v>
                </c:pt>
                <c:pt idx="427">
                  <c:v>42551</c:v>
                </c:pt>
                <c:pt idx="428">
                  <c:v>42550</c:v>
                </c:pt>
                <c:pt idx="429">
                  <c:v>42549</c:v>
                </c:pt>
                <c:pt idx="430">
                  <c:v>42548</c:v>
                </c:pt>
                <c:pt idx="431">
                  <c:v>42545</c:v>
                </c:pt>
                <c:pt idx="432">
                  <c:v>42544</c:v>
                </c:pt>
                <c:pt idx="433">
                  <c:v>42543</c:v>
                </c:pt>
                <c:pt idx="434">
                  <c:v>42542</c:v>
                </c:pt>
                <c:pt idx="435">
                  <c:v>42541</c:v>
                </c:pt>
                <c:pt idx="436">
                  <c:v>42538</c:v>
                </c:pt>
                <c:pt idx="437">
                  <c:v>42537</c:v>
                </c:pt>
                <c:pt idx="438">
                  <c:v>42536</c:v>
                </c:pt>
                <c:pt idx="439">
                  <c:v>42535</c:v>
                </c:pt>
                <c:pt idx="440">
                  <c:v>42534</c:v>
                </c:pt>
                <c:pt idx="441">
                  <c:v>42531</c:v>
                </c:pt>
                <c:pt idx="442">
                  <c:v>42530</c:v>
                </c:pt>
                <c:pt idx="443">
                  <c:v>42529</c:v>
                </c:pt>
                <c:pt idx="444">
                  <c:v>42528</c:v>
                </c:pt>
                <c:pt idx="445">
                  <c:v>42527</c:v>
                </c:pt>
                <c:pt idx="446">
                  <c:v>42524</c:v>
                </c:pt>
                <c:pt idx="447">
                  <c:v>42523</c:v>
                </c:pt>
                <c:pt idx="448">
                  <c:v>42522</c:v>
                </c:pt>
                <c:pt idx="449">
                  <c:v>42521</c:v>
                </c:pt>
                <c:pt idx="450">
                  <c:v>42517</c:v>
                </c:pt>
                <c:pt idx="451">
                  <c:v>42516</c:v>
                </c:pt>
                <c:pt idx="452">
                  <c:v>42515</c:v>
                </c:pt>
                <c:pt idx="453">
                  <c:v>42514</c:v>
                </c:pt>
                <c:pt idx="454">
                  <c:v>42513</c:v>
                </c:pt>
                <c:pt idx="455">
                  <c:v>42510</c:v>
                </c:pt>
                <c:pt idx="456">
                  <c:v>42509</c:v>
                </c:pt>
                <c:pt idx="457">
                  <c:v>42508</c:v>
                </c:pt>
                <c:pt idx="458">
                  <c:v>42507</c:v>
                </c:pt>
                <c:pt idx="459">
                  <c:v>42506</c:v>
                </c:pt>
                <c:pt idx="460">
                  <c:v>42503</c:v>
                </c:pt>
                <c:pt idx="461">
                  <c:v>42502</c:v>
                </c:pt>
                <c:pt idx="462">
                  <c:v>42501</c:v>
                </c:pt>
                <c:pt idx="463">
                  <c:v>42500</c:v>
                </c:pt>
                <c:pt idx="464">
                  <c:v>42499</c:v>
                </c:pt>
                <c:pt idx="465">
                  <c:v>42496</c:v>
                </c:pt>
                <c:pt idx="466">
                  <c:v>42495</c:v>
                </c:pt>
                <c:pt idx="467">
                  <c:v>42494</c:v>
                </c:pt>
                <c:pt idx="468">
                  <c:v>42493</c:v>
                </c:pt>
                <c:pt idx="469">
                  <c:v>42492</c:v>
                </c:pt>
                <c:pt idx="470">
                  <c:v>42489</c:v>
                </c:pt>
                <c:pt idx="471">
                  <c:v>42488</c:v>
                </c:pt>
                <c:pt idx="472">
                  <c:v>42487</c:v>
                </c:pt>
                <c:pt idx="473">
                  <c:v>42486</c:v>
                </c:pt>
                <c:pt idx="474">
                  <c:v>42485</c:v>
                </c:pt>
                <c:pt idx="475">
                  <c:v>42482</c:v>
                </c:pt>
                <c:pt idx="476">
                  <c:v>42481</c:v>
                </c:pt>
                <c:pt idx="477">
                  <c:v>42480</c:v>
                </c:pt>
                <c:pt idx="478">
                  <c:v>42479</c:v>
                </c:pt>
                <c:pt idx="479">
                  <c:v>42478</c:v>
                </c:pt>
                <c:pt idx="480">
                  <c:v>42475</c:v>
                </c:pt>
                <c:pt idx="481">
                  <c:v>42474</c:v>
                </c:pt>
                <c:pt idx="482">
                  <c:v>42473</c:v>
                </c:pt>
                <c:pt idx="483">
                  <c:v>42472</c:v>
                </c:pt>
                <c:pt idx="484">
                  <c:v>42471</c:v>
                </c:pt>
                <c:pt idx="485">
                  <c:v>42468</c:v>
                </c:pt>
                <c:pt idx="486">
                  <c:v>42467</c:v>
                </c:pt>
                <c:pt idx="487">
                  <c:v>42466</c:v>
                </c:pt>
                <c:pt idx="488">
                  <c:v>42465</c:v>
                </c:pt>
                <c:pt idx="489">
                  <c:v>42464</c:v>
                </c:pt>
                <c:pt idx="490">
                  <c:v>42461</c:v>
                </c:pt>
                <c:pt idx="491">
                  <c:v>42460</c:v>
                </c:pt>
                <c:pt idx="492">
                  <c:v>42459</c:v>
                </c:pt>
                <c:pt idx="493">
                  <c:v>42458</c:v>
                </c:pt>
                <c:pt idx="494">
                  <c:v>42457</c:v>
                </c:pt>
                <c:pt idx="495">
                  <c:v>42453</c:v>
                </c:pt>
                <c:pt idx="496">
                  <c:v>42452</c:v>
                </c:pt>
                <c:pt idx="497">
                  <c:v>42451</c:v>
                </c:pt>
                <c:pt idx="498">
                  <c:v>42450</c:v>
                </c:pt>
                <c:pt idx="499">
                  <c:v>42447</c:v>
                </c:pt>
                <c:pt idx="500">
                  <c:v>42446</c:v>
                </c:pt>
                <c:pt idx="501">
                  <c:v>42445</c:v>
                </c:pt>
                <c:pt idx="502">
                  <c:v>42444</c:v>
                </c:pt>
                <c:pt idx="503">
                  <c:v>42443</c:v>
                </c:pt>
                <c:pt idx="504">
                  <c:v>42440</c:v>
                </c:pt>
                <c:pt idx="505">
                  <c:v>42439</c:v>
                </c:pt>
                <c:pt idx="506">
                  <c:v>42438</c:v>
                </c:pt>
                <c:pt idx="507">
                  <c:v>42437</c:v>
                </c:pt>
                <c:pt idx="508">
                  <c:v>42436</c:v>
                </c:pt>
                <c:pt idx="509">
                  <c:v>42433</c:v>
                </c:pt>
                <c:pt idx="510">
                  <c:v>42432</c:v>
                </c:pt>
                <c:pt idx="511">
                  <c:v>42431</c:v>
                </c:pt>
                <c:pt idx="512">
                  <c:v>42430</c:v>
                </c:pt>
                <c:pt idx="513">
                  <c:v>42429</c:v>
                </c:pt>
                <c:pt idx="514">
                  <c:v>42426</c:v>
                </c:pt>
                <c:pt idx="515">
                  <c:v>42425</c:v>
                </c:pt>
                <c:pt idx="516">
                  <c:v>42424</c:v>
                </c:pt>
                <c:pt idx="517">
                  <c:v>42423</c:v>
                </c:pt>
                <c:pt idx="518">
                  <c:v>42422</c:v>
                </c:pt>
                <c:pt idx="519">
                  <c:v>42419</c:v>
                </c:pt>
                <c:pt idx="520">
                  <c:v>42418</c:v>
                </c:pt>
                <c:pt idx="521">
                  <c:v>42417</c:v>
                </c:pt>
                <c:pt idx="522">
                  <c:v>42416</c:v>
                </c:pt>
                <c:pt idx="523">
                  <c:v>42412</c:v>
                </c:pt>
                <c:pt idx="524">
                  <c:v>42411</c:v>
                </c:pt>
                <c:pt idx="525">
                  <c:v>42410</c:v>
                </c:pt>
                <c:pt idx="526">
                  <c:v>42409</c:v>
                </c:pt>
                <c:pt idx="527">
                  <c:v>42408</c:v>
                </c:pt>
                <c:pt idx="528">
                  <c:v>42405</c:v>
                </c:pt>
                <c:pt idx="529">
                  <c:v>42404</c:v>
                </c:pt>
                <c:pt idx="530">
                  <c:v>42403</c:v>
                </c:pt>
                <c:pt idx="531">
                  <c:v>42402</c:v>
                </c:pt>
                <c:pt idx="532">
                  <c:v>42401</c:v>
                </c:pt>
                <c:pt idx="533">
                  <c:v>42398</c:v>
                </c:pt>
                <c:pt idx="534">
                  <c:v>42397</c:v>
                </c:pt>
                <c:pt idx="535">
                  <c:v>42396</c:v>
                </c:pt>
                <c:pt idx="536">
                  <c:v>42395</c:v>
                </c:pt>
                <c:pt idx="537">
                  <c:v>42394</c:v>
                </c:pt>
                <c:pt idx="538">
                  <c:v>42391</c:v>
                </c:pt>
                <c:pt idx="539">
                  <c:v>42390</c:v>
                </c:pt>
                <c:pt idx="540">
                  <c:v>42389</c:v>
                </c:pt>
                <c:pt idx="541">
                  <c:v>42388</c:v>
                </c:pt>
                <c:pt idx="542">
                  <c:v>42384</c:v>
                </c:pt>
                <c:pt idx="543">
                  <c:v>42383</c:v>
                </c:pt>
                <c:pt idx="544">
                  <c:v>42382</c:v>
                </c:pt>
                <c:pt idx="545">
                  <c:v>42381</c:v>
                </c:pt>
                <c:pt idx="546">
                  <c:v>42380</c:v>
                </c:pt>
                <c:pt idx="547">
                  <c:v>42377</c:v>
                </c:pt>
                <c:pt idx="548">
                  <c:v>42376</c:v>
                </c:pt>
                <c:pt idx="549">
                  <c:v>42375</c:v>
                </c:pt>
                <c:pt idx="550">
                  <c:v>42374</c:v>
                </c:pt>
                <c:pt idx="551">
                  <c:v>42373</c:v>
                </c:pt>
              </c:numCache>
            </c:numRef>
          </c:cat>
          <c:val>
            <c:numRef>
              <c:f>'Graf 3+4'!$J$3:$J$554</c:f>
              <c:numCache>
                <c:formatCode>General</c:formatCode>
                <c:ptCount val="552"/>
                <c:pt idx="0">
                  <c:v>65.3</c:v>
                </c:pt>
                <c:pt idx="1">
                  <c:v>64.95</c:v>
                </c:pt>
                <c:pt idx="2">
                  <c:v>65.489999999999995</c:v>
                </c:pt>
                <c:pt idx="3">
                  <c:v>63.61</c:v>
                </c:pt>
                <c:pt idx="4">
                  <c:v>64.34</c:v>
                </c:pt>
                <c:pt idx="5">
                  <c:v>65.790000000000006</c:v>
                </c:pt>
                <c:pt idx="6">
                  <c:v>65.540000000000006</c:v>
                </c:pt>
                <c:pt idx="7">
                  <c:v>64.37</c:v>
                </c:pt>
                <c:pt idx="8">
                  <c:v>63.83</c:v>
                </c:pt>
                <c:pt idx="9">
                  <c:v>65.78</c:v>
                </c:pt>
                <c:pt idx="10">
                  <c:v>66.63</c:v>
                </c:pt>
                <c:pt idx="11">
                  <c:v>67.5</c:v>
                </c:pt>
                <c:pt idx="12">
                  <c:v>67.31</c:v>
                </c:pt>
                <c:pt idx="13">
                  <c:v>66.39</c:v>
                </c:pt>
                <c:pt idx="14">
                  <c:v>65.42</c:v>
                </c:pt>
                <c:pt idx="15">
                  <c:v>65.25</c:v>
                </c:pt>
                <c:pt idx="16">
                  <c:v>64.84</c:v>
                </c:pt>
                <c:pt idx="17">
                  <c:v>64.33</c:v>
                </c:pt>
                <c:pt idx="18">
                  <c:v>64.36</c:v>
                </c:pt>
                <c:pt idx="19">
                  <c:v>62.72</c:v>
                </c:pt>
                <c:pt idx="20">
                  <c:v>62.59</c:v>
                </c:pt>
                <c:pt idx="21">
                  <c:v>62.79</c:v>
                </c:pt>
                <c:pt idx="22">
                  <c:v>64.81</c:v>
                </c:pt>
                <c:pt idx="23">
                  <c:v>65.510000000000005</c:v>
                </c:pt>
                <c:pt idx="24">
                  <c:v>66.86</c:v>
                </c:pt>
                <c:pt idx="25">
                  <c:v>67.62</c:v>
                </c:pt>
                <c:pt idx="26">
                  <c:v>68.58</c:v>
                </c:pt>
                <c:pt idx="27">
                  <c:v>69.650000000000006</c:v>
                </c:pt>
                <c:pt idx="28">
                  <c:v>69.05</c:v>
                </c:pt>
                <c:pt idx="29">
                  <c:v>69.02</c:v>
                </c:pt>
                <c:pt idx="30">
                  <c:v>69.459999999999994</c:v>
                </c:pt>
                <c:pt idx="31">
                  <c:v>70.52</c:v>
                </c:pt>
                <c:pt idx="32">
                  <c:v>70.42</c:v>
                </c:pt>
                <c:pt idx="33">
                  <c:v>70.53</c:v>
                </c:pt>
                <c:pt idx="34">
                  <c:v>69.959999999999994</c:v>
                </c:pt>
                <c:pt idx="35">
                  <c:v>69.03</c:v>
                </c:pt>
                <c:pt idx="36">
                  <c:v>68.61</c:v>
                </c:pt>
                <c:pt idx="37">
                  <c:v>69.31</c:v>
                </c:pt>
                <c:pt idx="38">
                  <c:v>69.38</c:v>
                </c:pt>
                <c:pt idx="39">
                  <c:v>69.150000000000006</c:v>
                </c:pt>
                <c:pt idx="40">
                  <c:v>69.87</c:v>
                </c:pt>
                <c:pt idx="41">
                  <c:v>69.260000000000005</c:v>
                </c:pt>
                <c:pt idx="42">
                  <c:v>69.2</c:v>
                </c:pt>
                <c:pt idx="43">
                  <c:v>68.819999999999993</c:v>
                </c:pt>
                <c:pt idx="44">
                  <c:v>67.78</c:v>
                </c:pt>
                <c:pt idx="45">
                  <c:v>67.62</c:v>
                </c:pt>
                <c:pt idx="46">
                  <c:v>68.069999999999993</c:v>
                </c:pt>
                <c:pt idx="47">
                  <c:v>67.84</c:v>
                </c:pt>
                <c:pt idx="48">
                  <c:v>66.569999999999993</c:v>
                </c:pt>
                <c:pt idx="49">
                  <c:v>66.87</c:v>
                </c:pt>
                <c:pt idx="50">
                  <c:v>66.72</c:v>
                </c:pt>
                <c:pt idx="51">
                  <c:v>66.44</c:v>
                </c:pt>
                <c:pt idx="52">
                  <c:v>67.02</c:v>
                </c:pt>
                <c:pt idx="53">
                  <c:v>65.25</c:v>
                </c:pt>
                <c:pt idx="54">
                  <c:v>64.900000000000006</c:v>
                </c:pt>
                <c:pt idx="55">
                  <c:v>64.56</c:v>
                </c:pt>
                <c:pt idx="56">
                  <c:v>63.8</c:v>
                </c:pt>
                <c:pt idx="57">
                  <c:v>63.41</c:v>
                </c:pt>
                <c:pt idx="58">
                  <c:v>63.23</c:v>
                </c:pt>
                <c:pt idx="59">
                  <c:v>63.31</c:v>
                </c:pt>
                <c:pt idx="60">
                  <c:v>62.44</c:v>
                </c:pt>
                <c:pt idx="61">
                  <c:v>63.34</c:v>
                </c:pt>
                <c:pt idx="62">
                  <c:v>64.69</c:v>
                </c:pt>
                <c:pt idx="63">
                  <c:v>63.4</c:v>
                </c:pt>
                <c:pt idx="64">
                  <c:v>62.2</c:v>
                </c:pt>
                <c:pt idx="65">
                  <c:v>61.22</c:v>
                </c:pt>
                <c:pt idx="66">
                  <c:v>62.86</c:v>
                </c:pt>
                <c:pt idx="67">
                  <c:v>62.45</c:v>
                </c:pt>
                <c:pt idx="68">
                  <c:v>63.73</c:v>
                </c:pt>
                <c:pt idx="69">
                  <c:v>63.57</c:v>
                </c:pt>
                <c:pt idx="70">
                  <c:v>63.11</c:v>
                </c:pt>
                <c:pt idx="71">
                  <c:v>63.61</c:v>
                </c:pt>
                <c:pt idx="72">
                  <c:v>63.84</c:v>
                </c:pt>
                <c:pt idx="73">
                  <c:v>63.86</c:v>
                </c:pt>
                <c:pt idx="74">
                  <c:v>63.32</c:v>
                </c:pt>
                <c:pt idx="75">
                  <c:v>62.57</c:v>
                </c:pt>
                <c:pt idx="76">
                  <c:v>62.22</c:v>
                </c:pt>
                <c:pt idx="77">
                  <c:v>62.72</c:v>
                </c:pt>
                <c:pt idx="78">
                  <c:v>61.36</c:v>
                </c:pt>
                <c:pt idx="79">
                  <c:v>61.87</c:v>
                </c:pt>
                <c:pt idx="80">
                  <c:v>62.21</c:v>
                </c:pt>
                <c:pt idx="81">
                  <c:v>63.16</c:v>
                </c:pt>
                <c:pt idx="82">
                  <c:v>63.52</c:v>
                </c:pt>
                <c:pt idx="83">
                  <c:v>63.93</c:v>
                </c:pt>
                <c:pt idx="84">
                  <c:v>63.49</c:v>
                </c:pt>
                <c:pt idx="85">
                  <c:v>63.69</c:v>
                </c:pt>
                <c:pt idx="86">
                  <c:v>64.27</c:v>
                </c:pt>
                <c:pt idx="87">
                  <c:v>62.07</c:v>
                </c:pt>
                <c:pt idx="88">
                  <c:v>60.62</c:v>
                </c:pt>
                <c:pt idx="89">
                  <c:v>60.49</c:v>
                </c:pt>
                <c:pt idx="90">
                  <c:v>61.37</c:v>
                </c:pt>
                <c:pt idx="91">
                  <c:v>60.9</c:v>
                </c:pt>
                <c:pt idx="92">
                  <c:v>60.44</c:v>
                </c:pt>
                <c:pt idx="93">
                  <c:v>59.3</c:v>
                </c:pt>
                <c:pt idx="94">
                  <c:v>58.44</c:v>
                </c:pt>
                <c:pt idx="95">
                  <c:v>58.33</c:v>
                </c:pt>
                <c:pt idx="96">
                  <c:v>57.37</c:v>
                </c:pt>
                <c:pt idx="97">
                  <c:v>57.75</c:v>
                </c:pt>
                <c:pt idx="98">
                  <c:v>57.23</c:v>
                </c:pt>
                <c:pt idx="99">
                  <c:v>58.15</c:v>
                </c:pt>
                <c:pt idx="100">
                  <c:v>57.88</c:v>
                </c:pt>
                <c:pt idx="101">
                  <c:v>57.82</c:v>
                </c:pt>
                <c:pt idx="102">
                  <c:v>57.17</c:v>
                </c:pt>
                <c:pt idx="103">
                  <c:v>56.25</c:v>
                </c:pt>
                <c:pt idx="104">
                  <c:v>56.94</c:v>
                </c:pt>
                <c:pt idx="105">
                  <c:v>56.61</c:v>
                </c:pt>
                <c:pt idx="106">
                  <c:v>55.79</c:v>
                </c:pt>
                <c:pt idx="107">
                  <c:v>55.62</c:v>
                </c:pt>
                <c:pt idx="108">
                  <c:v>57</c:v>
                </c:pt>
                <c:pt idx="109">
                  <c:v>55.8</c:v>
                </c:pt>
                <c:pt idx="110">
                  <c:v>56</c:v>
                </c:pt>
                <c:pt idx="111">
                  <c:v>56.12</c:v>
                </c:pt>
                <c:pt idx="112">
                  <c:v>57.54</c:v>
                </c:pt>
                <c:pt idx="113">
                  <c:v>57.41</c:v>
                </c:pt>
                <c:pt idx="114">
                  <c:v>57.9</c:v>
                </c:pt>
                <c:pt idx="115">
                  <c:v>58.44</c:v>
                </c:pt>
                <c:pt idx="116">
                  <c:v>59.02</c:v>
                </c:pt>
                <c:pt idx="117">
                  <c:v>56.86</c:v>
                </c:pt>
                <c:pt idx="118">
                  <c:v>56.43</c:v>
                </c:pt>
                <c:pt idx="119">
                  <c:v>56.29</c:v>
                </c:pt>
                <c:pt idx="120">
                  <c:v>55.14</c:v>
                </c:pt>
                <c:pt idx="121">
                  <c:v>55.48</c:v>
                </c:pt>
                <c:pt idx="122">
                  <c:v>55.62</c:v>
                </c:pt>
                <c:pt idx="123">
                  <c:v>55.47</c:v>
                </c:pt>
                <c:pt idx="124">
                  <c:v>55.16</c:v>
                </c:pt>
                <c:pt idx="125">
                  <c:v>54.27</c:v>
                </c:pt>
                <c:pt idx="126">
                  <c:v>53.84</c:v>
                </c:pt>
                <c:pt idx="127">
                  <c:v>53.78</c:v>
                </c:pt>
                <c:pt idx="128">
                  <c:v>54.49</c:v>
                </c:pt>
                <c:pt idx="129">
                  <c:v>54.2</c:v>
                </c:pt>
                <c:pt idx="130">
                  <c:v>53.38</c:v>
                </c:pt>
                <c:pt idx="131">
                  <c:v>52.75</c:v>
                </c:pt>
                <c:pt idx="132">
                  <c:v>52.38</c:v>
                </c:pt>
                <c:pt idx="133">
                  <c:v>50.86</c:v>
                </c:pt>
                <c:pt idx="134">
                  <c:v>52</c:v>
                </c:pt>
                <c:pt idx="135">
                  <c:v>51.89</c:v>
                </c:pt>
                <c:pt idx="136">
                  <c:v>52.41</c:v>
                </c:pt>
                <c:pt idx="137">
                  <c:v>52.04</c:v>
                </c:pt>
                <c:pt idx="138">
                  <c:v>52.57</c:v>
                </c:pt>
                <c:pt idx="139">
                  <c:v>51.87</c:v>
                </c:pt>
                <c:pt idx="140">
                  <c:v>51.66</c:v>
                </c:pt>
                <c:pt idx="141">
                  <c:v>52.72</c:v>
                </c:pt>
                <c:pt idx="142">
                  <c:v>51.03</c:v>
                </c:pt>
                <c:pt idx="143">
                  <c:v>50.27</c:v>
                </c:pt>
                <c:pt idx="144">
                  <c:v>50.8</c:v>
                </c:pt>
                <c:pt idx="145">
                  <c:v>50.73</c:v>
                </c:pt>
                <c:pt idx="146">
                  <c:v>52.1</c:v>
                </c:pt>
                <c:pt idx="147">
                  <c:v>51.9</c:v>
                </c:pt>
                <c:pt idx="148">
                  <c:v>52.7</c:v>
                </c:pt>
                <c:pt idx="149">
                  <c:v>52.14</c:v>
                </c:pt>
                <c:pt idx="150">
                  <c:v>52.37</c:v>
                </c:pt>
                <c:pt idx="151">
                  <c:v>52.42</c:v>
                </c:pt>
                <c:pt idx="152">
                  <c:v>52.01</c:v>
                </c:pt>
                <c:pt idx="153">
                  <c:v>52.36</c:v>
                </c:pt>
                <c:pt idx="154">
                  <c:v>51.78</c:v>
                </c:pt>
                <c:pt idx="155">
                  <c:v>52.65</c:v>
                </c:pt>
                <c:pt idx="156">
                  <c:v>52.52</c:v>
                </c:pt>
                <c:pt idx="157">
                  <c:v>51.49</c:v>
                </c:pt>
                <c:pt idx="158">
                  <c:v>50.97</c:v>
                </c:pt>
                <c:pt idx="159">
                  <c:v>50.2</c:v>
                </c:pt>
                <c:pt idx="160">
                  <c:v>48.6</c:v>
                </c:pt>
                <c:pt idx="161">
                  <c:v>48.06</c:v>
                </c:pt>
                <c:pt idx="162">
                  <c:v>49.3</c:v>
                </c:pt>
                <c:pt idx="163">
                  <c:v>49.7</c:v>
                </c:pt>
                <c:pt idx="164">
                  <c:v>48.84</c:v>
                </c:pt>
                <c:pt idx="165">
                  <c:v>48.42</c:v>
                </c:pt>
                <c:pt idx="166">
                  <c:v>48.91</c:v>
                </c:pt>
                <c:pt idx="167">
                  <c:v>48.42</c:v>
                </c:pt>
                <c:pt idx="168">
                  <c:v>47.74</c:v>
                </c:pt>
                <c:pt idx="169">
                  <c:v>47.52</c:v>
                </c:pt>
                <c:pt idx="170">
                  <c:v>46.88</c:v>
                </c:pt>
                <c:pt idx="171">
                  <c:v>46.71</c:v>
                </c:pt>
                <c:pt idx="172">
                  <c:v>48.11</c:v>
                </c:pt>
                <c:pt idx="173">
                  <c:v>47.79</c:v>
                </c:pt>
                <c:pt idx="174">
                  <c:v>49.68</c:v>
                </c:pt>
                <c:pt idx="175">
                  <c:v>47.92</c:v>
                </c:pt>
                <c:pt idx="176">
                  <c:v>47.42</c:v>
                </c:pt>
                <c:pt idx="177">
                  <c:v>47.31</c:v>
                </c:pt>
                <c:pt idx="178">
                  <c:v>46.65</c:v>
                </c:pt>
                <c:pt idx="179">
                  <c:v>45.83</c:v>
                </c:pt>
                <c:pt idx="180">
                  <c:v>45.54</c:v>
                </c:pt>
                <c:pt idx="181">
                  <c:v>45.22</c:v>
                </c:pt>
                <c:pt idx="182">
                  <c:v>44.82</c:v>
                </c:pt>
                <c:pt idx="183">
                  <c:v>46.02</c:v>
                </c:pt>
                <c:pt idx="184">
                  <c:v>46.91</c:v>
                </c:pt>
                <c:pt idx="185">
                  <c:v>47.37</c:v>
                </c:pt>
                <c:pt idx="186">
                  <c:v>46.92</c:v>
                </c:pt>
                <c:pt idx="187">
                  <c:v>47</c:v>
                </c:pt>
                <c:pt idx="188">
                  <c:v>48.72</c:v>
                </c:pt>
                <c:pt idx="189">
                  <c:v>48.29</c:v>
                </c:pt>
                <c:pt idx="190">
                  <c:v>48.15</c:v>
                </c:pt>
                <c:pt idx="191">
                  <c:v>47.86</c:v>
                </c:pt>
                <c:pt idx="192">
                  <c:v>48.06</c:v>
                </c:pt>
                <c:pt idx="193">
                  <c:v>50.12</c:v>
                </c:pt>
                <c:pt idx="194">
                  <c:v>49.47</c:v>
                </c:pt>
                <c:pt idx="195">
                  <c:v>49.95</c:v>
                </c:pt>
                <c:pt idx="196">
                  <c:v>50.63</c:v>
                </c:pt>
                <c:pt idx="197">
                  <c:v>50.31</c:v>
                </c:pt>
                <c:pt idx="198">
                  <c:v>51.84</c:v>
                </c:pt>
                <c:pt idx="199">
                  <c:v>52.15</c:v>
                </c:pt>
                <c:pt idx="200">
                  <c:v>51.46</c:v>
                </c:pt>
                <c:pt idx="201">
                  <c:v>53.96</c:v>
                </c:pt>
                <c:pt idx="202">
                  <c:v>54.15</c:v>
                </c:pt>
                <c:pt idx="203">
                  <c:v>53.87</c:v>
                </c:pt>
                <c:pt idx="204">
                  <c:v>53.61</c:v>
                </c:pt>
                <c:pt idx="205">
                  <c:v>52.51</c:v>
                </c:pt>
                <c:pt idx="206">
                  <c:v>52.21</c:v>
                </c:pt>
                <c:pt idx="207">
                  <c:v>51.65</c:v>
                </c:pt>
                <c:pt idx="208">
                  <c:v>51.82</c:v>
                </c:pt>
                <c:pt idx="209">
                  <c:v>50.84</c:v>
                </c:pt>
                <c:pt idx="210">
                  <c:v>50.77</c:v>
                </c:pt>
                <c:pt idx="211">
                  <c:v>50.22</c:v>
                </c:pt>
                <c:pt idx="212">
                  <c:v>48.73</c:v>
                </c:pt>
                <c:pt idx="213">
                  <c:v>49.34</c:v>
                </c:pt>
                <c:pt idx="214">
                  <c:v>49.1</c:v>
                </c:pt>
                <c:pt idx="215">
                  <c:v>48.38</c:v>
                </c:pt>
                <c:pt idx="216">
                  <c:v>50.79</c:v>
                </c:pt>
                <c:pt idx="217">
                  <c:v>50.46</c:v>
                </c:pt>
                <c:pt idx="218">
                  <c:v>51.52</c:v>
                </c:pt>
                <c:pt idx="219">
                  <c:v>51.73</c:v>
                </c:pt>
                <c:pt idx="220">
                  <c:v>51.44</c:v>
                </c:pt>
                <c:pt idx="221">
                  <c:v>51.82</c:v>
                </c:pt>
                <c:pt idx="222">
                  <c:v>52.1</c:v>
                </c:pt>
                <c:pt idx="223">
                  <c:v>51.6</c:v>
                </c:pt>
                <c:pt idx="224">
                  <c:v>51.96</c:v>
                </c:pt>
                <c:pt idx="225">
                  <c:v>52.99</c:v>
                </c:pt>
                <c:pt idx="226">
                  <c:v>52.93</c:v>
                </c:pt>
                <c:pt idx="227">
                  <c:v>54.89</c:v>
                </c:pt>
                <c:pt idx="228">
                  <c:v>55.36</c:v>
                </c:pt>
                <c:pt idx="229">
                  <c:v>55.89</c:v>
                </c:pt>
                <c:pt idx="230">
                  <c:v>55.86</c:v>
                </c:pt>
                <c:pt idx="231">
                  <c:v>56.23</c:v>
                </c:pt>
                <c:pt idx="232">
                  <c:v>55.98</c:v>
                </c:pt>
                <c:pt idx="233">
                  <c:v>55.24</c:v>
                </c:pt>
                <c:pt idx="234">
                  <c:v>54.89</c:v>
                </c:pt>
                <c:pt idx="235">
                  <c:v>54.36</c:v>
                </c:pt>
                <c:pt idx="236">
                  <c:v>54.17</c:v>
                </c:pt>
                <c:pt idx="237">
                  <c:v>53.12</c:v>
                </c:pt>
                <c:pt idx="238">
                  <c:v>52.83</c:v>
                </c:pt>
                <c:pt idx="239">
                  <c:v>52.96</c:v>
                </c:pt>
                <c:pt idx="240">
                  <c:v>52.42</c:v>
                </c:pt>
                <c:pt idx="241">
                  <c:v>51.33</c:v>
                </c:pt>
                <c:pt idx="242">
                  <c:v>50.75</c:v>
                </c:pt>
                <c:pt idx="243">
                  <c:v>50.8</c:v>
                </c:pt>
                <c:pt idx="244">
                  <c:v>50.56</c:v>
                </c:pt>
                <c:pt idx="245">
                  <c:v>50.64</c:v>
                </c:pt>
                <c:pt idx="246">
                  <c:v>50.96</c:v>
                </c:pt>
                <c:pt idx="247">
                  <c:v>51.62</c:v>
                </c:pt>
                <c:pt idx="248">
                  <c:v>51.76</c:v>
                </c:pt>
                <c:pt idx="249">
                  <c:v>51.74</c:v>
                </c:pt>
                <c:pt idx="250">
                  <c:v>51.81</c:v>
                </c:pt>
                <c:pt idx="251">
                  <c:v>50.92</c:v>
                </c:pt>
                <c:pt idx="252">
                  <c:v>51.35</c:v>
                </c:pt>
                <c:pt idx="253">
                  <c:v>51.37</c:v>
                </c:pt>
                <c:pt idx="254">
                  <c:v>52.19</c:v>
                </c:pt>
                <c:pt idx="255">
                  <c:v>53.11</c:v>
                </c:pt>
                <c:pt idx="256">
                  <c:v>55.92</c:v>
                </c:pt>
                <c:pt idx="257">
                  <c:v>56.01</c:v>
                </c:pt>
                <c:pt idx="258">
                  <c:v>55.9</c:v>
                </c:pt>
                <c:pt idx="259">
                  <c:v>55.08</c:v>
                </c:pt>
                <c:pt idx="260">
                  <c:v>56.36</c:v>
                </c:pt>
                <c:pt idx="261">
                  <c:v>55.59</c:v>
                </c:pt>
                <c:pt idx="262">
                  <c:v>55.93</c:v>
                </c:pt>
                <c:pt idx="263">
                  <c:v>55.99</c:v>
                </c:pt>
                <c:pt idx="264">
                  <c:v>56.58</c:v>
                </c:pt>
                <c:pt idx="265">
                  <c:v>55.84</c:v>
                </c:pt>
                <c:pt idx="266">
                  <c:v>56.66</c:v>
                </c:pt>
                <c:pt idx="267">
                  <c:v>55.81</c:v>
                </c:pt>
                <c:pt idx="268">
                  <c:v>55.65</c:v>
                </c:pt>
                <c:pt idx="269">
                  <c:v>55.75</c:v>
                </c:pt>
                <c:pt idx="270">
                  <c:v>55.97</c:v>
                </c:pt>
                <c:pt idx="271">
                  <c:v>55.59</c:v>
                </c:pt>
                <c:pt idx="272">
                  <c:v>56.7</c:v>
                </c:pt>
                <c:pt idx="273">
                  <c:v>55.63</c:v>
                </c:pt>
                <c:pt idx="274">
                  <c:v>55.12</c:v>
                </c:pt>
                <c:pt idx="275">
                  <c:v>55.05</c:v>
                </c:pt>
                <c:pt idx="276">
                  <c:v>55.72</c:v>
                </c:pt>
                <c:pt idx="277">
                  <c:v>56.81</c:v>
                </c:pt>
                <c:pt idx="278">
                  <c:v>56.56</c:v>
                </c:pt>
                <c:pt idx="279">
                  <c:v>56.8</c:v>
                </c:pt>
                <c:pt idx="280">
                  <c:v>55.7</c:v>
                </c:pt>
                <c:pt idx="281">
                  <c:v>55.23</c:v>
                </c:pt>
                <c:pt idx="282">
                  <c:v>55.52</c:v>
                </c:pt>
                <c:pt idx="283">
                  <c:v>56.24</c:v>
                </c:pt>
                <c:pt idx="284">
                  <c:v>55.08</c:v>
                </c:pt>
                <c:pt idx="285">
                  <c:v>55.44</c:v>
                </c:pt>
                <c:pt idx="286">
                  <c:v>55.23</c:v>
                </c:pt>
                <c:pt idx="287">
                  <c:v>55.49</c:v>
                </c:pt>
                <c:pt idx="288">
                  <c:v>54.16</c:v>
                </c:pt>
                <c:pt idx="289">
                  <c:v>53.92</c:v>
                </c:pt>
                <c:pt idx="290">
                  <c:v>55.47</c:v>
                </c:pt>
                <c:pt idx="291">
                  <c:v>55.45</c:v>
                </c:pt>
                <c:pt idx="292">
                  <c:v>56.01</c:v>
                </c:pt>
                <c:pt idx="293">
                  <c:v>55.1</c:v>
                </c:pt>
                <c:pt idx="294">
                  <c:v>53.64</c:v>
                </c:pt>
                <c:pt idx="295">
                  <c:v>54.94</c:v>
                </c:pt>
                <c:pt idx="296">
                  <c:v>57.1</c:v>
                </c:pt>
                <c:pt idx="297">
                  <c:v>56.89</c:v>
                </c:pt>
                <c:pt idx="298">
                  <c:v>56.46</c:v>
                </c:pt>
                <c:pt idx="299">
                  <c:v>55.47</c:v>
                </c:pt>
                <c:pt idx="300">
                  <c:v>56.82</c:v>
                </c:pt>
                <c:pt idx="301">
                  <c:v>56.14</c:v>
                </c:pt>
                <c:pt idx="302">
                  <c:v>56.22</c:v>
                </c:pt>
                <c:pt idx="303">
                  <c:v>56.09</c:v>
                </c:pt>
                <c:pt idx="304">
                  <c:v>55.16</c:v>
                </c:pt>
                <c:pt idx="305">
                  <c:v>55.05</c:v>
                </c:pt>
                <c:pt idx="306">
                  <c:v>54.46</c:v>
                </c:pt>
                <c:pt idx="307">
                  <c:v>55.35</c:v>
                </c:pt>
                <c:pt idx="308">
                  <c:v>54.92</c:v>
                </c:pt>
                <c:pt idx="309">
                  <c:v>55.21</c:v>
                </c:pt>
                <c:pt idx="310">
                  <c:v>54.02</c:v>
                </c:pt>
                <c:pt idx="311">
                  <c:v>53.9</c:v>
                </c:pt>
                <c:pt idx="312">
                  <c:v>55.72</c:v>
                </c:pt>
                <c:pt idx="313">
                  <c:v>55.69</c:v>
                </c:pt>
                <c:pt idx="314">
                  <c:v>54.33</c:v>
                </c:pt>
                <c:pt idx="315">
                  <c:v>53.89</c:v>
                </c:pt>
                <c:pt idx="316">
                  <c:v>53</c:v>
                </c:pt>
                <c:pt idx="317">
                  <c:v>53.93</c:v>
                </c:pt>
                <c:pt idx="318">
                  <c:v>54.94</c:v>
                </c:pt>
                <c:pt idx="319">
                  <c:v>54.46</c:v>
                </c:pt>
                <c:pt idx="320">
                  <c:v>53.94</c:v>
                </c:pt>
                <c:pt idx="321">
                  <c:v>50.47</c:v>
                </c:pt>
                <c:pt idx="322">
                  <c:v>46.38</c:v>
                </c:pt>
                <c:pt idx="323">
                  <c:v>48.24</c:v>
                </c:pt>
                <c:pt idx="324">
                  <c:v>47.24</c:v>
                </c:pt>
                <c:pt idx="325">
                  <c:v>48.95</c:v>
                </c:pt>
                <c:pt idx="326">
                  <c:v>49.12</c:v>
                </c:pt>
                <c:pt idx="327">
                  <c:v>48.9</c:v>
                </c:pt>
                <c:pt idx="328">
                  <c:v>46.86</c:v>
                </c:pt>
                <c:pt idx="329">
                  <c:v>46.49</c:v>
                </c:pt>
                <c:pt idx="330">
                  <c:v>46.63</c:v>
                </c:pt>
                <c:pt idx="331">
                  <c:v>46.95</c:v>
                </c:pt>
                <c:pt idx="332">
                  <c:v>44.43</c:v>
                </c:pt>
                <c:pt idx="333">
                  <c:v>44.75</c:v>
                </c:pt>
                <c:pt idx="334">
                  <c:v>45.84</c:v>
                </c:pt>
                <c:pt idx="335">
                  <c:v>46.36</c:v>
                </c:pt>
                <c:pt idx="336">
                  <c:v>46.04</c:v>
                </c:pt>
                <c:pt idx="337">
                  <c:v>46.15</c:v>
                </c:pt>
                <c:pt idx="338">
                  <c:v>45.58</c:v>
                </c:pt>
                <c:pt idx="339">
                  <c:v>46.35</c:v>
                </c:pt>
                <c:pt idx="340">
                  <c:v>46.86</c:v>
                </c:pt>
                <c:pt idx="341">
                  <c:v>48.14</c:v>
                </c:pt>
                <c:pt idx="342">
                  <c:v>48.3</c:v>
                </c:pt>
                <c:pt idx="343">
                  <c:v>49.71</c:v>
                </c:pt>
                <c:pt idx="344">
                  <c:v>50.47</c:v>
                </c:pt>
                <c:pt idx="345">
                  <c:v>49.98</c:v>
                </c:pt>
                <c:pt idx="346">
                  <c:v>50.79</c:v>
                </c:pt>
                <c:pt idx="347">
                  <c:v>51.46</c:v>
                </c:pt>
                <c:pt idx="348">
                  <c:v>51.78</c:v>
                </c:pt>
                <c:pt idx="349">
                  <c:v>51.38</c:v>
                </c:pt>
                <c:pt idx="350">
                  <c:v>52.67</c:v>
                </c:pt>
                <c:pt idx="351">
                  <c:v>51.68</c:v>
                </c:pt>
                <c:pt idx="352">
                  <c:v>51.52</c:v>
                </c:pt>
                <c:pt idx="353">
                  <c:v>51.95</c:v>
                </c:pt>
                <c:pt idx="354">
                  <c:v>52.03</c:v>
                </c:pt>
                <c:pt idx="355">
                  <c:v>51.81</c:v>
                </c:pt>
                <c:pt idx="356">
                  <c:v>52.41</c:v>
                </c:pt>
                <c:pt idx="357">
                  <c:v>53.14</c:v>
                </c:pt>
                <c:pt idx="358">
                  <c:v>51.93</c:v>
                </c:pt>
                <c:pt idx="359">
                  <c:v>52.51</c:v>
                </c:pt>
                <c:pt idx="360">
                  <c:v>51.86</c:v>
                </c:pt>
                <c:pt idx="361">
                  <c:v>50.87</c:v>
                </c:pt>
                <c:pt idx="362">
                  <c:v>50.89</c:v>
                </c:pt>
                <c:pt idx="363">
                  <c:v>49.06</c:v>
                </c:pt>
                <c:pt idx="364">
                  <c:v>49.24</c:v>
                </c:pt>
                <c:pt idx="365">
                  <c:v>48.69</c:v>
                </c:pt>
                <c:pt idx="366">
                  <c:v>45.97</c:v>
                </c:pt>
                <c:pt idx="367">
                  <c:v>47.35</c:v>
                </c:pt>
                <c:pt idx="368">
                  <c:v>45.89</c:v>
                </c:pt>
                <c:pt idx="369">
                  <c:v>47.65</c:v>
                </c:pt>
                <c:pt idx="370">
                  <c:v>46.83</c:v>
                </c:pt>
                <c:pt idx="371">
                  <c:v>45.88</c:v>
                </c:pt>
                <c:pt idx="372">
                  <c:v>45.95</c:v>
                </c:pt>
                <c:pt idx="373">
                  <c:v>45.77</c:v>
                </c:pt>
                <c:pt idx="374">
                  <c:v>46.59</c:v>
                </c:pt>
                <c:pt idx="375">
                  <c:v>45.85</c:v>
                </c:pt>
                <c:pt idx="376">
                  <c:v>47.1</c:v>
                </c:pt>
                <c:pt idx="377">
                  <c:v>48.32</c:v>
                </c:pt>
                <c:pt idx="378">
                  <c:v>48.01</c:v>
                </c:pt>
                <c:pt idx="379">
                  <c:v>49.99</c:v>
                </c:pt>
                <c:pt idx="380">
                  <c:v>47.98</c:v>
                </c:pt>
                <c:pt idx="381">
                  <c:v>47.26</c:v>
                </c:pt>
                <c:pt idx="382">
                  <c:v>46.83</c:v>
                </c:pt>
                <c:pt idx="383">
                  <c:v>45.45</c:v>
                </c:pt>
                <c:pt idx="384">
                  <c:v>47.04</c:v>
                </c:pt>
                <c:pt idx="385">
                  <c:v>48.37</c:v>
                </c:pt>
                <c:pt idx="386">
                  <c:v>49.26</c:v>
                </c:pt>
                <c:pt idx="387">
                  <c:v>49.92</c:v>
                </c:pt>
                <c:pt idx="388">
                  <c:v>49.67</c:v>
                </c:pt>
                <c:pt idx="389">
                  <c:v>49.05</c:v>
                </c:pt>
                <c:pt idx="390">
                  <c:v>49.96</c:v>
                </c:pt>
                <c:pt idx="391">
                  <c:v>49.16</c:v>
                </c:pt>
                <c:pt idx="392">
                  <c:v>50.88</c:v>
                </c:pt>
                <c:pt idx="393">
                  <c:v>50.89</c:v>
                </c:pt>
                <c:pt idx="394">
                  <c:v>49.85</c:v>
                </c:pt>
                <c:pt idx="395">
                  <c:v>49.23</c:v>
                </c:pt>
                <c:pt idx="396">
                  <c:v>48.35</c:v>
                </c:pt>
                <c:pt idx="397">
                  <c:v>46.97</c:v>
                </c:pt>
                <c:pt idx="398">
                  <c:v>46.04</c:v>
                </c:pt>
                <c:pt idx="399">
                  <c:v>44.05</c:v>
                </c:pt>
                <c:pt idx="400">
                  <c:v>44.98</c:v>
                </c:pt>
                <c:pt idx="401">
                  <c:v>45.39</c:v>
                </c:pt>
                <c:pt idx="402">
                  <c:v>44.27</c:v>
                </c:pt>
                <c:pt idx="403">
                  <c:v>44.29</c:v>
                </c:pt>
                <c:pt idx="404">
                  <c:v>43.1</c:v>
                </c:pt>
                <c:pt idx="405">
                  <c:v>41.8</c:v>
                </c:pt>
                <c:pt idx="406">
                  <c:v>42.14</c:v>
                </c:pt>
                <c:pt idx="407">
                  <c:v>42.46</c:v>
                </c:pt>
                <c:pt idx="408">
                  <c:v>42.7</c:v>
                </c:pt>
                <c:pt idx="409">
                  <c:v>43.47</c:v>
                </c:pt>
                <c:pt idx="410">
                  <c:v>44.87</c:v>
                </c:pt>
                <c:pt idx="411">
                  <c:v>44.72</c:v>
                </c:pt>
                <c:pt idx="412">
                  <c:v>45.69</c:v>
                </c:pt>
                <c:pt idx="413">
                  <c:v>46.2</c:v>
                </c:pt>
                <c:pt idx="414">
                  <c:v>47.17</c:v>
                </c:pt>
                <c:pt idx="415">
                  <c:v>46.66</c:v>
                </c:pt>
                <c:pt idx="416">
                  <c:v>46.96</c:v>
                </c:pt>
                <c:pt idx="417">
                  <c:v>47.61</c:v>
                </c:pt>
                <c:pt idx="418">
                  <c:v>47.37</c:v>
                </c:pt>
                <c:pt idx="419">
                  <c:v>46.26</c:v>
                </c:pt>
                <c:pt idx="420">
                  <c:v>48.47</c:v>
                </c:pt>
                <c:pt idx="421">
                  <c:v>46.25</c:v>
                </c:pt>
                <c:pt idx="422">
                  <c:v>46.76</c:v>
                </c:pt>
                <c:pt idx="423">
                  <c:v>46.4</c:v>
                </c:pt>
                <c:pt idx="424">
                  <c:v>48.8</c:v>
                </c:pt>
                <c:pt idx="425">
                  <c:v>47.96</c:v>
                </c:pt>
                <c:pt idx="426">
                  <c:v>50.35</c:v>
                </c:pt>
                <c:pt idx="427">
                  <c:v>49.68</c:v>
                </c:pt>
                <c:pt idx="428">
                  <c:v>50.61</c:v>
                </c:pt>
                <c:pt idx="429">
                  <c:v>48.58</c:v>
                </c:pt>
                <c:pt idx="430">
                  <c:v>47.16</c:v>
                </c:pt>
                <c:pt idx="431">
                  <c:v>48.41</c:v>
                </c:pt>
                <c:pt idx="432">
                  <c:v>50.91</c:v>
                </c:pt>
                <c:pt idx="433">
                  <c:v>49.88</c:v>
                </c:pt>
                <c:pt idx="434">
                  <c:v>50.62</c:v>
                </c:pt>
                <c:pt idx="435">
                  <c:v>50.65</c:v>
                </c:pt>
                <c:pt idx="436">
                  <c:v>49.17</c:v>
                </c:pt>
                <c:pt idx="437">
                  <c:v>47.19</c:v>
                </c:pt>
                <c:pt idx="438">
                  <c:v>48.97</c:v>
                </c:pt>
                <c:pt idx="439">
                  <c:v>49.83</c:v>
                </c:pt>
                <c:pt idx="440">
                  <c:v>50.35</c:v>
                </c:pt>
                <c:pt idx="441">
                  <c:v>50.54</c:v>
                </c:pt>
                <c:pt idx="442">
                  <c:v>51.95</c:v>
                </c:pt>
                <c:pt idx="443">
                  <c:v>52.51</c:v>
                </c:pt>
                <c:pt idx="444">
                  <c:v>51.44</c:v>
                </c:pt>
                <c:pt idx="445">
                  <c:v>50.55</c:v>
                </c:pt>
                <c:pt idx="446">
                  <c:v>49.64</c:v>
                </c:pt>
                <c:pt idx="447">
                  <c:v>50.04</c:v>
                </c:pt>
                <c:pt idx="448">
                  <c:v>49.72</c:v>
                </c:pt>
                <c:pt idx="449">
                  <c:v>49.69</c:v>
                </c:pt>
                <c:pt idx="450">
                  <c:v>49.32</c:v>
                </c:pt>
                <c:pt idx="451">
                  <c:v>49.59</c:v>
                </c:pt>
                <c:pt idx="452">
                  <c:v>49.74</c:v>
                </c:pt>
                <c:pt idx="453">
                  <c:v>48.61</c:v>
                </c:pt>
                <c:pt idx="454">
                  <c:v>48.35</c:v>
                </c:pt>
                <c:pt idx="455">
                  <c:v>48.72</c:v>
                </c:pt>
                <c:pt idx="456">
                  <c:v>48.81</c:v>
                </c:pt>
                <c:pt idx="457">
                  <c:v>48.93</c:v>
                </c:pt>
                <c:pt idx="458">
                  <c:v>49.28</c:v>
                </c:pt>
                <c:pt idx="459">
                  <c:v>48.97</c:v>
                </c:pt>
                <c:pt idx="460">
                  <c:v>47.83</c:v>
                </c:pt>
                <c:pt idx="461">
                  <c:v>48.08</c:v>
                </c:pt>
                <c:pt idx="462">
                  <c:v>47.6</c:v>
                </c:pt>
                <c:pt idx="463">
                  <c:v>45.52</c:v>
                </c:pt>
                <c:pt idx="464">
                  <c:v>43.63</c:v>
                </c:pt>
                <c:pt idx="465">
                  <c:v>45.37</c:v>
                </c:pt>
                <c:pt idx="466">
                  <c:v>45.01</c:v>
                </c:pt>
                <c:pt idx="467">
                  <c:v>44.62</c:v>
                </c:pt>
                <c:pt idx="468">
                  <c:v>44.97</c:v>
                </c:pt>
                <c:pt idx="469">
                  <c:v>45.83</c:v>
                </c:pt>
                <c:pt idx="470">
                  <c:v>48.13</c:v>
                </c:pt>
                <c:pt idx="471">
                  <c:v>48.14</c:v>
                </c:pt>
                <c:pt idx="472">
                  <c:v>47.18</c:v>
                </c:pt>
                <c:pt idx="473">
                  <c:v>45.74</c:v>
                </c:pt>
                <c:pt idx="474">
                  <c:v>44.48</c:v>
                </c:pt>
                <c:pt idx="475">
                  <c:v>45.11</c:v>
                </c:pt>
                <c:pt idx="476">
                  <c:v>44.53</c:v>
                </c:pt>
                <c:pt idx="477">
                  <c:v>45.8</c:v>
                </c:pt>
                <c:pt idx="478">
                  <c:v>44.03</c:v>
                </c:pt>
                <c:pt idx="479">
                  <c:v>42.91</c:v>
                </c:pt>
                <c:pt idx="480">
                  <c:v>43.1</c:v>
                </c:pt>
                <c:pt idx="481">
                  <c:v>43.84</c:v>
                </c:pt>
                <c:pt idx="482">
                  <c:v>44.18</c:v>
                </c:pt>
                <c:pt idx="483">
                  <c:v>44.69</c:v>
                </c:pt>
                <c:pt idx="484">
                  <c:v>42.83</c:v>
                </c:pt>
                <c:pt idx="485">
                  <c:v>41.94</c:v>
                </c:pt>
                <c:pt idx="486">
                  <c:v>39.43</c:v>
                </c:pt>
                <c:pt idx="487">
                  <c:v>39.840000000000003</c:v>
                </c:pt>
                <c:pt idx="488">
                  <c:v>37.869999999999997</c:v>
                </c:pt>
                <c:pt idx="489">
                  <c:v>37.69</c:v>
                </c:pt>
                <c:pt idx="490">
                  <c:v>38.67</c:v>
                </c:pt>
                <c:pt idx="491">
                  <c:v>39.6</c:v>
                </c:pt>
                <c:pt idx="492">
                  <c:v>39.26</c:v>
                </c:pt>
                <c:pt idx="493">
                  <c:v>39.14</c:v>
                </c:pt>
                <c:pt idx="494">
                  <c:v>40.270000000000003</c:v>
                </c:pt>
                <c:pt idx="495">
                  <c:v>40.44</c:v>
                </c:pt>
                <c:pt idx="496">
                  <c:v>40.47</c:v>
                </c:pt>
                <c:pt idx="497">
                  <c:v>41.79</c:v>
                </c:pt>
                <c:pt idx="498">
                  <c:v>41.54</c:v>
                </c:pt>
                <c:pt idx="499">
                  <c:v>41.2</c:v>
                </c:pt>
                <c:pt idx="500">
                  <c:v>41.54</c:v>
                </c:pt>
                <c:pt idx="501">
                  <c:v>40.33</c:v>
                </c:pt>
                <c:pt idx="502">
                  <c:v>38.74</c:v>
                </c:pt>
                <c:pt idx="503">
                  <c:v>39.53</c:v>
                </c:pt>
                <c:pt idx="504">
                  <c:v>40.39</c:v>
                </c:pt>
                <c:pt idx="505">
                  <c:v>40.049999999999997</c:v>
                </c:pt>
                <c:pt idx="506">
                  <c:v>41.07</c:v>
                </c:pt>
                <c:pt idx="507">
                  <c:v>39.65</c:v>
                </c:pt>
                <c:pt idx="508">
                  <c:v>40.840000000000003</c:v>
                </c:pt>
                <c:pt idx="509">
                  <c:v>38.72</c:v>
                </c:pt>
                <c:pt idx="510">
                  <c:v>37.07</c:v>
                </c:pt>
                <c:pt idx="511">
                  <c:v>36.93</c:v>
                </c:pt>
                <c:pt idx="512">
                  <c:v>36.81</c:v>
                </c:pt>
                <c:pt idx="513">
                  <c:v>35.97</c:v>
                </c:pt>
                <c:pt idx="514">
                  <c:v>35.1</c:v>
                </c:pt>
                <c:pt idx="515">
                  <c:v>35.29</c:v>
                </c:pt>
                <c:pt idx="516">
                  <c:v>34.409999999999997</c:v>
                </c:pt>
                <c:pt idx="517">
                  <c:v>33.270000000000003</c:v>
                </c:pt>
                <c:pt idx="518">
                  <c:v>34.69</c:v>
                </c:pt>
                <c:pt idx="519">
                  <c:v>33.01</c:v>
                </c:pt>
                <c:pt idx="520">
                  <c:v>34.28</c:v>
                </c:pt>
                <c:pt idx="521">
                  <c:v>34.5</c:v>
                </c:pt>
                <c:pt idx="522">
                  <c:v>32.18</c:v>
                </c:pt>
                <c:pt idx="523">
                  <c:v>33.36</c:v>
                </c:pt>
                <c:pt idx="524">
                  <c:v>30.06</c:v>
                </c:pt>
                <c:pt idx="525">
                  <c:v>30.84</c:v>
                </c:pt>
                <c:pt idx="526">
                  <c:v>30.32</c:v>
                </c:pt>
                <c:pt idx="527">
                  <c:v>32.880000000000003</c:v>
                </c:pt>
                <c:pt idx="528">
                  <c:v>34.06</c:v>
                </c:pt>
                <c:pt idx="529">
                  <c:v>34.46</c:v>
                </c:pt>
                <c:pt idx="530">
                  <c:v>35.04</c:v>
                </c:pt>
                <c:pt idx="531">
                  <c:v>32.72</c:v>
                </c:pt>
                <c:pt idx="532">
                  <c:v>34.24</c:v>
                </c:pt>
                <c:pt idx="533">
                  <c:v>34.74</c:v>
                </c:pt>
                <c:pt idx="534">
                  <c:v>33.89</c:v>
                </c:pt>
                <c:pt idx="535">
                  <c:v>33.1</c:v>
                </c:pt>
                <c:pt idx="536">
                  <c:v>31.8</c:v>
                </c:pt>
                <c:pt idx="537">
                  <c:v>30.5</c:v>
                </c:pt>
                <c:pt idx="538">
                  <c:v>32.18</c:v>
                </c:pt>
                <c:pt idx="539">
                  <c:v>29.25</c:v>
                </c:pt>
                <c:pt idx="540">
                  <c:v>27.88</c:v>
                </c:pt>
                <c:pt idx="541">
                  <c:v>28.76</c:v>
                </c:pt>
                <c:pt idx="542">
                  <c:v>28.94</c:v>
                </c:pt>
                <c:pt idx="543">
                  <c:v>31.03</c:v>
                </c:pt>
                <c:pt idx="544">
                  <c:v>30.31</c:v>
                </c:pt>
                <c:pt idx="545">
                  <c:v>30.86</c:v>
                </c:pt>
                <c:pt idx="546">
                  <c:v>31.55</c:v>
                </c:pt>
                <c:pt idx="547">
                  <c:v>33.549999999999997</c:v>
                </c:pt>
                <c:pt idx="548">
                  <c:v>33.75</c:v>
                </c:pt>
                <c:pt idx="549">
                  <c:v>34.229999999999997</c:v>
                </c:pt>
                <c:pt idx="550">
                  <c:v>36.42</c:v>
                </c:pt>
                <c:pt idx="551">
                  <c:v>37.22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41A-4C72-9E0D-1669DBEC3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540544"/>
        <c:axId val="320540936"/>
      </c:lineChart>
      <c:lineChart>
        <c:grouping val="standard"/>
        <c:varyColors val="0"/>
        <c:ser>
          <c:idx val="1"/>
          <c:order val="1"/>
          <c:tx>
            <c:v>Komoditný index (po)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'Graf 3+4'!$I$3:$I$554</c:f>
              <c:numCache>
                <c:formatCode>General</c:formatCode>
                <c:ptCount val="552"/>
                <c:pt idx="0">
                  <c:v>88.046999999999997</c:v>
                </c:pt>
                <c:pt idx="1">
                  <c:v>87.666200000000003</c:v>
                </c:pt>
                <c:pt idx="2">
                  <c:v>87.954599999999999</c:v>
                </c:pt>
                <c:pt idx="3">
                  <c:v>87.587800000000001</c:v>
                </c:pt>
                <c:pt idx="4">
                  <c:v>88.036799999999999</c:v>
                </c:pt>
                <c:pt idx="5">
                  <c:v>89.006900000000002</c:v>
                </c:pt>
                <c:pt idx="6">
                  <c:v>88.702200000000005</c:v>
                </c:pt>
                <c:pt idx="7">
                  <c:v>88.1477</c:v>
                </c:pt>
                <c:pt idx="8">
                  <c:v>88.202799999999996</c:v>
                </c:pt>
                <c:pt idx="9">
                  <c:v>88.140900000000002</c:v>
                </c:pt>
                <c:pt idx="10">
                  <c:v>88.590900000000005</c:v>
                </c:pt>
                <c:pt idx="11">
                  <c:v>89.040099999999995</c:v>
                </c:pt>
                <c:pt idx="12">
                  <c:v>88.6922</c:v>
                </c:pt>
                <c:pt idx="13">
                  <c:v>88.667500000000004</c:v>
                </c:pt>
                <c:pt idx="14">
                  <c:v>88.274199999999993</c:v>
                </c:pt>
                <c:pt idx="15">
                  <c:v>88.003500000000003</c:v>
                </c:pt>
                <c:pt idx="16">
                  <c:v>88.204300000000003</c:v>
                </c:pt>
                <c:pt idx="17">
                  <c:v>88.237700000000004</c:v>
                </c:pt>
                <c:pt idx="18">
                  <c:v>87.994399999999999</c:v>
                </c:pt>
                <c:pt idx="19">
                  <c:v>86.789299999999997</c:v>
                </c:pt>
                <c:pt idx="20">
                  <c:v>86.325699999999998</c:v>
                </c:pt>
                <c:pt idx="21">
                  <c:v>85.644199999999998</c:v>
                </c:pt>
                <c:pt idx="22">
                  <c:v>87.008700000000005</c:v>
                </c:pt>
                <c:pt idx="23">
                  <c:v>87.147999999999996</c:v>
                </c:pt>
                <c:pt idx="24">
                  <c:v>88.167299999999997</c:v>
                </c:pt>
                <c:pt idx="25">
                  <c:v>88.513499999999993</c:v>
                </c:pt>
                <c:pt idx="26">
                  <c:v>89.121300000000005</c:v>
                </c:pt>
                <c:pt idx="27">
                  <c:v>89.865899999999996</c:v>
                </c:pt>
                <c:pt idx="28">
                  <c:v>89.8001</c:v>
                </c:pt>
                <c:pt idx="29">
                  <c:v>90.282300000000006</c:v>
                </c:pt>
                <c:pt idx="30">
                  <c:v>90.627700000000004</c:v>
                </c:pt>
                <c:pt idx="31">
                  <c:v>90.799899999999994</c:v>
                </c:pt>
                <c:pt idx="32">
                  <c:v>90.459000000000003</c:v>
                </c:pt>
                <c:pt idx="33">
                  <c:v>90.464100000000002</c:v>
                </c:pt>
                <c:pt idx="34">
                  <c:v>89.156400000000005</c:v>
                </c:pt>
                <c:pt idx="35">
                  <c:v>88.809200000000004</c:v>
                </c:pt>
                <c:pt idx="36">
                  <c:v>88.542500000000004</c:v>
                </c:pt>
                <c:pt idx="37">
                  <c:v>88.694299999999998</c:v>
                </c:pt>
                <c:pt idx="38">
                  <c:v>88.796199999999999</c:v>
                </c:pt>
                <c:pt idx="39">
                  <c:v>88.450699999999998</c:v>
                </c:pt>
                <c:pt idx="40">
                  <c:v>88.756500000000003</c:v>
                </c:pt>
                <c:pt idx="41">
                  <c:v>88.305899999999994</c:v>
                </c:pt>
                <c:pt idx="42">
                  <c:v>88.2393</c:v>
                </c:pt>
                <c:pt idx="43">
                  <c:v>88.098799999999997</c:v>
                </c:pt>
                <c:pt idx="44">
                  <c:v>87.691100000000006</c:v>
                </c:pt>
                <c:pt idx="45">
                  <c:v>87.915199999999999</c:v>
                </c:pt>
                <c:pt idx="46">
                  <c:v>88.568799999999996</c:v>
                </c:pt>
                <c:pt idx="47">
                  <c:v>88.608500000000006</c:v>
                </c:pt>
                <c:pt idx="48">
                  <c:v>88.4101</c:v>
                </c:pt>
                <c:pt idx="49">
                  <c:v>88.167400000000001</c:v>
                </c:pt>
                <c:pt idx="50">
                  <c:v>87.697999999999993</c:v>
                </c:pt>
                <c:pt idx="51">
                  <c:v>87.075500000000005</c:v>
                </c:pt>
                <c:pt idx="52">
                  <c:v>86.731099999999998</c:v>
                </c:pt>
                <c:pt idx="53">
                  <c:v>85.745099999999994</c:v>
                </c:pt>
                <c:pt idx="54">
                  <c:v>85.277000000000001</c:v>
                </c:pt>
                <c:pt idx="55">
                  <c:v>85.052099999999996</c:v>
                </c:pt>
                <c:pt idx="56">
                  <c:v>84.584699999999998</c:v>
                </c:pt>
                <c:pt idx="57">
                  <c:v>84.470500000000001</c:v>
                </c:pt>
                <c:pt idx="58">
                  <c:v>84.052999999999997</c:v>
                </c:pt>
                <c:pt idx="59">
                  <c:v>83.837400000000002</c:v>
                </c:pt>
                <c:pt idx="60">
                  <c:v>83.468299999999999</c:v>
                </c:pt>
                <c:pt idx="61">
                  <c:v>83.428100000000001</c:v>
                </c:pt>
                <c:pt idx="62">
                  <c:v>84.218299999999999</c:v>
                </c:pt>
                <c:pt idx="63">
                  <c:v>84.010900000000007</c:v>
                </c:pt>
                <c:pt idx="64">
                  <c:v>83.801599999999993</c:v>
                </c:pt>
                <c:pt idx="65">
                  <c:v>84.107399999999998</c:v>
                </c:pt>
                <c:pt idx="66">
                  <c:v>85.029799999999994</c:v>
                </c:pt>
                <c:pt idx="67">
                  <c:v>85.745099999999994</c:v>
                </c:pt>
                <c:pt idx="68">
                  <c:v>86.479299999999995</c:v>
                </c:pt>
                <c:pt idx="69">
                  <c:v>85.703299999999999</c:v>
                </c:pt>
                <c:pt idx="70">
                  <c:v>86.438800000000001</c:v>
                </c:pt>
                <c:pt idx="71">
                  <c:v>86.724800000000002</c:v>
                </c:pt>
                <c:pt idx="72">
                  <c:v>86.903199999999998</c:v>
                </c:pt>
                <c:pt idx="73">
                  <c:v>86.999600000000001</c:v>
                </c:pt>
                <c:pt idx="74">
                  <c:v>87.04</c:v>
                </c:pt>
                <c:pt idx="75">
                  <c:v>86.473299999999995</c:v>
                </c:pt>
                <c:pt idx="76">
                  <c:v>86.193100000000001</c:v>
                </c:pt>
                <c:pt idx="77">
                  <c:v>86.765699999999995</c:v>
                </c:pt>
                <c:pt idx="78">
                  <c:v>85.663300000000007</c:v>
                </c:pt>
                <c:pt idx="79">
                  <c:v>86.000900000000001</c:v>
                </c:pt>
                <c:pt idx="80">
                  <c:v>86.160499999999999</c:v>
                </c:pt>
                <c:pt idx="81">
                  <c:v>87.203500000000005</c:v>
                </c:pt>
                <c:pt idx="82">
                  <c:v>87.281099999999995</c:v>
                </c:pt>
                <c:pt idx="83">
                  <c:v>87.457099999999997</c:v>
                </c:pt>
                <c:pt idx="84">
                  <c:v>87.643699999999995</c:v>
                </c:pt>
                <c:pt idx="85">
                  <c:v>87.538499999999999</c:v>
                </c:pt>
                <c:pt idx="86">
                  <c:v>88.154499999999999</c:v>
                </c:pt>
                <c:pt idx="87">
                  <c:v>86.877799999999993</c:v>
                </c:pt>
                <c:pt idx="88">
                  <c:v>86.692300000000003</c:v>
                </c:pt>
                <c:pt idx="89">
                  <c:v>86.5381</c:v>
                </c:pt>
                <c:pt idx="90">
                  <c:v>86.188199999999995</c:v>
                </c:pt>
                <c:pt idx="91">
                  <c:v>86.147800000000004</c:v>
                </c:pt>
                <c:pt idx="92">
                  <c:v>85.865200000000002</c:v>
                </c:pt>
                <c:pt idx="93">
                  <c:v>85.915300000000002</c:v>
                </c:pt>
                <c:pt idx="94">
                  <c:v>85.891000000000005</c:v>
                </c:pt>
                <c:pt idx="95">
                  <c:v>86.040499999999994</c:v>
                </c:pt>
                <c:pt idx="96">
                  <c:v>85.611500000000007</c:v>
                </c:pt>
                <c:pt idx="97">
                  <c:v>85.268799999999999</c:v>
                </c:pt>
                <c:pt idx="98">
                  <c:v>85.393100000000004</c:v>
                </c:pt>
                <c:pt idx="99">
                  <c:v>85.308899999999994</c:v>
                </c:pt>
                <c:pt idx="100">
                  <c:v>85.485699999999994</c:v>
                </c:pt>
                <c:pt idx="101">
                  <c:v>85.994600000000005</c:v>
                </c:pt>
                <c:pt idx="102">
                  <c:v>85.8947</c:v>
                </c:pt>
                <c:pt idx="103">
                  <c:v>85.130099999999999</c:v>
                </c:pt>
                <c:pt idx="104">
                  <c:v>84.770099999999999</c:v>
                </c:pt>
                <c:pt idx="105">
                  <c:v>84.820599999999999</c:v>
                </c:pt>
                <c:pt idx="106">
                  <c:v>84.066900000000004</c:v>
                </c:pt>
                <c:pt idx="107">
                  <c:v>83.925600000000003</c:v>
                </c:pt>
                <c:pt idx="108">
                  <c:v>84.584699999999998</c:v>
                </c:pt>
                <c:pt idx="109">
                  <c:v>83.956299999999999</c:v>
                </c:pt>
                <c:pt idx="110">
                  <c:v>83.739000000000004</c:v>
                </c:pt>
                <c:pt idx="111">
                  <c:v>83.706599999999995</c:v>
                </c:pt>
                <c:pt idx="112">
                  <c:v>84.459900000000005</c:v>
                </c:pt>
                <c:pt idx="113">
                  <c:v>84.635199999999998</c:v>
                </c:pt>
                <c:pt idx="114">
                  <c:v>84.837500000000006</c:v>
                </c:pt>
                <c:pt idx="115">
                  <c:v>84.784599999999998</c:v>
                </c:pt>
                <c:pt idx="116">
                  <c:v>85.327600000000004</c:v>
                </c:pt>
                <c:pt idx="117">
                  <c:v>84.857200000000006</c:v>
                </c:pt>
                <c:pt idx="118">
                  <c:v>84.782499999999999</c:v>
                </c:pt>
                <c:pt idx="119">
                  <c:v>85.591300000000004</c:v>
                </c:pt>
                <c:pt idx="120">
                  <c:v>84.841999999999999</c:v>
                </c:pt>
                <c:pt idx="121">
                  <c:v>85.082800000000006</c:v>
                </c:pt>
                <c:pt idx="122">
                  <c:v>85.194900000000004</c:v>
                </c:pt>
                <c:pt idx="123">
                  <c:v>85.096599999999995</c:v>
                </c:pt>
                <c:pt idx="124">
                  <c:v>84.964600000000004</c:v>
                </c:pt>
                <c:pt idx="125">
                  <c:v>84.796999999999997</c:v>
                </c:pt>
                <c:pt idx="126">
                  <c:v>84.886099999999999</c:v>
                </c:pt>
                <c:pt idx="127">
                  <c:v>84.762200000000007</c:v>
                </c:pt>
                <c:pt idx="128">
                  <c:v>85.662000000000006</c:v>
                </c:pt>
                <c:pt idx="129">
                  <c:v>85.7239</c:v>
                </c:pt>
                <c:pt idx="130">
                  <c:v>85.368899999999996</c:v>
                </c:pt>
                <c:pt idx="131">
                  <c:v>84.977500000000006</c:v>
                </c:pt>
                <c:pt idx="132">
                  <c:v>84.656499999999994</c:v>
                </c:pt>
                <c:pt idx="133">
                  <c:v>83.072599999999994</c:v>
                </c:pt>
                <c:pt idx="134">
                  <c:v>83.502499999999998</c:v>
                </c:pt>
                <c:pt idx="135">
                  <c:v>83.4221</c:v>
                </c:pt>
                <c:pt idx="136">
                  <c:v>83.292599999999993</c:v>
                </c:pt>
                <c:pt idx="137">
                  <c:v>83.511099999999999</c:v>
                </c:pt>
                <c:pt idx="138">
                  <c:v>83.272300000000001</c:v>
                </c:pt>
                <c:pt idx="139">
                  <c:v>82.982699999999994</c:v>
                </c:pt>
                <c:pt idx="140">
                  <c:v>83.035499999999999</c:v>
                </c:pt>
                <c:pt idx="141">
                  <c:v>83.230999999999995</c:v>
                </c:pt>
                <c:pt idx="142">
                  <c:v>82.679900000000004</c:v>
                </c:pt>
                <c:pt idx="143">
                  <c:v>82.583399999999997</c:v>
                </c:pt>
                <c:pt idx="144">
                  <c:v>82.520200000000003</c:v>
                </c:pt>
                <c:pt idx="145">
                  <c:v>83.112399999999994</c:v>
                </c:pt>
                <c:pt idx="146">
                  <c:v>83.695800000000006</c:v>
                </c:pt>
                <c:pt idx="147">
                  <c:v>83.538799999999995</c:v>
                </c:pt>
                <c:pt idx="148">
                  <c:v>84.415000000000006</c:v>
                </c:pt>
                <c:pt idx="149">
                  <c:v>83.942400000000006</c:v>
                </c:pt>
                <c:pt idx="150">
                  <c:v>83.715999999999994</c:v>
                </c:pt>
                <c:pt idx="151">
                  <c:v>83.276899999999998</c:v>
                </c:pt>
                <c:pt idx="152">
                  <c:v>83.334299999999999</c:v>
                </c:pt>
                <c:pt idx="153">
                  <c:v>83.926000000000002</c:v>
                </c:pt>
                <c:pt idx="154">
                  <c:v>83.532499999999999</c:v>
                </c:pt>
                <c:pt idx="155">
                  <c:v>84.391499999999994</c:v>
                </c:pt>
                <c:pt idx="156">
                  <c:v>84.479900000000001</c:v>
                </c:pt>
                <c:pt idx="157">
                  <c:v>84.229299999999995</c:v>
                </c:pt>
                <c:pt idx="158">
                  <c:v>83.685199999999995</c:v>
                </c:pt>
                <c:pt idx="159">
                  <c:v>83.112399999999994</c:v>
                </c:pt>
                <c:pt idx="160">
                  <c:v>82.645499999999998</c:v>
                </c:pt>
                <c:pt idx="161">
                  <c:v>82.988</c:v>
                </c:pt>
                <c:pt idx="162">
                  <c:v>83.688699999999997</c:v>
                </c:pt>
                <c:pt idx="163">
                  <c:v>83.631600000000006</c:v>
                </c:pt>
                <c:pt idx="164">
                  <c:v>83.146199999999993</c:v>
                </c:pt>
                <c:pt idx="165">
                  <c:v>82.69</c:v>
                </c:pt>
                <c:pt idx="166">
                  <c:v>82.703100000000006</c:v>
                </c:pt>
                <c:pt idx="167">
                  <c:v>81.920500000000004</c:v>
                </c:pt>
                <c:pt idx="168">
                  <c:v>82.65</c:v>
                </c:pt>
                <c:pt idx="169">
                  <c:v>83.018699999999995</c:v>
                </c:pt>
                <c:pt idx="170">
                  <c:v>82.359700000000004</c:v>
                </c:pt>
                <c:pt idx="171">
                  <c:v>81.8048</c:v>
                </c:pt>
                <c:pt idx="172">
                  <c:v>82.417699999999996</c:v>
                </c:pt>
                <c:pt idx="173">
                  <c:v>82.3172</c:v>
                </c:pt>
                <c:pt idx="174">
                  <c:v>83.1053</c:v>
                </c:pt>
                <c:pt idx="175">
                  <c:v>82.601699999999994</c:v>
                </c:pt>
                <c:pt idx="176">
                  <c:v>81.329700000000003</c:v>
                </c:pt>
                <c:pt idx="177">
                  <c:v>80.84</c:v>
                </c:pt>
                <c:pt idx="178">
                  <c:v>80.418000000000006</c:v>
                </c:pt>
                <c:pt idx="179">
                  <c:v>79.868700000000004</c:v>
                </c:pt>
                <c:pt idx="180">
                  <c:v>79.638199999999998</c:v>
                </c:pt>
                <c:pt idx="181">
                  <c:v>79.357500000000002</c:v>
                </c:pt>
                <c:pt idx="182">
                  <c:v>79.631100000000004</c:v>
                </c:pt>
                <c:pt idx="183">
                  <c:v>80.129499999999993</c:v>
                </c:pt>
                <c:pt idx="184">
                  <c:v>80.718800000000002</c:v>
                </c:pt>
                <c:pt idx="185">
                  <c:v>81.269099999999995</c:v>
                </c:pt>
                <c:pt idx="186">
                  <c:v>80.916200000000003</c:v>
                </c:pt>
                <c:pt idx="187">
                  <c:v>80.890500000000003</c:v>
                </c:pt>
                <c:pt idx="188">
                  <c:v>81.614400000000003</c:v>
                </c:pt>
                <c:pt idx="189">
                  <c:v>81.590800000000002</c:v>
                </c:pt>
                <c:pt idx="190">
                  <c:v>82.421300000000002</c:v>
                </c:pt>
                <c:pt idx="191">
                  <c:v>82.176000000000002</c:v>
                </c:pt>
                <c:pt idx="192">
                  <c:v>81.960300000000004</c:v>
                </c:pt>
                <c:pt idx="193">
                  <c:v>82.477999999999994</c:v>
                </c:pt>
                <c:pt idx="194">
                  <c:v>82.000799999999998</c:v>
                </c:pt>
                <c:pt idx="195">
                  <c:v>82.326499999999996</c:v>
                </c:pt>
                <c:pt idx="196">
                  <c:v>82.464299999999994</c:v>
                </c:pt>
                <c:pt idx="197">
                  <c:v>82.8292</c:v>
                </c:pt>
                <c:pt idx="198">
                  <c:v>83.204899999999995</c:v>
                </c:pt>
                <c:pt idx="199">
                  <c:v>84.006200000000007</c:v>
                </c:pt>
                <c:pt idx="200">
                  <c:v>83.7059</c:v>
                </c:pt>
                <c:pt idx="201">
                  <c:v>84.466499999999996</c:v>
                </c:pt>
                <c:pt idx="202">
                  <c:v>84.704700000000003</c:v>
                </c:pt>
                <c:pt idx="203">
                  <c:v>85.259</c:v>
                </c:pt>
                <c:pt idx="204">
                  <c:v>84.715500000000006</c:v>
                </c:pt>
                <c:pt idx="205">
                  <c:v>83.420400000000001</c:v>
                </c:pt>
                <c:pt idx="206">
                  <c:v>83.975200000000001</c:v>
                </c:pt>
                <c:pt idx="207">
                  <c:v>83.497299999999996</c:v>
                </c:pt>
                <c:pt idx="208">
                  <c:v>83.578100000000006</c:v>
                </c:pt>
                <c:pt idx="209">
                  <c:v>83.483900000000006</c:v>
                </c:pt>
                <c:pt idx="210">
                  <c:v>83.125299999999996</c:v>
                </c:pt>
                <c:pt idx="211">
                  <c:v>82.764200000000002</c:v>
                </c:pt>
                <c:pt idx="212">
                  <c:v>82.033100000000005</c:v>
                </c:pt>
                <c:pt idx="213">
                  <c:v>82.270399999999995</c:v>
                </c:pt>
                <c:pt idx="214">
                  <c:v>82.678700000000006</c:v>
                </c:pt>
                <c:pt idx="215">
                  <c:v>82.210400000000007</c:v>
                </c:pt>
                <c:pt idx="216">
                  <c:v>83.734899999999996</c:v>
                </c:pt>
                <c:pt idx="217">
                  <c:v>83.85</c:v>
                </c:pt>
                <c:pt idx="218">
                  <c:v>84.206599999999995</c:v>
                </c:pt>
                <c:pt idx="219">
                  <c:v>84.012799999999999</c:v>
                </c:pt>
                <c:pt idx="220">
                  <c:v>83.617000000000004</c:v>
                </c:pt>
                <c:pt idx="221">
                  <c:v>83.890799999999999</c:v>
                </c:pt>
                <c:pt idx="222">
                  <c:v>84.028099999999995</c:v>
                </c:pt>
                <c:pt idx="223">
                  <c:v>83.717299999999994</c:v>
                </c:pt>
                <c:pt idx="224">
                  <c:v>83.904399999999995</c:v>
                </c:pt>
                <c:pt idx="225">
                  <c:v>84.445099999999996</c:v>
                </c:pt>
                <c:pt idx="226">
                  <c:v>84.635000000000005</c:v>
                </c:pt>
                <c:pt idx="227">
                  <c:v>85.353499999999997</c:v>
                </c:pt>
                <c:pt idx="228">
                  <c:v>86.049499999999995</c:v>
                </c:pt>
                <c:pt idx="229">
                  <c:v>86.2988</c:v>
                </c:pt>
                <c:pt idx="230">
                  <c:v>85.882300000000001</c:v>
                </c:pt>
                <c:pt idx="231">
                  <c:v>86.001400000000004</c:v>
                </c:pt>
                <c:pt idx="232">
                  <c:v>85.903199999999998</c:v>
                </c:pt>
                <c:pt idx="233">
                  <c:v>85.835400000000007</c:v>
                </c:pt>
                <c:pt idx="234">
                  <c:v>85.749099999999999</c:v>
                </c:pt>
                <c:pt idx="235">
                  <c:v>85.622299999999996</c:v>
                </c:pt>
                <c:pt idx="236">
                  <c:v>85.293400000000005</c:v>
                </c:pt>
                <c:pt idx="237">
                  <c:v>84.740499999999997</c:v>
                </c:pt>
                <c:pt idx="238">
                  <c:v>85.350800000000007</c:v>
                </c:pt>
                <c:pt idx="239">
                  <c:v>85.348799999999997</c:v>
                </c:pt>
                <c:pt idx="240">
                  <c:v>85.402299999999997</c:v>
                </c:pt>
                <c:pt idx="241">
                  <c:v>84.905900000000003</c:v>
                </c:pt>
                <c:pt idx="242">
                  <c:v>84.332300000000004</c:v>
                </c:pt>
                <c:pt idx="243">
                  <c:v>84.525800000000004</c:v>
                </c:pt>
                <c:pt idx="244">
                  <c:v>84.589299999999994</c:v>
                </c:pt>
                <c:pt idx="245">
                  <c:v>84.660399999999996</c:v>
                </c:pt>
                <c:pt idx="246">
                  <c:v>84.924099999999996</c:v>
                </c:pt>
                <c:pt idx="247">
                  <c:v>85.107299999999995</c:v>
                </c:pt>
                <c:pt idx="248">
                  <c:v>85.144900000000007</c:v>
                </c:pt>
                <c:pt idx="249">
                  <c:v>84.873099999999994</c:v>
                </c:pt>
                <c:pt idx="250">
                  <c:v>84.5137</c:v>
                </c:pt>
                <c:pt idx="251">
                  <c:v>83.902600000000007</c:v>
                </c:pt>
                <c:pt idx="252">
                  <c:v>84.369100000000003</c:v>
                </c:pt>
                <c:pt idx="253">
                  <c:v>84.267499999999998</c:v>
                </c:pt>
                <c:pt idx="254">
                  <c:v>84.578500000000005</c:v>
                </c:pt>
                <c:pt idx="255">
                  <c:v>85.290499999999994</c:v>
                </c:pt>
                <c:pt idx="256">
                  <c:v>86.351500000000001</c:v>
                </c:pt>
                <c:pt idx="257">
                  <c:v>87.110900000000001</c:v>
                </c:pt>
                <c:pt idx="258">
                  <c:v>87.189899999999994</c:v>
                </c:pt>
                <c:pt idx="259">
                  <c:v>86.986500000000007</c:v>
                </c:pt>
                <c:pt idx="260">
                  <c:v>88.323999999999998</c:v>
                </c:pt>
                <c:pt idx="261">
                  <c:v>87.738799999999998</c:v>
                </c:pt>
                <c:pt idx="262">
                  <c:v>87.099500000000006</c:v>
                </c:pt>
                <c:pt idx="263">
                  <c:v>87.483599999999996</c:v>
                </c:pt>
                <c:pt idx="264">
                  <c:v>87.372299999999996</c:v>
                </c:pt>
                <c:pt idx="265">
                  <c:v>87.551900000000003</c:v>
                </c:pt>
                <c:pt idx="266">
                  <c:v>87.864599999999996</c:v>
                </c:pt>
                <c:pt idx="267">
                  <c:v>88.110399999999998</c:v>
                </c:pt>
                <c:pt idx="268">
                  <c:v>88.480599999999995</c:v>
                </c:pt>
                <c:pt idx="269">
                  <c:v>89.013800000000003</c:v>
                </c:pt>
                <c:pt idx="270">
                  <c:v>88.625900000000001</c:v>
                </c:pt>
                <c:pt idx="271">
                  <c:v>88.637600000000006</c:v>
                </c:pt>
                <c:pt idx="272">
                  <c:v>89.357399999999998</c:v>
                </c:pt>
                <c:pt idx="273">
                  <c:v>88.527299999999997</c:v>
                </c:pt>
                <c:pt idx="274">
                  <c:v>88.4178</c:v>
                </c:pt>
                <c:pt idx="275">
                  <c:v>87.862399999999994</c:v>
                </c:pt>
                <c:pt idx="276">
                  <c:v>87.83</c:v>
                </c:pt>
                <c:pt idx="277">
                  <c:v>87.942800000000005</c:v>
                </c:pt>
                <c:pt idx="278">
                  <c:v>88.399900000000002</c:v>
                </c:pt>
                <c:pt idx="279">
                  <c:v>88.542199999999994</c:v>
                </c:pt>
                <c:pt idx="280">
                  <c:v>87.592200000000005</c:v>
                </c:pt>
                <c:pt idx="281">
                  <c:v>87.029300000000006</c:v>
                </c:pt>
                <c:pt idx="282">
                  <c:v>87.977000000000004</c:v>
                </c:pt>
                <c:pt idx="283">
                  <c:v>88.269199999999998</c:v>
                </c:pt>
                <c:pt idx="284">
                  <c:v>88.367500000000007</c:v>
                </c:pt>
                <c:pt idx="285">
                  <c:v>88.750200000000007</c:v>
                </c:pt>
                <c:pt idx="286">
                  <c:v>88.595799999999997</c:v>
                </c:pt>
                <c:pt idx="287">
                  <c:v>88.376000000000005</c:v>
                </c:pt>
                <c:pt idx="288">
                  <c:v>88.157899999999998</c:v>
                </c:pt>
                <c:pt idx="289">
                  <c:v>88.383899999999997</c:v>
                </c:pt>
                <c:pt idx="290">
                  <c:v>88.948700000000002</c:v>
                </c:pt>
                <c:pt idx="291">
                  <c:v>88.543199999999999</c:v>
                </c:pt>
                <c:pt idx="292">
                  <c:v>88.485699999999994</c:v>
                </c:pt>
                <c:pt idx="293">
                  <c:v>87.2102</c:v>
                </c:pt>
                <c:pt idx="294">
                  <c:v>86.854200000000006</c:v>
                </c:pt>
                <c:pt idx="295">
                  <c:v>86.343400000000003</c:v>
                </c:pt>
                <c:pt idx="296">
                  <c:v>87.3673</c:v>
                </c:pt>
                <c:pt idx="297">
                  <c:v>87.529399999999995</c:v>
                </c:pt>
                <c:pt idx="298">
                  <c:v>87.171800000000005</c:v>
                </c:pt>
                <c:pt idx="299">
                  <c:v>86.067300000000003</c:v>
                </c:pt>
                <c:pt idx="300">
                  <c:v>87.514399999999995</c:v>
                </c:pt>
                <c:pt idx="301">
                  <c:v>87.667199999999994</c:v>
                </c:pt>
                <c:pt idx="302">
                  <c:v>87.752399999999994</c:v>
                </c:pt>
                <c:pt idx="303">
                  <c:v>87.598699999999994</c:v>
                </c:pt>
                <c:pt idx="304">
                  <c:v>86.290999999999997</c:v>
                </c:pt>
                <c:pt idx="305">
                  <c:v>86.330500000000001</c:v>
                </c:pt>
                <c:pt idx="306">
                  <c:v>86.403199999999998</c:v>
                </c:pt>
                <c:pt idx="307">
                  <c:v>86.156899999999993</c:v>
                </c:pt>
                <c:pt idx="308">
                  <c:v>86.568700000000007</c:v>
                </c:pt>
                <c:pt idx="309">
                  <c:v>87.133300000000006</c:v>
                </c:pt>
                <c:pt idx="310">
                  <c:v>86.835599999999999</c:v>
                </c:pt>
                <c:pt idx="311">
                  <c:v>87.6267</c:v>
                </c:pt>
                <c:pt idx="312">
                  <c:v>87.922399999999996</c:v>
                </c:pt>
                <c:pt idx="313">
                  <c:v>88.176100000000005</c:v>
                </c:pt>
                <c:pt idx="314">
                  <c:v>88.143100000000004</c:v>
                </c:pt>
                <c:pt idx="315">
                  <c:v>87.566100000000006</c:v>
                </c:pt>
                <c:pt idx="316">
                  <c:v>87.4726</c:v>
                </c:pt>
                <c:pt idx="317">
                  <c:v>88.026600000000002</c:v>
                </c:pt>
                <c:pt idx="318">
                  <c:v>88.3476</c:v>
                </c:pt>
                <c:pt idx="319">
                  <c:v>87.041600000000003</c:v>
                </c:pt>
                <c:pt idx="320">
                  <c:v>86.918599999999998</c:v>
                </c:pt>
                <c:pt idx="321">
                  <c:v>86.001499999999993</c:v>
                </c:pt>
                <c:pt idx="322">
                  <c:v>84.277299999999997</c:v>
                </c:pt>
                <c:pt idx="323">
                  <c:v>86.066000000000003</c:v>
                </c:pt>
                <c:pt idx="324">
                  <c:v>85.031899999999993</c:v>
                </c:pt>
                <c:pt idx="325">
                  <c:v>85.357699999999994</c:v>
                </c:pt>
                <c:pt idx="326">
                  <c:v>85.138599999999997</c:v>
                </c:pt>
                <c:pt idx="327">
                  <c:v>84.885099999999994</c:v>
                </c:pt>
                <c:pt idx="328">
                  <c:v>83.022000000000006</c:v>
                </c:pt>
                <c:pt idx="329">
                  <c:v>82.727099999999993</c:v>
                </c:pt>
                <c:pt idx="330">
                  <c:v>82.766300000000001</c:v>
                </c:pt>
                <c:pt idx="331">
                  <c:v>83.278999999999996</c:v>
                </c:pt>
                <c:pt idx="332">
                  <c:v>82.3429</c:v>
                </c:pt>
                <c:pt idx="333">
                  <c:v>82.375399999999999</c:v>
                </c:pt>
                <c:pt idx="334">
                  <c:v>83.84</c:v>
                </c:pt>
                <c:pt idx="335">
                  <c:v>83.908699999999996</c:v>
                </c:pt>
                <c:pt idx="336">
                  <c:v>83.781400000000005</c:v>
                </c:pt>
                <c:pt idx="337">
                  <c:v>83.822400000000002</c:v>
                </c:pt>
                <c:pt idx="338">
                  <c:v>83.294300000000007</c:v>
                </c:pt>
                <c:pt idx="339">
                  <c:v>83.605400000000003</c:v>
                </c:pt>
                <c:pt idx="340">
                  <c:v>83.888900000000007</c:v>
                </c:pt>
                <c:pt idx="341">
                  <c:v>84.513300000000001</c:v>
                </c:pt>
                <c:pt idx="342">
                  <c:v>84.9011</c:v>
                </c:pt>
                <c:pt idx="343">
                  <c:v>85.911900000000003</c:v>
                </c:pt>
                <c:pt idx="344">
                  <c:v>86.216200000000001</c:v>
                </c:pt>
                <c:pt idx="345">
                  <c:v>85.540499999999994</c:v>
                </c:pt>
                <c:pt idx="346">
                  <c:v>86.0107</c:v>
                </c:pt>
                <c:pt idx="347">
                  <c:v>86.150099999999995</c:v>
                </c:pt>
                <c:pt idx="348">
                  <c:v>86.1053</c:v>
                </c:pt>
                <c:pt idx="349">
                  <c:v>86.021500000000003</c:v>
                </c:pt>
                <c:pt idx="350">
                  <c:v>86.8947</c:v>
                </c:pt>
                <c:pt idx="351">
                  <c:v>86.553899999999999</c:v>
                </c:pt>
                <c:pt idx="352">
                  <c:v>86.387699999999995</c:v>
                </c:pt>
                <c:pt idx="353">
                  <c:v>86.340500000000006</c:v>
                </c:pt>
                <c:pt idx="354">
                  <c:v>86.281300000000002</c:v>
                </c:pt>
                <c:pt idx="355">
                  <c:v>85.649000000000001</c:v>
                </c:pt>
                <c:pt idx="356">
                  <c:v>86.176400000000001</c:v>
                </c:pt>
                <c:pt idx="357">
                  <c:v>86.757099999999994</c:v>
                </c:pt>
                <c:pt idx="358">
                  <c:v>85.641400000000004</c:v>
                </c:pt>
                <c:pt idx="359">
                  <c:v>85.512900000000002</c:v>
                </c:pt>
                <c:pt idx="360">
                  <c:v>85.715900000000005</c:v>
                </c:pt>
                <c:pt idx="361">
                  <c:v>85.150800000000004</c:v>
                </c:pt>
                <c:pt idx="362">
                  <c:v>85.604600000000005</c:v>
                </c:pt>
                <c:pt idx="363">
                  <c:v>85.341999999999999</c:v>
                </c:pt>
                <c:pt idx="364">
                  <c:v>85.223799999999997</c:v>
                </c:pt>
                <c:pt idx="365">
                  <c:v>85.142399999999995</c:v>
                </c:pt>
                <c:pt idx="366">
                  <c:v>84.143500000000003</c:v>
                </c:pt>
                <c:pt idx="367">
                  <c:v>84.861500000000007</c:v>
                </c:pt>
                <c:pt idx="368">
                  <c:v>84.322100000000006</c:v>
                </c:pt>
                <c:pt idx="369">
                  <c:v>85.508399999999995</c:v>
                </c:pt>
                <c:pt idx="370">
                  <c:v>84.908100000000005</c:v>
                </c:pt>
                <c:pt idx="371">
                  <c:v>84.287599999999998</c:v>
                </c:pt>
                <c:pt idx="372">
                  <c:v>83.606300000000005</c:v>
                </c:pt>
                <c:pt idx="373">
                  <c:v>83.235699999999994</c:v>
                </c:pt>
                <c:pt idx="374">
                  <c:v>83.082899999999995</c:v>
                </c:pt>
                <c:pt idx="375">
                  <c:v>82.672200000000004</c:v>
                </c:pt>
                <c:pt idx="376">
                  <c:v>83.019599999999997</c:v>
                </c:pt>
                <c:pt idx="377">
                  <c:v>84.083399999999997</c:v>
                </c:pt>
                <c:pt idx="378">
                  <c:v>84.024199999999993</c:v>
                </c:pt>
                <c:pt idx="379">
                  <c:v>85.147800000000004</c:v>
                </c:pt>
                <c:pt idx="380">
                  <c:v>83.930400000000006</c:v>
                </c:pt>
                <c:pt idx="381">
                  <c:v>83.386499999999998</c:v>
                </c:pt>
                <c:pt idx="382">
                  <c:v>82.988900000000001</c:v>
                </c:pt>
                <c:pt idx="383">
                  <c:v>82.100700000000003</c:v>
                </c:pt>
                <c:pt idx="384">
                  <c:v>82.7727</c:v>
                </c:pt>
                <c:pt idx="385">
                  <c:v>83.655100000000004</c:v>
                </c:pt>
                <c:pt idx="386">
                  <c:v>84.459299999999999</c:v>
                </c:pt>
                <c:pt idx="387">
                  <c:v>84.9846</c:v>
                </c:pt>
                <c:pt idx="388">
                  <c:v>85.0535</c:v>
                </c:pt>
                <c:pt idx="389">
                  <c:v>85.069800000000001</c:v>
                </c:pt>
                <c:pt idx="390">
                  <c:v>86.073400000000007</c:v>
                </c:pt>
                <c:pt idx="391">
                  <c:v>85.670400000000001</c:v>
                </c:pt>
                <c:pt idx="392">
                  <c:v>86.236400000000003</c:v>
                </c:pt>
                <c:pt idx="393">
                  <c:v>86.740700000000004</c:v>
                </c:pt>
                <c:pt idx="394">
                  <c:v>85.871899999999997</c:v>
                </c:pt>
                <c:pt idx="395">
                  <c:v>85.722700000000003</c:v>
                </c:pt>
                <c:pt idx="396">
                  <c:v>85.238500000000002</c:v>
                </c:pt>
                <c:pt idx="397">
                  <c:v>84.055499999999995</c:v>
                </c:pt>
                <c:pt idx="398">
                  <c:v>83.974299999999999</c:v>
                </c:pt>
                <c:pt idx="399">
                  <c:v>83.229299999999995</c:v>
                </c:pt>
                <c:pt idx="400">
                  <c:v>83.752099999999999</c:v>
                </c:pt>
                <c:pt idx="401">
                  <c:v>84.3172</c:v>
                </c:pt>
                <c:pt idx="402">
                  <c:v>83.854299999999995</c:v>
                </c:pt>
                <c:pt idx="403">
                  <c:v>83.907799999999995</c:v>
                </c:pt>
                <c:pt idx="404">
                  <c:v>83.547200000000004</c:v>
                </c:pt>
                <c:pt idx="405">
                  <c:v>82.729900000000001</c:v>
                </c:pt>
                <c:pt idx="406">
                  <c:v>82.897400000000005</c:v>
                </c:pt>
                <c:pt idx="407">
                  <c:v>84.280900000000003</c:v>
                </c:pt>
                <c:pt idx="408">
                  <c:v>83.398399999999995</c:v>
                </c:pt>
                <c:pt idx="409">
                  <c:v>83.126999999999995</c:v>
                </c:pt>
                <c:pt idx="410">
                  <c:v>83.721500000000006</c:v>
                </c:pt>
                <c:pt idx="411">
                  <c:v>83.923599999999993</c:v>
                </c:pt>
                <c:pt idx="412">
                  <c:v>84.635199999999998</c:v>
                </c:pt>
                <c:pt idx="413">
                  <c:v>84.951999999999998</c:v>
                </c:pt>
                <c:pt idx="414">
                  <c:v>85.156300000000002</c:v>
                </c:pt>
                <c:pt idx="415">
                  <c:v>85.748400000000004</c:v>
                </c:pt>
                <c:pt idx="416">
                  <c:v>86.526600000000002</c:v>
                </c:pt>
                <c:pt idx="417">
                  <c:v>86.698400000000007</c:v>
                </c:pt>
                <c:pt idx="418">
                  <c:v>87.119600000000005</c:v>
                </c:pt>
                <c:pt idx="419">
                  <c:v>86.976699999999994</c:v>
                </c:pt>
                <c:pt idx="420">
                  <c:v>87.488900000000001</c:v>
                </c:pt>
                <c:pt idx="421">
                  <c:v>86.081500000000005</c:v>
                </c:pt>
                <c:pt idx="422">
                  <c:v>86.402299999999997</c:v>
                </c:pt>
                <c:pt idx="423">
                  <c:v>85.5334</c:v>
                </c:pt>
                <c:pt idx="424">
                  <c:v>87.527199999999993</c:v>
                </c:pt>
                <c:pt idx="425">
                  <c:v>87.428200000000004</c:v>
                </c:pt>
                <c:pt idx="426">
                  <c:v>89.678799999999995</c:v>
                </c:pt>
                <c:pt idx="427">
                  <c:v>88.842299999999994</c:v>
                </c:pt>
                <c:pt idx="428">
                  <c:v>89.298400000000001</c:v>
                </c:pt>
                <c:pt idx="429">
                  <c:v>88.301599999999993</c:v>
                </c:pt>
                <c:pt idx="430">
                  <c:v>86.655799999999999</c:v>
                </c:pt>
                <c:pt idx="431">
                  <c:v>86.955699999999993</c:v>
                </c:pt>
                <c:pt idx="432">
                  <c:v>88.345399999999998</c:v>
                </c:pt>
                <c:pt idx="433">
                  <c:v>88.018900000000002</c:v>
                </c:pt>
                <c:pt idx="434">
                  <c:v>88.583299999999994</c:v>
                </c:pt>
                <c:pt idx="435">
                  <c:v>89.453800000000001</c:v>
                </c:pt>
                <c:pt idx="436">
                  <c:v>88.721199999999996</c:v>
                </c:pt>
                <c:pt idx="437">
                  <c:v>87.233900000000006</c:v>
                </c:pt>
                <c:pt idx="438">
                  <c:v>88.469200000000001</c:v>
                </c:pt>
                <c:pt idx="439">
                  <c:v>88.773099999999999</c:v>
                </c:pt>
                <c:pt idx="440">
                  <c:v>89.083699999999993</c:v>
                </c:pt>
                <c:pt idx="441">
                  <c:v>88.942700000000002</c:v>
                </c:pt>
                <c:pt idx="442">
                  <c:v>89.877200000000002</c:v>
                </c:pt>
                <c:pt idx="443">
                  <c:v>89.936800000000005</c:v>
                </c:pt>
                <c:pt idx="444">
                  <c:v>88.288600000000002</c:v>
                </c:pt>
                <c:pt idx="445">
                  <c:v>88.113699999999994</c:v>
                </c:pt>
                <c:pt idx="446">
                  <c:v>87.141099999999994</c:v>
                </c:pt>
                <c:pt idx="447">
                  <c:v>86.706199999999995</c:v>
                </c:pt>
                <c:pt idx="448">
                  <c:v>85.908500000000004</c:v>
                </c:pt>
                <c:pt idx="449">
                  <c:v>85.338300000000004</c:v>
                </c:pt>
                <c:pt idx="450">
                  <c:v>85.467500000000001</c:v>
                </c:pt>
                <c:pt idx="451">
                  <c:v>85.353999999999999</c:v>
                </c:pt>
                <c:pt idx="452">
                  <c:v>85.188900000000004</c:v>
                </c:pt>
                <c:pt idx="453">
                  <c:v>84.173299999999998</c:v>
                </c:pt>
                <c:pt idx="454">
                  <c:v>84.376300000000001</c:v>
                </c:pt>
                <c:pt idx="455">
                  <c:v>84.866600000000005</c:v>
                </c:pt>
                <c:pt idx="456">
                  <c:v>84.683199999999999</c:v>
                </c:pt>
                <c:pt idx="457">
                  <c:v>85.3994</c:v>
                </c:pt>
                <c:pt idx="458">
                  <c:v>85.716700000000003</c:v>
                </c:pt>
                <c:pt idx="459">
                  <c:v>85.140299999999996</c:v>
                </c:pt>
                <c:pt idx="460">
                  <c:v>84.466300000000004</c:v>
                </c:pt>
                <c:pt idx="461">
                  <c:v>84.750399999999999</c:v>
                </c:pt>
                <c:pt idx="462">
                  <c:v>84.713800000000006</c:v>
                </c:pt>
                <c:pt idx="463">
                  <c:v>83.360600000000005</c:v>
                </c:pt>
                <c:pt idx="464">
                  <c:v>81.757599999999996</c:v>
                </c:pt>
                <c:pt idx="465">
                  <c:v>83.393000000000001</c:v>
                </c:pt>
                <c:pt idx="466">
                  <c:v>82.706599999999995</c:v>
                </c:pt>
                <c:pt idx="467">
                  <c:v>83.353700000000003</c:v>
                </c:pt>
                <c:pt idx="468">
                  <c:v>83.577500000000001</c:v>
                </c:pt>
                <c:pt idx="469">
                  <c:v>84.72</c:v>
                </c:pt>
                <c:pt idx="470">
                  <c:v>85.520499999999998</c:v>
                </c:pt>
                <c:pt idx="471">
                  <c:v>84.837699999999998</c:v>
                </c:pt>
                <c:pt idx="472">
                  <c:v>84.308999999999997</c:v>
                </c:pt>
                <c:pt idx="473">
                  <c:v>83.838700000000003</c:v>
                </c:pt>
                <c:pt idx="474">
                  <c:v>82.880600000000001</c:v>
                </c:pt>
                <c:pt idx="475">
                  <c:v>83.053700000000006</c:v>
                </c:pt>
                <c:pt idx="476">
                  <c:v>83.587999999999994</c:v>
                </c:pt>
                <c:pt idx="477">
                  <c:v>84.177300000000002</c:v>
                </c:pt>
                <c:pt idx="478">
                  <c:v>82.654300000000006</c:v>
                </c:pt>
                <c:pt idx="479">
                  <c:v>80.678200000000004</c:v>
                </c:pt>
                <c:pt idx="480">
                  <c:v>80.392700000000005</c:v>
                </c:pt>
                <c:pt idx="481">
                  <c:v>80.646199999999993</c:v>
                </c:pt>
                <c:pt idx="482">
                  <c:v>81.244600000000005</c:v>
                </c:pt>
                <c:pt idx="483">
                  <c:v>80.891099999999994</c:v>
                </c:pt>
                <c:pt idx="484">
                  <c:v>79.282499999999999</c:v>
                </c:pt>
                <c:pt idx="485">
                  <c:v>79.028800000000004</c:v>
                </c:pt>
                <c:pt idx="486">
                  <c:v>77.451899999999995</c:v>
                </c:pt>
                <c:pt idx="487">
                  <c:v>77.648099999999999</c:v>
                </c:pt>
                <c:pt idx="488">
                  <c:v>76.972499999999997</c:v>
                </c:pt>
                <c:pt idx="489">
                  <c:v>77.181700000000006</c:v>
                </c:pt>
                <c:pt idx="490">
                  <c:v>77.941699999999997</c:v>
                </c:pt>
                <c:pt idx="491">
                  <c:v>78.827200000000005</c:v>
                </c:pt>
                <c:pt idx="492">
                  <c:v>78.929299999999998</c:v>
                </c:pt>
                <c:pt idx="493">
                  <c:v>79.307199999999995</c:v>
                </c:pt>
                <c:pt idx="494">
                  <c:v>79.483500000000006</c:v>
                </c:pt>
                <c:pt idx="495">
                  <c:v>79.2517</c:v>
                </c:pt>
                <c:pt idx="496">
                  <c:v>79.575699999999998</c:v>
                </c:pt>
                <c:pt idx="497">
                  <c:v>81.230099999999993</c:v>
                </c:pt>
                <c:pt idx="498">
                  <c:v>80.788499999999999</c:v>
                </c:pt>
                <c:pt idx="499">
                  <c:v>80.755700000000004</c:v>
                </c:pt>
                <c:pt idx="500">
                  <c:v>81.288799999999995</c:v>
                </c:pt>
                <c:pt idx="501">
                  <c:v>79.599900000000005</c:v>
                </c:pt>
                <c:pt idx="502">
                  <c:v>78.820700000000002</c:v>
                </c:pt>
                <c:pt idx="503">
                  <c:v>79.429500000000004</c:v>
                </c:pt>
                <c:pt idx="504">
                  <c:v>79.947100000000006</c:v>
                </c:pt>
                <c:pt idx="505">
                  <c:v>79.379599999999996</c:v>
                </c:pt>
                <c:pt idx="506">
                  <c:v>79.444500000000005</c:v>
                </c:pt>
                <c:pt idx="507">
                  <c:v>78.424099999999996</c:v>
                </c:pt>
                <c:pt idx="508">
                  <c:v>79.296000000000006</c:v>
                </c:pt>
                <c:pt idx="509">
                  <c:v>78.382800000000003</c:v>
                </c:pt>
                <c:pt idx="510">
                  <c:v>76.869200000000006</c:v>
                </c:pt>
                <c:pt idx="511">
                  <c:v>76.460599999999999</c:v>
                </c:pt>
                <c:pt idx="512">
                  <c:v>76.084699999999998</c:v>
                </c:pt>
                <c:pt idx="513">
                  <c:v>75.946299999999994</c:v>
                </c:pt>
                <c:pt idx="514">
                  <c:v>75.461699999999993</c:v>
                </c:pt>
                <c:pt idx="515">
                  <c:v>75.744299999999996</c:v>
                </c:pt>
                <c:pt idx="516">
                  <c:v>75.774699999999996</c:v>
                </c:pt>
                <c:pt idx="517">
                  <c:v>75.175299999999993</c:v>
                </c:pt>
                <c:pt idx="518">
                  <c:v>75.973200000000006</c:v>
                </c:pt>
                <c:pt idx="519">
                  <c:v>75.105800000000002</c:v>
                </c:pt>
                <c:pt idx="520">
                  <c:v>75.745500000000007</c:v>
                </c:pt>
                <c:pt idx="521">
                  <c:v>76.028800000000004</c:v>
                </c:pt>
                <c:pt idx="522">
                  <c:v>74.7166</c:v>
                </c:pt>
                <c:pt idx="523">
                  <c:v>75.438900000000004</c:v>
                </c:pt>
                <c:pt idx="524">
                  <c:v>73.957800000000006</c:v>
                </c:pt>
                <c:pt idx="525">
                  <c:v>73.915999999999997</c:v>
                </c:pt>
                <c:pt idx="526">
                  <c:v>74.002799999999993</c:v>
                </c:pt>
                <c:pt idx="527">
                  <c:v>75.504800000000003</c:v>
                </c:pt>
                <c:pt idx="528">
                  <c:v>75.596500000000006</c:v>
                </c:pt>
                <c:pt idx="529">
                  <c:v>76.141900000000007</c:v>
                </c:pt>
                <c:pt idx="530">
                  <c:v>76.271799999999999</c:v>
                </c:pt>
                <c:pt idx="531">
                  <c:v>74.849999999999994</c:v>
                </c:pt>
                <c:pt idx="532">
                  <c:v>75.952600000000004</c:v>
                </c:pt>
                <c:pt idx="533">
                  <c:v>77.223399999999998</c:v>
                </c:pt>
                <c:pt idx="534">
                  <c:v>76.104900000000001</c:v>
                </c:pt>
                <c:pt idx="535">
                  <c:v>76.119799999999998</c:v>
                </c:pt>
                <c:pt idx="536">
                  <c:v>75.498999999999995</c:v>
                </c:pt>
                <c:pt idx="537">
                  <c:v>74.495900000000006</c:v>
                </c:pt>
                <c:pt idx="538">
                  <c:v>75.235500000000002</c:v>
                </c:pt>
                <c:pt idx="539">
                  <c:v>73.791499999999999</c:v>
                </c:pt>
                <c:pt idx="540">
                  <c:v>72.875900000000001</c:v>
                </c:pt>
                <c:pt idx="541">
                  <c:v>73.609800000000007</c:v>
                </c:pt>
                <c:pt idx="542">
                  <c:v>73.487700000000004</c:v>
                </c:pt>
                <c:pt idx="543">
                  <c:v>74.559399999999997</c:v>
                </c:pt>
                <c:pt idx="544">
                  <c:v>74.63</c:v>
                </c:pt>
                <c:pt idx="545">
                  <c:v>74.433800000000005</c:v>
                </c:pt>
                <c:pt idx="546">
                  <c:v>75.122100000000003</c:v>
                </c:pt>
                <c:pt idx="547">
                  <c:v>76.726500000000001</c:v>
                </c:pt>
                <c:pt idx="548">
                  <c:v>76.6828</c:v>
                </c:pt>
                <c:pt idx="549">
                  <c:v>76.641400000000004</c:v>
                </c:pt>
                <c:pt idx="550">
                  <c:v>77.662800000000004</c:v>
                </c:pt>
                <c:pt idx="551">
                  <c:v>77.9054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41A-4C72-9E0D-1669DBEC3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541720"/>
        <c:axId val="320541328"/>
      </c:lineChart>
      <c:dateAx>
        <c:axId val="320540544"/>
        <c:scaling>
          <c:orientation val="minMax"/>
          <c:min val="4237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540936"/>
        <c:crosses val="autoZero"/>
        <c:auto val="1"/>
        <c:lblOffset val="100"/>
        <c:baseTimeUnit val="days"/>
      </c:dateAx>
      <c:valAx>
        <c:axId val="320540936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540544"/>
        <c:crosses val="autoZero"/>
        <c:crossBetween val="between"/>
      </c:valAx>
      <c:valAx>
        <c:axId val="320541328"/>
        <c:scaling>
          <c:orientation val="minMax"/>
          <c:min val="7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541720"/>
        <c:crosses val="max"/>
        <c:crossBetween val="between"/>
        <c:majorUnit val="5"/>
      </c:valAx>
      <c:catAx>
        <c:axId val="320541720"/>
        <c:scaling>
          <c:orientation val="minMax"/>
        </c:scaling>
        <c:delete val="1"/>
        <c:axPos val="b"/>
        <c:majorTickMark val="out"/>
        <c:minorTickMark val="none"/>
        <c:tickLblPos val="nextTo"/>
        <c:crossAx val="320541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145602579472473"/>
          <c:y val="0.66551276178119889"/>
          <c:w val="0.53331265758082214"/>
          <c:h val="0.1713177117920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B84-426C-8129-0A5E6EFDA1F4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25B-403E-87F0-358875F138E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05B-4886-B819-22133CC773CA}"/>
              </c:ext>
            </c:extLst>
          </c:dPt>
          <c:dPt>
            <c:idx val="11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FB84-426C-8129-0A5E6EFDA1F4}"/>
              </c:ext>
            </c:extLst>
          </c:dPt>
          <c:cat>
            <c:strRef>
              <c:f>'Graf 25'!$A$26:$A$37</c:f>
              <c:strCache>
                <c:ptCount val="12"/>
                <c:pt idx="0">
                  <c:v>Saldo VS - rozpočet</c:v>
                </c:pt>
                <c:pt idx="1">
                  <c:v>Príspevky na sociálne zabezpečenie (D.61)</c:v>
                </c:pt>
                <c:pt idx="2">
                  <c:v>Ostatné bežné transfery (D.7P)</c:v>
                </c:pt>
                <c:pt idx="3">
                  <c:v>Medzispotreba (P.2)</c:v>
                </c:pt>
                <c:pt idx="4">
                  <c:v>Výdavky na sociálne dávky (D.62P)</c:v>
                </c:pt>
                <c:pt idx="5">
                  <c:v>Granty a transfery (D.39+D.7R+D.9R)</c:v>
                </c:pt>
                <c:pt idx="6">
                  <c:v>Nedaňové príjmy (P.11+P.12+P.131+D.4)</c:v>
                </c:pt>
                <c:pt idx="7">
                  <c:v>Kapitálové výdavky (P.5L+ D.9P)</c:v>
                </c:pt>
                <c:pt idx="8">
                  <c:v>Kompenzácie zamestnancov (D.1P)</c:v>
                </c:pt>
                <c:pt idx="9">
                  <c:v>Daňové príjmy (D.2+D.5+D.91)</c:v>
                </c:pt>
                <c:pt idx="10">
                  <c:v>Ostatné</c:v>
                </c:pt>
                <c:pt idx="11">
                  <c:v>Saldo VS - očakávaná skutočnosť</c:v>
                </c:pt>
              </c:strCache>
            </c:strRef>
          </c:cat>
          <c:val>
            <c:numRef>
              <c:f>'Graf 25'!$D$26:$D$37</c:f>
              <c:numCache>
                <c:formatCode>#,##0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05B-4886-B819-22133CC773CA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25'!$A$26:$A$37</c:f>
              <c:strCache>
                <c:ptCount val="12"/>
                <c:pt idx="0">
                  <c:v>Saldo VS - rozpočet</c:v>
                </c:pt>
                <c:pt idx="1">
                  <c:v>Príspevky na sociálne zabezpečenie (D.61)</c:v>
                </c:pt>
                <c:pt idx="2">
                  <c:v>Ostatné bežné transfery (D.7P)</c:v>
                </c:pt>
                <c:pt idx="3">
                  <c:v>Medzispotreba (P.2)</c:v>
                </c:pt>
                <c:pt idx="4">
                  <c:v>Výdavky na sociálne dávky (D.62P)</c:v>
                </c:pt>
                <c:pt idx="5">
                  <c:v>Granty a transfery (D.39+D.7R+D.9R)</c:v>
                </c:pt>
                <c:pt idx="6">
                  <c:v>Nedaňové príjmy (P.11+P.12+P.131+D.4)</c:v>
                </c:pt>
                <c:pt idx="7">
                  <c:v>Kapitálové výdavky (P.5L+ D.9P)</c:v>
                </c:pt>
                <c:pt idx="8">
                  <c:v>Kompenzácie zamestnancov (D.1P)</c:v>
                </c:pt>
                <c:pt idx="9">
                  <c:v>Daňové príjmy (D.2+D.5+D.91)</c:v>
                </c:pt>
                <c:pt idx="10">
                  <c:v>Ostatné</c:v>
                </c:pt>
                <c:pt idx="11">
                  <c:v>Saldo VS - očakávaná skutočnosť</c:v>
                </c:pt>
              </c:strCache>
            </c:strRef>
          </c:cat>
          <c:val>
            <c:numRef>
              <c:f>'Graf 25'!$E$26:$E$37</c:f>
              <c:numCache>
                <c:formatCode>#,##0</c:formatCode>
                <c:ptCount val="12"/>
                <c:pt idx="1">
                  <c:v>-627</c:v>
                </c:pt>
                <c:pt idx="2">
                  <c:v>-541</c:v>
                </c:pt>
                <c:pt idx="3">
                  <c:v>-487</c:v>
                </c:pt>
                <c:pt idx="4">
                  <c:v>-435</c:v>
                </c:pt>
                <c:pt idx="5">
                  <c:v>-415</c:v>
                </c:pt>
                <c:pt idx="6">
                  <c:v>-402</c:v>
                </c:pt>
                <c:pt idx="7">
                  <c:v>-402</c:v>
                </c:pt>
                <c:pt idx="8">
                  <c:v>-507</c:v>
                </c:pt>
                <c:pt idx="9">
                  <c:v>-613</c:v>
                </c:pt>
                <c:pt idx="10">
                  <c:v>-712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05B-4886-B819-22133CC773CA}"/>
            </c:ext>
          </c:extLst>
        </c:ser>
        <c:ser>
          <c:idx val="2"/>
          <c:order val="2"/>
          <c:spPr>
            <a:solidFill>
              <a:schemeClr val="accent6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05B-4886-B819-22133CC773C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D05B-4886-B819-22133CC773C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05B-4886-B819-22133CC773C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D05B-4886-B819-22133CC773C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05B-4886-B819-22133CC773CA}"/>
              </c:ext>
            </c:extLst>
          </c:dPt>
          <c:dPt>
            <c:idx val="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1-D05B-4886-B819-22133CC773CA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D05B-4886-B819-22133CC773CA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D05B-4886-B819-22133CC773CA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D05B-4886-B819-22133CC773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D05B-4886-B819-22133CC773CA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D05B-4886-B819-22133CC773CA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FB84-426C-8129-0A5E6EFDA1F4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D05B-4886-B819-22133CC773C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86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54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r>
                      <a:rPr lang="en-US"/>
                      <a:t>13</a:t>
                    </a:r>
                  </a:p>
                </c:rich>
              </c:tx>
              <c:spPr>
                <a:solidFill>
                  <a:schemeClr val="accent3"/>
                </a:solidFill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D05B-4886-B819-22133CC773C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25'!$A$26:$A$37</c:f>
              <c:strCache>
                <c:ptCount val="12"/>
                <c:pt idx="0">
                  <c:v>Saldo VS - rozpočet</c:v>
                </c:pt>
                <c:pt idx="1">
                  <c:v>Príspevky na sociálne zabezpečenie (D.61)</c:v>
                </c:pt>
                <c:pt idx="2">
                  <c:v>Ostatné bežné transfery (D.7P)</c:v>
                </c:pt>
                <c:pt idx="3">
                  <c:v>Medzispotreba (P.2)</c:v>
                </c:pt>
                <c:pt idx="4">
                  <c:v>Výdavky na sociálne dávky (D.62P)</c:v>
                </c:pt>
                <c:pt idx="5">
                  <c:v>Granty a transfery (D.39+D.7R+D.9R)</c:v>
                </c:pt>
                <c:pt idx="6">
                  <c:v>Nedaňové príjmy (P.11+P.12+P.131+D.4)</c:v>
                </c:pt>
                <c:pt idx="7">
                  <c:v>Kapitálové výdavky (P.5L+ D.9P)</c:v>
                </c:pt>
                <c:pt idx="8">
                  <c:v>Kompenzácie zamestnancov (D.1P)</c:v>
                </c:pt>
                <c:pt idx="9">
                  <c:v>Daňové príjmy (D.2+D.5+D.91)</c:v>
                </c:pt>
                <c:pt idx="10">
                  <c:v>Ostatné</c:v>
                </c:pt>
                <c:pt idx="11">
                  <c:v>Saldo VS - očakávaná skutočnosť</c:v>
                </c:pt>
              </c:strCache>
            </c:strRef>
          </c:cat>
          <c:val>
            <c:numRef>
              <c:f>'Graf 25'!$F$26:$F$37</c:f>
              <c:numCache>
                <c:formatCode>#,##0</c:formatCode>
                <c:ptCount val="12"/>
                <c:pt idx="0">
                  <c:v>-743</c:v>
                </c:pt>
                <c:pt idx="1">
                  <c:v>-116</c:v>
                </c:pt>
                <c:pt idx="2">
                  <c:v>-86</c:v>
                </c:pt>
                <c:pt idx="3">
                  <c:v>-54</c:v>
                </c:pt>
                <c:pt idx="4">
                  <c:v>-52</c:v>
                </c:pt>
                <c:pt idx="5">
                  <c:v>-20</c:v>
                </c:pt>
                <c:pt idx="6">
                  <c:v>-13</c:v>
                </c:pt>
                <c:pt idx="7">
                  <c:v>-105</c:v>
                </c:pt>
                <c:pt idx="8">
                  <c:v>-106</c:v>
                </c:pt>
                <c:pt idx="9">
                  <c:v>-99</c:v>
                </c:pt>
                <c:pt idx="10">
                  <c:v>-8</c:v>
                </c:pt>
                <c:pt idx="11">
                  <c:v>-720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D05B-4886-B819-22133CC7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26648320"/>
        <c:axId val="326648712"/>
      </c:barChart>
      <c:catAx>
        <c:axId val="3266483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326648712"/>
        <c:crosses val="autoZero"/>
        <c:auto val="1"/>
        <c:lblAlgn val="ctr"/>
        <c:lblOffset val="100"/>
        <c:noMultiLvlLbl val="0"/>
      </c:catAx>
      <c:valAx>
        <c:axId val="326648712"/>
        <c:scaling>
          <c:orientation val="minMax"/>
          <c:max val="100"/>
          <c:min val="-8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26648320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7585301837271"/>
          <c:y val="8.1858976375602674E-2"/>
          <c:w val="0.67153464250703598"/>
          <c:h val="0.88057796029608404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C5E0B4"/>
            </a:solidFill>
            <a:ln>
              <a:noFill/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CC6-4603-8875-F978B38CF7C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25B-403E-87F0-358875F138E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D05B-4886-B819-22133CC773CA}"/>
              </c:ext>
            </c:extLst>
          </c:dPt>
          <c:dPt>
            <c:idx val="11"/>
            <c:invertIfNegative val="0"/>
            <c:bubble3D val="0"/>
            <c:spPr>
              <a:solidFill>
                <a:srgbClr val="F8CBAD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3CC6-4603-8875-F978B38CF7C5}"/>
              </c:ext>
            </c:extLst>
          </c:dPt>
          <c:cat>
            <c:strRef>
              <c:f>'Graf 25'!$J$26:$J$37</c:f>
              <c:strCache>
                <c:ptCount val="12"/>
                <c:pt idx="0">
                  <c:v>Headline balance - Budget</c:v>
                </c:pt>
                <c:pt idx="1">
                  <c:v>Social contributions</c:v>
                </c:pt>
                <c:pt idx="2">
                  <c:v>Other current transfers</c:v>
                </c:pt>
                <c:pt idx="3">
                  <c:v>Intermediate consumption</c:v>
                </c:pt>
                <c:pt idx="4">
                  <c:v>Social benefits expenditure</c:v>
                </c:pt>
                <c:pt idx="5">
                  <c:v>Grants and transfers</c:v>
                </c:pt>
                <c:pt idx="6">
                  <c:v>Nontax revenues </c:v>
                </c:pt>
                <c:pt idx="7">
                  <c:v>Capital investments</c:v>
                </c:pt>
                <c:pt idx="8">
                  <c:v>Compensations</c:v>
                </c:pt>
                <c:pt idx="9">
                  <c:v>Tax revenue</c:v>
                </c:pt>
                <c:pt idx="10">
                  <c:v>Others</c:v>
                </c:pt>
                <c:pt idx="11">
                  <c:v>Headline balance - Estimate</c:v>
                </c:pt>
              </c:strCache>
            </c:strRef>
          </c:cat>
          <c:val>
            <c:numRef>
              <c:f>'Graf 25'!$M$26:$M$39</c:f>
              <c:numCache>
                <c:formatCode>#,##0</c:formatCode>
                <c:ptCount val="14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05B-4886-B819-22133CC773CA}"/>
            </c:ext>
          </c:extLst>
        </c:ser>
        <c:ser>
          <c:idx val="1"/>
          <c:order val="1"/>
          <c:spPr>
            <a:noFill/>
          </c:spPr>
          <c:invertIfNegative val="0"/>
          <c:cat>
            <c:strRef>
              <c:f>'Graf 25'!$J$26:$J$37</c:f>
              <c:strCache>
                <c:ptCount val="12"/>
                <c:pt idx="0">
                  <c:v>Headline balance - Budget</c:v>
                </c:pt>
                <c:pt idx="1">
                  <c:v>Social contributions</c:v>
                </c:pt>
                <c:pt idx="2">
                  <c:v>Other current transfers</c:v>
                </c:pt>
                <c:pt idx="3">
                  <c:v>Intermediate consumption</c:v>
                </c:pt>
                <c:pt idx="4">
                  <c:v>Social benefits expenditure</c:v>
                </c:pt>
                <c:pt idx="5">
                  <c:v>Grants and transfers</c:v>
                </c:pt>
                <c:pt idx="6">
                  <c:v>Nontax revenues </c:v>
                </c:pt>
                <c:pt idx="7">
                  <c:v>Capital investments</c:v>
                </c:pt>
                <c:pt idx="8">
                  <c:v>Compensations</c:v>
                </c:pt>
                <c:pt idx="9">
                  <c:v>Tax revenue</c:v>
                </c:pt>
                <c:pt idx="10">
                  <c:v>Others</c:v>
                </c:pt>
                <c:pt idx="11">
                  <c:v>Headline balance - Estimate</c:v>
                </c:pt>
              </c:strCache>
            </c:strRef>
          </c:cat>
          <c:val>
            <c:numRef>
              <c:f>'Graf 25'!$N$26:$N$37</c:f>
              <c:numCache>
                <c:formatCode>#,##0</c:formatCode>
                <c:ptCount val="12"/>
                <c:pt idx="1">
                  <c:v>-627</c:v>
                </c:pt>
                <c:pt idx="2">
                  <c:v>-541</c:v>
                </c:pt>
                <c:pt idx="3">
                  <c:v>-487</c:v>
                </c:pt>
                <c:pt idx="4">
                  <c:v>-435</c:v>
                </c:pt>
                <c:pt idx="5">
                  <c:v>-415</c:v>
                </c:pt>
                <c:pt idx="6">
                  <c:v>-402</c:v>
                </c:pt>
                <c:pt idx="7">
                  <c:v>-402</c:v>
                </c:pt>
                <c:pt idx="8">
                  <c:v>-507</c:v>
                </c:pt>
                <c:pt idx="9">
                  <c:v>-613</c:v>
                </c:pt>
                <c:pt idx="10">
                  <c:v>-712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05B-4886-B819-22133CC773CA}"/>
            </c:ext>
          </c:extLst>
        </c:ser>
        <c:ser>
          <c:idx val="2"/>
          <c:order val="2"/>
          <c:spPr>
            <a:solidFill>
              <a:schemeClr val="accent6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D05B-4886-B819-22133CC773C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D05B-4886-B819-22133CC773C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05B-4886-B819-22133CC773C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05B-4886-B819-22133CC773C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E-D05B-4886-B819-22133CC773C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05B-4886-B819-22133CC773C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05B-4886-B819-22133CC773CA}"/>
              </c:ext>
            </c:extLst>
          </c:dPt>
          <c:dPt>
            <c:idx val="7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3-D05B-4886-B819-22133CC773CA}"/>
              </c:ext>
            </c:extLst>
          </c:dPt>
          <c:dPt>
            <c:idx val="8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5-D05B-4886-B819-22133CC773CA}"/>
              </c:ext>
            </c:extLst>
          </c:dPt>
          <c:dPt>
            <c:idx val="9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7-D05B-4886-B819-22133CC773CA}"/>
              </c:ext>
            </c:extLst>
          </c:dPt>
          <c:dPt>
            <c:idx val="10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9-D05B-4886-B819-22133CC773CA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D05B-4886-B819-22133CC773CA}"/>
              </c:ext>
            </c:extLst>
          </c:dPt>
          <c:dPt>
            <c:idx val="12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1D-D05B-4886-B819-22133CC773CA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20-3CC6-4603-8875-F978B38CF7C5}"/>
              </c:ext>
            </c:extLst>
          </c:dPt>
          <c:dPt>
            <c:idx val="16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23-D05B-4886-B819-22133CC773C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116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86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54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52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D05B-4886-B819-22133CC773CA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3474066972268855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D05B-4886-B819-22133CC773C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 25'!$J$26:$J$37</c:f>
              <c:strCache>
                <c:ptCount val="12"/>
                <c:pt idx="0">
                  <c:v>Headline balance - Budget</c:v>
                </c:pt>
                <c:pt idx="1">
                  <c:v>Social contributions</c:v>
                </c:pt>
                <c:pt idx="2">
                  <c:v>Other current transfers</c:v>
                </c:pt>
                <c:pt idx="3">
                  <c:v>Intermediate consumption</c:v>
                </c:pt>
                <c:pt idx="4">
                  <c:v>Social benefits expenditure</c:v>
                </c:pt>
                <c:pt idx="5">
                  <c:v>Grants and transfers</c:v>
                </c:pt>
                <c:pt idx="6">
                  <c:v>Nontax revenues </c:v>
                </c:pt>
                <c:pt idx="7">
                  <c:v>Capital investments</c:v>
                </c:pt>
                <c:pt idx="8">
                  <c:v>Compensations</c:v>
                </c:pt>
                <c:pt idx="9">
                  <c:v>Tax revenue</c:v>
                </c:pt>
                <c:pt idx="10">
                  <c:v>Others</c:v>
                </c:pt>
                <c:pt idx="11">
                  <c:v>Headline balance - Estimate</c:v>
                </c:pt>
              </c:strCache>
            </c:strRef>
          </c:cat>
          <c:val>
            <c:numRef>
              <c:f>'Graf 25'!$O$26:$O$39</c:f>
              <c:numCache>
                <c:formatCode>#,##0</c:formatCode>
                <c:ptCount val="14"/>
                <c:pt idx="0">
                  <c:v>-743</c:v>
                </c:pt>
                <c:pt idx="1">
                  <c:v>-116</c:v>
                </c:pt>
                <c:pt idx="2">
                  <c:v>-86</c:v>
                </c:pt>
                <c:pt idx="3">
                  <c:v>-54</c:v>
                </c:pt>
                <c:pt idx="4">
                  <c:v>-52</c:v>
                </c:pt>
                <c:pt idx="5">
                  <c:v>-20</c:v>
                </c:pt>
                <c:pt idx="6">
                  <c:v>-13</c:v>
                </c:pt>
                <c:pt idx="7">
                  <c:v>-105</c:v>
                </c:pt>
                <c:pt idx="8">
                  <c:v>-106</c:v>
                </c:pt>
                <c:pt idx="9">
                  <c:v>-99</c:v>
                </c:pt>
                <c:pt idx="10">
                  <c:v>-8</c:v>
                </c:pt>
                <c:pt idx="11">
                  <c:v>-720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4-D05B-4886-B819-22133CC77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326649496"/>
        <c:axId val="326649888"/>
      </c:barChart>
      <c:catAx>
        <c:axId val="32664949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sk-SK"/>
          </a:p>
        </c:txPr>
        <c:crossAx val="326649888"/>
        <c:crosses val="autoZero"/>
        <c:auto val="1"/>
        <c:lblAlgn val="ctr"/>
        <c:lblOffset val="100"/>
        <c:noMultiLvlLbl val="0"/>
      </c:catAx>
      <c:valAx>
        <c:axId val="326649888"/>
        <c:scaling>
          <c:orientation val="minMax"/>
          <c:max val="100"/>
          <c:min val="-800"/>
        </c:scaling>
        <c:delete val="0"/>
        <c:axPos val="t"/>
        <c:numFmt formatCode="#,##0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800"/>
            </a:pPr>
            <a:endParaRPr lang="sk-SK"/>
          </a:p>
        </c:txPr>
        <c:crossAx val="326649496"/>
        <c:crosses val="autoZero"/>
        <c:crossBetween val="between"/>
        <c:majorUnit val="300"/>
      </c:valAx>
    </c:plotArea>
    <c:plotVisOnly val="1"/>
    <c:dispBlanksAs val="gap"/>
    <c:showDLblsOverMax val="0"/>
  </c:chart>
  <c:spPr>
    <a:noFill/>
    <a:ln>
      <a:solidFill>
        <a:schemeClr val="bg1"/>
      </a:solidFill>
    </a:ln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15910018777131E-2"/>
          <c:y val="3.6702577156306072E-2"/>
          <c:w val="0.91507149165482005"/>
          <c:h val="0.91074167429314146"/>
        </c:manualLayout>
      </c:layout>
      <c:scatterChart>
        <c:scatterStyle val="smoothMarker"/>
        <c:varyColors val="0"/>
        <c:ser>
          <c:idx val="0"/>
          <c:order val="0"/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Pt>
            <c:idx val="1"/>
            <c:bubble3D val="0"/>
            <c:spPr>
              <a:ln w="28575">
                <a:solidFill>
                  <a:schemeClr val="accent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000-4482-9B1B-463B76C5DDB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E4A38D29-F223-4155-8D83-75DA46ED8BAA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000-4482-9B1B-463B76C5DDB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8361742-A686-4F91-86C5-A7EB7509928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133EF69-31FE-43F1-B1EF-AF034780DA55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4380B69-CEA0-4E2D-A2EA-FD36CF66CA14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F940DEDF-1872-412E-924C-EE612B2E7F7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>
                <c:manualLayout>
                  <c:x val="-4.4502618412590435E-2"/>
                  <c:y val="6.8706691212499213E-2"/>
                </c:manualLayout>
              </c:layout>
              <c:tx>
                <c:rich>
                  <a:bodyPr/>
                  <a:lstStyle/>
                  <a:p>
                    <a:fld id="{8858CA91-E227-4276-8DD0-4FE6674F8630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000-4482-9B1B-463B76C5DDB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7FA238D-5A23-4E25-90B6-D5079FC8846B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>
                <c:manualLayout>
                  <c:x val="4.4502618412590435E-2"/>
                  <c:y val="4.5804460808332809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FE4E4A09-6664-4DA5-A754-A0EB948A9113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000-4482-9B1B-463B76C5DDB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8"/>
              <c:layout>
                <c:manualLayout>
                  <c:x val="-5.0436300867602597E-2"/>
                  <c:y val="5.561970241011840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7C91F328-7FFC-4DD7-9854-60DAED708DAB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000-4482-9B1B-463B76C5DDB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9"/>
              <c:layout>
                <c:manualLayout>
                  <c:x val="1.0878292167229375E-16"/>
                  <c:y val="1.308698880238080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77167C87-4334-4E07-A977-DE6B3B0BE1DE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000-4482-9B1B-463B76C5DDB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0"/>
              <c:layout>
                <c:manualLayout>
                  <c:x val="-5.3403025290335783E-2"/>
                  <c:y val="-6.2163068002364021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78D04020-2CA8-4881-BE22-ACCB8C9AE4A0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000-4482-9B1B-463B76C5DDB9}"/>
                </c:ext>
                <c:ext xmlns:c15="http://schemas.microsoft.com/office/drawing/2012/chart" uri="{CE6537A1-D6FC-4f65-9D91-7224C49458BB}">
                  <c15:layout>
                    <c:manualLayout>
                      <c:w val="7.0610821214643474E-2"/>
                      <c:h val="3.9899085920203366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-4.1535777185084402E-2"/>
                  <c:y val="8.5065427215475206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15D0224A-6A74-43AD-B39B-01A142C94A8E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000-4482-9B1B-463B76C5DDB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'Graf 26+27; Tab 12'!$B$8:$M$8</c:f>
              <c:numCache>
                <c:formatCode>0.0</c:formatCode>
                <c:ptCount val="12"/>
                <c:pt idx="0">
                  <c:v>-0.43078899999999998</c:v>
                </c:pt>
                <c:pt idx="1">
                  <c:v>-1.0340959999999999</c:v>
                </c:pt>
                <c:pt idx="2">
                  <c:v>-1.8512535686031399</c:v>
                </c:pt>
                <c:pt idx="3">
                  <c:v>-1.8038250600106522</c:v>
                </c:pt>
                <c:pt idx="4">
                  <c:v>-1.4859985814303251</c:v>
                </c:pt>
                <c:pt idx="5">
                  <c:v>-0.68730045660982964</c:v>
                </c:pt>
                <c:pt idx="6">
                  <c:v>-0.32770656322884495</c:v>
                </c:pt>
                <c:pt idx="7">
                  <c:v>9.2176087213173427E-2</c:v>
                </c:pt>
                <c:pt idx="8">
                  <c:v>0.56642343268447592</c:v>
                </c:pt>
                <c:pt idx="9">
                  <c:v>1.0994109254611752</c:v>
                </c:pt>
                <c:pt idx="10">
                  <c:v>1.0871002021800185</c:v>
                </c:pt>
                <c:pt idx="11">
                  <c:v>0.79466472355658557</c:v>
                </c:pt>
              </c:numCache>
            </c:numRef>
          </c:xVal>
          <c:yVal>
            <c:numRef>
              <c:f>'Graf 26+27; Tab 12'!$B$7:$M$7</c:f>
              <c:numCache>
                <c:formatCode>0.00</c:formatCode>
                <c:ptCount val="12"/>
                <c:pt idx="0">
                  <c:v>-9.6281811955369001E-2</c:v>
                </c:pt>
                <c:pt idx="1">
                  <c:v>2.6268144332633803</c:v>
                </c:pt>
                <c:pt idx="2">
                  <c:v>0.91238239250545283</c:v>
                </c:pt>
                <c:pt idx="3">
                  <c:v>1.7402285582491368</c:v>
                </c:pt>
                <c:pt idx="4">
                  <c:v>-0.36440427917393081</c:v>
                </c:pt>
                <c:pt idx="5">
                  <c:v>-0.2136182619717597</c:v>
                </c:pt>
                <c:pt idx="6">
                  <c:v>0.31723498961511076</c:v>
                </c:pt>
                <c:pt idx="7">
                  <c:v>0.7088872820889065</c:v>
                </c:pt>
                <c:pt idx="8">
                  <c:v>-7.3138191615177428E-2</c:v>
                </c:pt>
                <c:pt idx="9">
                  <c:v>0.2002838528698121</c:v>
                </c:pt>
                <c:pt idx="10">
                  <c:v>0.21430039045888349</c:v>
                </c:pt>
                <c:pt idx="11">
                  <c:v>8.6742229079924127E-2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D-5000-4482-9B1B-463B76C5DDB9}"/>
            </c:ext>
            <c:ext xmlns:c15="http://schemas.microsoft.com/office/drawing/2012/chart" uri="{02D57815-91ED-43cb-92C2-25804820EDAC}">
              <c15:datalabelsRange>
                <c15:f>'Graf 26+27; Tab 12'!$B$3:$M$3</c15:f>
                <c15:dlblRangeCache>
                  <c:ptCount val="12"/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2018</c:v>
                  </c:pt>
                  <c:pt idx="9">
                    <c:v>2019</c:v>
                  </c:pt>
                  <c:pt idx="10">
                    <c:v>2020</c:v>
                  </c:pt>
                  <c:pt idx="11">
                    <c:v>2021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6650672"/>
        <c:axId val="326651064"/>
      </c:scatterChart>
      <c:valAx>
        <c:axId val="326650672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26651064"/>
        <c:crossesAt val="0"/>
        <c:crossBetween val="midCat"/>
      </c:valAx>
      <c:valAx>
        <c:axId val="326651064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2665067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75617470893064E-2"/>
          <c:y val="7.8792141273602942E-2"/>
          <c:w val="0.91507147505256647"/>
          <c:h val="0.89922268458854959"/>
        </c:manualLayout>
      </c:layout>
      <c:scatterChart>
        <c:scatterStyle val="smoothMarker"/>
        <c:varyColors val="0"/>
        <c:ser>
          <c:idx val="0"/>
          <c:order val="0"/>
          <c:spPr>
            <a:ln w="28575">
              <a:solidFill>
                <a:schemeClr val="accent1"/>
              </a:solidFill>
              <a:prstDash val="solid"/>
            </a:ln>
            <a:effectLst>
              <a:glow>
                <a:schemeClr val="accent1"/>
              </a:glow>
            </a:effectLst>
          </c:spPr>
          <c:marker>
            <c:symbol val="circle"/>
            <c:size val="6"/>
            <c:spPr>
              <a:solidFill>
                <a:srgbClr val="FFFF99"/>
              </a:solidFill>
              <a:ln>
                <a:solidFill>
                  <a:srgbClr val="000000"/>
                </a:solidFill>
                <a:prstDash val="solid"/>
              </a:ln>
              <a:effectLst>
                <a:glow>
                  <a:schemeClr val="accent1"/>
                </a:glow>
              </a:effectLst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0F19C81-5BC9-470D-BEBE-BBE75775F93D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0A8-4136-94D5-15942B85401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9278690-6335-4044-8755-5534128E0E6E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2E8A82E-6FE6-4B86-BCA3-68DDAF9C95C6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>
                <c:manualLayout>
                  <c:x val="-0.17000001174195412"/>
                  <c:y val="-3.4669113341521066E-3"/>
                </c:manualLayout>
              </c:layout>
              <c:tx>
                <c:rich>
                  <a:bodyPr/>
                  <a:lstStyle/>
                  <a:p>
                    <a:fld id="{D44228D4-5022-456D-A3DC-B369BCEF1C4B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0A8-4136-94D5-15942B85401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4"/>
              <c:layout>
                <c:manualLayout>
                  <c:x val="-7.1615078053653539E-2"/>
                  <c:y val="5.2003588837109649E-2"/>
                </c:manualLayout>
              </c:layout>
              <c:tx>
                <c:rich>
                  <a:bodyPr/>
                  <a:lstStyle/>
                  <a:p>
                    <a:fld id="{AB3BFB36-A43F-4C0B-B282-38B7BB764D9D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D0A8-4136-94D5-15942B85401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3ADB7F8-726A-4B5C-8BD6-2B4E5ABA0FBA}" type="CELLRANGE">
                      <a:rPr lang="sk-SK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>
                <c:manualLayout>
                  <c:x val="1.7949054365141603E-2"/>
                  <c:y val="-2.0408163265306121E-2"/>
                </c:manualLayout>
              </c:layout>
              <c:tx>
                <c:rich>
                  <a:bodyPr/>
                  <a:lstStyle/>
                  <a:p>
                    <a:fld id="{9EC80A16-AA8F-4EFD-BE14-5842FE5B6DE1}" type="CELLRANGE">
                      <a:rPr lang="en-US"/>
                      <a:pPr/>
                      <a:t>[CELLRANGE]</a:t>
                    </a:fld>
                    <a:endParaRPr lang="sk-SK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4CE-48FE-BFA3-A0E30193D0B9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7"/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51C64FB1-CE31-4ACB-8F3A-3BD554EA7C83}" type="CELLRANGE">
                      <a:rPr lang="sk-SK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>
                <c:manualLayout>
                  <c:x val="-2.0877194424450504E-2"/>
                  <c:y val="4.16029360098252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F4A9B359-9427-4744-A242-1C1C1ED3B2A5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D0A8-4136-94D5-15942B85401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9"/>
              <c:layout>
                <c:manualLayout>
                  <c:x val="4.1754388848901008E-2"/>
                  <c:y val="-6.9338226683043408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ECC57406-D17D-427F-B6C8-7C5911E53B7A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D0A8-4136-94D5-15942B85401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dLbl>
              <c:idx val="10"/>
              <c:layout>
                <c:manualLayout>
                  <c:x val="-0.16271135777058618"/>
                  <c:y val="-6.4953666505972465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b="1"/>
                    </a:pPr>
                    <a:fld id="{E32F0A1D-54FE-4D1C-9501-C82EBBD41897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D0A8-4136-94D5-15942B854014}"/>
                </c:ext>
                <c:ext xmlns:c15="http://schemas.microsoft.com/office/drawing/2012/chart" uri="{CE6537A1-D6FC-4f65-9D91-7224C49458BB}">
                  <c15:layout>
                    <c:manualLayout>
                      <c:w val="0.10987200345601737"/>
                      <c:h val="5.9351598907279458E-2"/>
                    </c:manualLayout>
                  </c15:layout>
                  <c15:dlblFieldTable/>
                  <c15:showDataLabelsRange val="1"/>
                </c:ext>
              </c:extLst>
            </c:dLbl>
            <c:dLbl>
              <c:idx val="11"/>
              <c:layout>
                <c:manualLayout>
                  <c:x val="-0.11631579750765282"/>
                  <c:y val="-3.81360246756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b="1"/>
                    </a:pPr>
                    <a:fld id="{5C53856B-5031-437C-8A0B-BD437F5D430D}" type="CELLRANGE">
                      <a:rPr lang="en-US"/>
                      <a:pPr>
                        <a:defRPr b="1"/>
                      </a:pPr>
                      <a:t>[CELLRANGE]</a:t>
                    </a:fld>
                    <a:endParaRPr lang="sk-SK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D0A8-4136-94D5-15942B854014}"/>
                </c:ext>
                <c:ext xmlns:c15="http://schemas.microsoft.com/office/drawing/2012/chart" uri="{CE6537A1-D6FC-4f65-9D91-7224C49458BB}"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'Graf 26+27; Tab 12'!$B$9:$M$9</c:f>
              <c:numCache>
                <c:formatCode>0.0</c:formatCode>
                <c:ptCount val="12"/>
                <c:pt idx="0">
                  <c:v>1.5776440000000003</c:v>
                </c:pt>
                <c:pt idx="1">
                  <c:v>-0.60330699999999993</c:v>
                </c:pt>
                <c:pt idx="2">
                  <c:v>-0.81715756860314004</c:v>
                </c:pt>
                <c:pt idx="3">
                  <c:v>4.7428508592487706E-2</c:v>
                </c:pt>
                <c:pt idx="4">
                  <c:v>0.31782647858032709</c:v>
                </c:pt>
                <c:pt idx="5">
                  <c:v>0.79869812482049551</c:v>
                </c:pt>
                <c:pt idx="6">
                  <c:v>0.35959389338098469</c:v>
                </c:pt>
                <c:pt idx="7">
                  <c:v>0.41988265044201839</c:v>
                </c:pt>
                <c:pt idx="8">
                  <c:v>0.47424734547130248</c:v>
                </c:pt>
                <c:pt idx="9">
                  <c:v>0.53298749277669932</c:v>
                </c:pt>
                <c:pt idx="10">
                  <c:v>-1.2310723281156788E-2</c:v>
                </c:pt>
                <c:pt idx="11">
                  <c:v>-0.29243547862343289</c:v>
                </c:pt>
              </c:numCache>
            </c:numRef>
          </c:xVal>
          <c:yVal>
            <c:numRef>
              <c:f>'Graf 26+27; Tab 12'!$B$7:$M$7</c:f>
              <c:numCache>
                <c:formatCode>0.00</c:formatCode>
                <c:ptCount val="12"/>
                <c:pt idx="0">
                  <c:v>-9.6281811955369001E-2</c:v>
                </c:pt>
                <c:pt idx="1">
                  <c:v>2.6268144332633803</c:v>
                </c:pt>
                <c:pt idx="2">
                  <c:v>0.91238239250545283</c:v>
                </c:pt>
                <c:pt idx="3">
                  <c:v>1.7402285582491368</c:v>
                </c:pt>
                <c:pt idx="4">
                  <c:v>-0.36440427917393081</c:v>
                </c:pt>
                <c:pt idx="5">
                  <c:v>-0.2136182619717597</c:v>
                </c:pt>
                <c:pt idx="6">
                  <c:v>0.31723498961511076</c:v>
                </c:pt>
                <c:pt idx="7">
                  <c:v>0.7088872820889065</c:v>
                </c:pt>
                <c:pt idx="8">
                  <c:v>-7.3138191615177428E-2</c:v>
                </c:pt>
                <c:pt idx="9">
                  <c:v>0.2002838528698121</c:v>
                </c:pt>
                <c:pt idx="10">
                  <c:v>0.21430039045888349</c:v>
                </c:pt>
                <c:pt idx="11">
                  <c:v>8.6742229079924127E-2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C-D0A8-4136-94D5-15942B854014}"/>
            </c:ext>
            <c:ext xmlns:c15="http://schemas.microsoft.com/office/drawing/2012/chart" uri="{02D57815-91ED-43cb-92C2-25804820EDAC}">
              <c15:datalabelsRange>
                <c15:f>'Graf 26+27; Tab 12'!$B$3:$M$3</c15:f>
                <c15:dlblRangeCache>
                  <c:ptCount val="12"/>
                  <c:pt idx="0">
                    <c:v>2010</c:v>
                  </c:pt>
                  <c:pt idx="1">
                    <c:v>2011</c:v>
                  </c:pt>
                  <c:pt idx="2">
                    <c:v>2012</c:v>
                  </c:pt>
                  <c:pt idx="3">
                    <c:v>2013</c:v>
                  </c:pt>
                  <c:pt idx="4">
                    <c:v>2014</c:v>
                  </c:pt>
                  <c:pt idx="5">
                    <c:v>2015</c:v>
                  </c:pt>
                  <c:pt idx="6">
                    <c:v>2016</c:v>
                  </c:pt>
                  <c:pt idx="7">
                    <c:v>2017</c:v>
                  </c:pt>
                  <c:pt idx="8">
                    <c:v>2018</c:v>
                  </c:pt>
                  <c:pt idx="9">
                    <c:v>2019</c:v>
                  </c:pt>
                  <c:pt idx="10">
                    <c:v>2020</c:v>
                  </c:pt>
                  <c:pt idx="11">
                    <c:v>2021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6651848"/>
        <c:axId val="326652240"/>
      </c:scatterChart>
      <c:valAx>
        <c:axId val="326651848"/>
        <c:scaling>
          <c:orientation val="minMax"/>
        </c:scaling>
        <c:delete val="0"/>
        <c:axPos val="b"/>
        <c:numFmt formatCode="0.0" sourceLinked="1"/>
        <c:majorTickMark val="out"/>
        <c:minorTickMark val="none"/>
        <c:tickLblPos val="nextTo"/>
        <c:spPr>
          <a:ln w="15875" cmpd="sng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26652240"/>
        <c:crossesAt val="0"/>
        <c:crossBetween val="midCat"/>
      </c:valAx>
      <c:valAx>
        <c:axId val="326652240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 rtl="0">
              <a:defRPr sz="900" b="0" i="0" u="none" strike="noStrike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266518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52945980912501E-2"/>
          <c:y val="3.3711926879144309E-2"/>
          <c:w val="0.90179490042270383"/>
          <c:h val="0.75224894991088176"/>
        </c:manualLayout>
      </c:layout>
      <c:lineChart>
        <c:grouping val="standard"/>
        <c:varyColors val="0"/>
        <c:ser>
          <c:idx val="0"/>
          <c:order val="0"/>
          <c:tx>
            <c:strRef>
              <c:f>'Tab 13 '!$A$20</c:f>
              <c:strCache>
                <c:ptCount val="1"/>
                <c:pt idx="0">
                  <c:v>12. Reálny rast agregátu výdavkov očisteného o príjmové opatrenia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678-4120-94F2-4F9344701CDF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 13 '!$D$4:$J$4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13 '!$D$20:$J$20</c:f>
              <c:numCache>
                <c:formatCode>0.0</c:formatCode>
                <c:ptCount val="7"/>
                <c:pt idx="0">
                  <c:v>5.4018414176171259</c:v>
                </c:pt>
                <c:pt idx="1">
                  <c:v>1.3205720302342572</c:v>
                </c:pt>
                <c:pt idx="2">
                  <c:v>1.573338466134433</c:v>
                </c:pt>
                <c:pt idx="3">
                  <c:v>2.6755993749378648</c:v>
                </c:pt>
                <c:pt idx="4">
                  <c:v>0.75242097656456064</c:v>
                </c:pt>
                <c:pt idx="5">
                  <c:v>2.0503966456655975</c:v>
                </c:pt>
                <c:pt idx="6">
                  <c:v>1.4229783393757689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strRef>
              <c:f>'Tab 13 '!$A$21</c:f>
              <c:strCache>
                <c:ptCount val="1"/>
                <c:pt idx="0">
                  <c:v>13. Výdavkové pravidlo (znížená referenčná miera pot. rastu HDP)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7787734106789726E-2"/>
                  <c:y val="-3.3711926879144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657677958376305E-2"/>
                  <c:y val="-2.758248562839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5411048723985191E-3"/>
                  <c:y val="6.60411097280983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9.9652436670980794E-17"/>
                  <c:y val="2.4550103474958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3.857873403207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2"/>
              <c:layout>
                <c:manualLayout>
                  <c:x val="-7.1381380144690647E-17"/>
                  <c:y val="-2.3594947213272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F3-4AA6-A96F-D247ED8DDD91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 13 '!$D$4:$J$4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13 '!$D$21:$J$21</c:f>
              <c:numCache>
                <c:formatCode>0.0</c:formatCode>
                <c:ptCount val="7"/>
                <c:pt idx="0">
                  <c:v>2.8769999999999998</c:v>
                </c:pt>
                <c:pt idx="1">
                  <c:v>2.1720568911013736</c:v>
                </c:pt>
                <c:pt idx="2">
                  <c:v>1.6093619894584563</c:v>
                </c:pt>
                <c:pt idx="3">
                  <c:v>1.6953675637911849</c:v>
                </c:pt>
                <c:pt idx="4">
                  <c:v>2.3750351404462489</c:v>
                </c:pt>
                <c:pt idx="5">
                  <c:v>2.5588551057645552</c:v>
                </c:pt>
                <c:pt idx="6">
                  <c:v>3.2209273454663339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ser>
          <c:idx val="2"/>
          <c:order val="2"/>
          <c:tx>
            <c:strRef>
              <c:f>'Graf 28+29'!$B$39</c:f>
              <c:strCache>
                <c:ptCount val="1"/>
                <c:pt idx="0">
                  <c:v>Potenciál rastu HDP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'Tab 13 '!$D$4:$J$4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28+29'!$E$39:$K$39</c:f>
              <c:numCache>
                <c:formatCode>0.0</c:formatCode>
                <c:ptCount val="7"/>
                <c:pt idx="0">
                  <c:v>2.8769999999999998</c:v>
                </c:pt>
                <c:pt idx="1">
                  <c:v>2.8838508341083759</c:v>
                </c:pt>
                <c:pt idx="2">
                  <c:v>2.8662661363799677</c:v>
                </c:pt>
                <c:pt idx="3">
                  <c:v>2.9406814386515596</c:v>
                </c:pt>
                <c:pt idx="4">
                  <c:v>3.0580967409231512</c:v>
                </c:pt>
                <c:pt idx="5">
                  <c:v>3.1815120431947426</c:v>
                </c:pt>
                <c:pt idx="6">
                  <c:v>3.2209273454663339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833-419A-99AD-BE646BE8B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753688"/>
        <c:axId val="325754080"/>
      </c:lineChart>
      <c:catAx>
        <c:axId val="32575368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5754080"/>
        <c:crosses val="autoZero"/>
        <c:auto val="1"/>
        <c:lblAlgn val="ctr"/>
        <c:lblOffset val="100"/>
        <c:noMultiLvlLbl val="0"/>
      </c:catAx>
      <c:valAx>
        <c:axId val="32575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5753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68856378753507E-4"/>
          <c:y val="0.86450942510184781"/>
          <c:w val="0.9819313623532907"/>
          <c:h val="0.13434772226256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 28+29'!$B$39</c:f>
              <c:strCache>
                <c:ptCount val="1"/>
                <c:pt idx="0">
                  <c:v>Potenciál rastu HDP</c:v>
                </c:pt>
              </c:strCache>
            </c:strRef>
          </c:tx>
          <c:spPr>
            <a:ln w="28575" cap="rnd">
              <a:solidFill>
                <a:srgbClr val="2C9ADC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'Graf 28+29'!$C$38:$K$38</c15:sqref>
                  </c15:fullRef>
                </c:ext>
              </c:extLst>
              <c:f>'Graf 28+29'!$E$38:$K$38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28+29'!$C$39:$K$39</c15:sqref>
                  </c15:fullRef>
                </c:ext>
              </c:extLst>
              <c:f>'Graf 28+29'!$E$39:$K$39</c:f>
              <c:numCache>
                <c:formatCode>0.0</c:formatCode>
                <c:ptCount val="7"/>
                <c:pt idx="0">
                  <c:v>2.8769999999999998</c:v>
                </c:pt>
                <c:pt idx="1">
                  <c:v>2.8838508341083759</c:v>
                </c:pt>
                <c:pt idx="2">
                  <c:v>2.8662661363799677</c:v>
                </c:pt>
                <c:pt idx="3">
                  <c:v>2.9406814386515596</c:v>
                </c:pt>
                <c:pt idx="4">
                  <c:v>3.0580967409231512</c:v>
                </c:pt>
                <c:pt idx="5">
                  <c:v>3.1815120431947426</c:v>
                </c:pt>
                <c:pt idx="6">
                  <c:v>3.2209273454663339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strRef>
              <c:f>'Graf 28+29'!$B$40</c:f>
              <c:strCache>
                <c:ptCount val="1"/>
                <c:pt idx="0">
                  <c:v>Reálny rast daňovo-odvodových príjmov (y-o-y)</c:v>
                </c:pt>
              </c:strCache>
            </c:strRef>
          </c:tx>
          <c:spPr>
            <a:ln w="28575" cap="rnd">
              <a:solidFill>
                <a:sysClr val="window" lastClr="FFFFFF">
                  <a:lumMod val="50000"/>
                </a:sysClr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3.6111111111111108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EF3-4D64-89B7-387C42E1826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543460872801546E-3"/>
                  <c:y val="-2.5599647997641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EF3-4D64-89B7-387C42E1826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8154212778745569E-2"/>
                  <c:y val="3.4206197821639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1111111111111009E-2"/>
                  <c:y val="-4.4894284047827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578981412848873E-3"/>
                  <c:y val="2.4900481008459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EF3-4D64-89B7-387C42E1826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3.857873403207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0"/>
              <c:layout>
                <c:manualLayout>
                  <c:x val="-7.1381380144690647E-17"/>
                  <c:y val="-2.3594947213272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F3-4AA6-A96F-D247ED8DDD91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28+29'!$C$38:$K$38</c15:sqref>
                  </c15:fullRef>
                </c:ext>
              </c:extLst>
              <c:f>'Graf 28+29'!$E$38:$K$38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28+29'!$C$40:$K$40</c15:sqref>
                  </c15:fullRef>
                </c:ext>
              </c:extLst>
              <c:f>'Graf 28+29'!$E$40:$K$40</c:f>
              <c:numCache>
                <c:formatCode>0.0</c:formatCode>
                <c:ptCount val="7"/>
                <c:pt idx="0">
                  <c:v>6.7308240718111811</c:v>
                </c:pt>
                <c:pt idx="1">
                  <c:v>4.5740851349401872</c:v>
                </c:pt>
                <c:pt idx="2">
                  <c:v>5.2735730272851722</c:v>
                </c:pt>
                <c:pt idx="3">
                  <c:v>3.845577281144763</c:v>
                </c:pt>
                <c:pt idx="4">
                  <c:v>4.0817199519290304</c:v>
                </c:pt>
                <c:pt idx="5">
                  <c:v>3.1364957044861752</c:v>
                </c:pt>
                <c:pt idx="6">
                  <c:v>2.4117279224847632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754864"/>
        <c:axId val="325755256"/>
      </c:lineChart>
      <c:catAx>
        <c:axId val="32575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5755256"/>
        <c:crosses val="autoZero"/>
        <c:auto val="1"/>
        <c:lblAlgn val="ctr"/>
        <c:lblOffset val="100"/>
        <c:noMultiLvlLbl val="0"/>
      </c:catAx>
      <c:valAx>
        <c:axId val="325755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575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7447814976916092E-3"/>
          <c:y val="0.86252672269217301"/>
          <c:w val="0.9819313623532907"/>
          <c:h val="0.13434772226256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52945980912501E-2"/>
          <c:y val="3.3711926879144309E-2"/>
          <c:w val="0.90179490042270383"/>
          <c:h val="0.75224894991088176"/>
        </c:manualLayout>
      </c:layout>
      <c:lineChart>
        <c:grouping val="standard"/>
        <c:varyColors val="0"/>
        <c:ser>
          <c:idx val="0"/>
          <c:order val="0"/>
          <c:tx>
            <c:strRef>
              <c:f>'Tab 13 '!$A$20</c:f>
              <c:strCache>
                <c:ptCount val="1"/>
                <c:pt idx="0">
                  <c:v>12. Reálny rast agregátu výdavkov očisteného o príjmové opatrenia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678-4120-94F2-4F9344701CDF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 13 '!$D$4:$J$4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13 '!$D$20:$J$20</c:f>
              <c:numCache>
                <c:formatCode>0.0</c:formatCode>
                <c:ptCount val="7"/>
                <c:pt idx="0">
                  <c:v>5.4018414176171259</c:v>
                </c:pt>
                <c:pt idx="1">
                  <c:v>1.3205720302342572</c:v>
                </c:pt>
                <c:pt idx="2">
                  <c:v>1.573338466134433</c:v>
                </c:pt>
                <c:pt idx="3">
                  <c:v>2.6755993749378648</c:v>
                </c:pt>
                <c:pt idx="4">
                  <c:v>0.75242097656456064</c:v>
                </c:pt>
                <c:pt idx="5">
                  <c:v>2.0503966456655975</c:v>
                </c:pt>
                <c:pt idx="6">
                  <c:v>1.4229783393757689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BF3-4AA6-A96F-D247ED8DDD91}"/>
            </c:ext>
          </c:extLst>
        </c:ser>
        <c:ser>
          <c:idx val="1"/>
          <c:order val="1"/>
          <c:tx>
            <c:strRef>
              <c:f>'Tab 13 '!$A$21</c:f>
              <c:strCache>
                <c:ptCount val="1"/>
                <c:pt idx="0">
                  <c:v>13. Výdavkové pravidlo (znížená referenčná miera pot. rastu HDP)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7787734106789726E-2"/>
                  <c:y val="-3.3711926879144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0657677958376305E-2"/>
                  <c:y val="-2.758248562839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678-4120-94F2-4F9344701CD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5411048723985191E-3"/>
                  <c:y val="6.60411097280983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9.9652436670980794E-17"/>
                  <c:y val="2.4550103474958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3.8578734032076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630-4FF1-AC13-653C6F784D07}"/>
                </c:ext>
                <c:ext xmlns:c15="http://schemas.microsoft.com/office/drawing/2012/chart" uri="{CE6537A1-D6FC-4f65-9D91-7224C49458BB}"/>
              </c:extLst>
            </c:dLbl>
            <c:dLbl>
              <c:idx val="92"/>
              <c:layout>
                <c:manualLayout>
                  <c:x val="-7.1381380144690647E-17"/>
                  <c:y val="-2.3594947213272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F3-4AA6-A96F-D247ED8DDD91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 13 '!$D$4:$J$4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13 '!$D$21:$J$21</c:f>
              <c:numCache>
                <c:formatCode>0.0</c:formatCode>
                <c:ptCount val="7"/>
                <c:pt idx="0">
                  <c:v>2.8769999999999998</c:v>
                </c:pt>
                <c:pt idx="1">
                  <c:v>2.1720568911013736</c:v>
                </c:pt>
                <c:pt idx="2">
                  <c:v>1.6093619894584563</c:v>
                </c:pt>
                <c:pt idx="3">
                  <c:v>1.6953675637911849</c:v>
                </c:pt>
                <c:pt idx="4">
                  <c:v>2.3750351404462489</c:v>
                </c:pt>
                <c:pt idx="5">
                  <c:v>2.5588551057645552</c:v>
                </c:pt>
                <c:pt idx="6">
                  <c:v>3.2209273454663339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BF3-4AA6-A96F-D247ED8DDD91}"/>
            </c:ext>
          </c:extLst>
        </c:ser>
        <c:ser>
          <c:idx val="2"/>
          <c:order val="2"/>
          <c:tx>
            <c:strRef>
              <c:f>'Graf 28+29'!$B$47</c:f>
              <c:strCache>
                <c:ptCount val="1"/>
                <c:pt idx="0">
                  <c:v>Pot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'Tab 13 '!$D$4:$J$4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'Graf 28+29'!$E$39:$K$39</c:f>
              <c:numCache>
                <c:formatCode>0.0</c:formatCode>
                <c:ptCount val="7"/>
                <c:pt idx="0">
                  <c:v>2.8769999999999998</c:v>
                </c:pt>
                <c:pt idx="1">
                  <c:v>2.8838508341083759</c:v>
                </c:pt>
                <c:pt idx="2">
                  <c:v>2.8662661363799677</c:v>
                </c:pt>
                <c:pt idx="3">
                  <c:v>2.9406814386515596</c:v>
                </c:pt>
                <c:pt idx="4">
                  <c:v>3.0580967409231512</c:v>
                </c:pt>
                <c:pt idx="5">
                  <c:v>3.1815120431947426</c:v>
                </c:pt>
                <c:pt idx="6">
                  <c:v>3.2209273454663339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833-419A-99AD-BE646BE8B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756040"/>
        <c:axId val="325756432"/>
      </c:lineChart>
      <c:catAx>
        <c:axId val="325756040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5756432"/>
        <c:crosses val="autoZero"/>
        <c:auto val="1"/>
        <c:lblAlgn val="ctr"/>
        <c:lblOffset val="100"/>
        <c:noMultiLvlLbl val="0"/>
      </c:catAx>
      <c:valAx>
        <c:axId val="32575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5756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368856378753507E-4"/>
          <c:y val="0.86450942510184781"/>
          <c:w val="0.9819313623532907"/>
          <c:h val="0.134347722262565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69058445159145"/>
          <c:y val="0.12541471333424362"/>
          <c:w val="0.85762774019444754"/>
          <c:h val="0.83219607664648854"/>
        </c:manualLayout>
      </c:layout>
      <c:areaChart>
        <c:grouping val="standard"/>
        <c:varyColors val="0"/>
        <c:ser>
          <c:idx val="0"/>
          <c:order val="2"/>
          <c:tx>
            <c:strRef>
              <c:f>'Tab 13 '!$A$28</c:f>
              <c:strCache>
                <c:ptCount val="1"/>
                <c:pt idx="0">
                  <c:v>Limit odchýlky na 1r. horizonte</c:v>
                </c:pt>
              </c:strCache>
            </c:strRef>
          </c:tx>
          <c:spPr>
            <a:pattFill prst="pct30">
              <a:fgClr>
                <a:srgbClr val="FFF3CD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'Tab 13 '!$D$4:$J$4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13 '!$D$28:$J$28</c:f>
              <c:numCache>
                <c:formatCode>0.0</c:formatCode>
                <c:ptCount val="7"/>
                <c:pt idx="0">
                  <c:v>-0.5</c:v>
                </c:pt>
                <c:pt idx="1">
                  <c:v>-0.5</c:v>
                </c:pt>
                <c:pt idx="2">
                  <c:v>-0.5</c:v>
                </c:pt>
                <c:pt idx="3">
                  <c:v>-0.5</c:v>
                </c:pt>
                <c:pt idx="4">
                  <c:v>-0.5</c:v>
                </c:pt>
                <c:pt idx="5">
                  <c:v>-0.5</c:v>
                </c:pt>
                <c:pt idx="6">
                  <c:v>-0.5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E6-4576-8CBC-CED31BF0A0F0}"/>
            </c:ext>
          </c:extLst>
        </c:ser>
        <c:ser>
          <c:idx val="1"/>
          <c:order val="3"/>
          <c:tx>
            <c:strRef>
              <c:f>'Tab 13 '!$A$29</c:f>
              <c:strCache>
                <c:ptCount val="1"/>
                <c:pt idx="0">
                  <c:v>Limit odchýlky na 2r. horizonte</c:v>
                </c:pt>
              </c:strCache>
            </c:strRef>
          </c:tx>
          <c:spPr>
            <a:pattFill prst="pct30">
              <a:fgClr>
                <a:srgbClr val="FFD5D5"/>
              </a:fgClr>
              <a:bgClr>
                <a:schemeClr val="bg1"/>
              </a:bgClr>
            </a:pattFill>
            <a:ln w="25400">
              <a:noFill/>
            </a:ln>
            <a:effectLst/>
          </c:spPr>
          <c:cat>
            <c:numRef>
              <c:f>'Tab 13 '!$D$4:$J$4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13 '!$D$29:$J$29</c:f>
              <c:numCache>
                <c:formatCode>0.0</c:formatCode>
                <c:ptCount val="7"/>
                <c:pt idx="0">
                  <c:v>-0.25</c:v>
                </c:pt>
                <c:pt idx="1">
                  <c:v>-0.25</c:v>
                </c:pt>
                <c:pt idx="2">
                  <c:v>-0.25</c:v>
                </c:pt>
                <c:pt idx="3">
                  <c:v>-0.25</c:v>
                </c:pt>
                <c:pt idx="4">
                  <c:v>-0.25</c:v>
                </c:pt>
                <c:pt idx="5">
                  <c:v>-0.25</c:v>
                </c:pt>
                <c:pt idx="6">
                  <c:v>-0.25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5E6-4576-8CBC-CED31BF0A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609464"/>
        <c:axId val="328609856"/>
      </c:areaChart>
      <c:barChart>
        <c:barDir val="col"/>
        <c:grouping val="clustered"/>
        <c:varyColors val="0"/>
        <c:ser>
          <c:idx val="15"/>
          <c:order val="0"/>
          <c:tx>
            <c:v>Jednoročná odchýlka od výdavkového pravidla</c:v>
          </c:tx>
          <c:spPr>
            <a:solidFill>
              <a:srgbClr val="B0D6AF"/>
            </a:solidFill>
            <a:ln>
              <a:noFill/>
            </a:ln>
            <a:effectLst/>
          </c:spPr>
          <c:invertIfNegative val="1"/>
          <c:dPt>
            <c:idx val="3"/>
            <c:invertIfNegative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65E6-4576-8CBC-CED31BF0A0F0}"/>
              </c:ext>
            </c:extLst>
          </c:dPt>
          <c:dPt>
            <c:idx val="164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65E6-4576-8CBC-CED31BF0A0F0}"/>
              </c:ext>
            </c:extLst>
          </c:dPt>
          <c:dPt>
            <c:idx val="165"/>
            <c:invertIfNegative val="1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65E6-4576-8CBC-CED31BF0A0F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 13 '!$D$4:$J$4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13 '!$D$23:$J$23</c:f>
              <c:numCache>
                <c:formatCode>0.0</c:formatCode>
                <c:ptCount val="7"/>
                <c:pt idx="0">
                  <c:v>-0.92600079654267342</c:v>
                </c:pt>
                <c:pt idx="1">
                  <c:v>0.32370317086436812</c:v>
                </c:pt>
                <c:pt idx="2">
                  <c:v>1.335951595690278E-2</c:v>
                </c:pt>
                <c:pt idx="3">
                  <c:v>-0.35364826481939027</c:v>
                </c:pt>
                <c:pt idx="4">
                  <c:v>0.57084002166457537</c:v>
                </c:pt>
                <c:pt idx="5">
                  <c:v>0.17354897079315074</c:v>
                </c:pt>
                <c:pt idx="6">
                  <c:v>0.60235339499682627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19D-43D7-A34B-27C680BACFEC}"/>
            </c:ex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9C9BA"/>
                  </a:solidFill>
                  <a:ln>
                    <a:noFill/>
                  </a:ln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8609464"/>
        <c:axId val="328609856"/>
      </c:barChart>
      <c:lineChart>
        <c:grouping val="standard"/>
        <c:varyColors val="0"/>
        <c:ser>
          <c:idx val="16"/>
          <c:order val="1"/>
          <c:tx>
            <c:v>Dvojročná odchýlka od výdavkového pravidla</c:v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9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Lbls>
            <c:numFmt formatCode="#,##0.0" sourceLinked="0"/>
            <c:spPr>
              <a:solidFill>
                <a:schemeClr val="bg1"/>
              </a:solidFill>
              <a:ln w="6350"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'Tab 13 '!$D$4:$J$4</c:f>
              <c:numCache>
                <c:formatCode>0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'Tab 13 '!$D$24:$J$24</c:f>
              <c:numCache>
                <c:formatCode>0.0</c:formatCode>
                <c:ptCount val="7"/>
                <c:pt idx="0">
                  <c:v>0.12512119524544579</c:v>
                </c:pt>
                <c:pt idx="1">
                  <c:v>-0.30114881283915262</c:v>
                </c:pt>
                <c:pt idx="2">
                  <c:v>0.16853134341063544</c:v>
                </c:pt>
                <c:pt idx="3">
                  <c:v>-0.17014437443124375</c:v>
                </c:pt>
                <c:pt idx="4">
                  <c:v>0.10859587842259255</c:v>
                </c:pt>
                <c:pt idx="5">
                  <c:v>0.37219449622886303</c:v>
                </c:pt>
                <c:pt idx="6">
                  <c:v>0.38795118289498853</c:v>
                </c:pt>
              </c:numCache>
            </c:numRef>
          </c:val>
          <c:smooth val="0"/>
          <c:extLst xmlns:c16r2="http://schemas.microsoft.com/office/drawing/2015/06/chart" xmlns:c15="http://schemas.microsoft.com/office/drawing/2012/chart">
            <c:ext xmlns:c16="http://schemas.microsoft.com/office/drawing/2014/chart" uri="{C3380CC4-5D6E-409C-BE32-E72D297353CC}">
              <c16:uniqueId val="{00000005-E19D-43D7-A34B-27C680BAC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609464"/>
        <c:axId val="328609856"/>
      </c:lineChart>
      <c:catAx>
        <c:axId val="32860946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high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609856"/>
        <c:crosses val="autoZero"/>
        <c:auto val="1"/>
        <c:lblAlgn val="ctr"/>
        <c:lblOffset val="100"/>
        <c:noMultiLvlLbl val="0"/>
      </c:catAx>
      <c:valAx>
        <c:axId val="32860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prstDash val="sysDot"/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609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3026717511583197"/>
          <c:y val="0.75296045671299638"/>
          <c:w val="0.63513920924137279"/>
          <c:h val="0.2228303123535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803408434657041E-2"/>
          <c:y val="7.3052359769014405E-2"/>
          <c:w val="0.87884761275960332"/>
          <c:h val="0.664777519744269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'Graf 30+31 '!$A$20</c:f>
              <c:strCache>
                <c:ptCount val="1"/>
                <c:pt idx="0">
                  <c:v>PS 2017-2020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</c:spPr>
          <c:invertIfNegative val="0"/>
          <c:val>
            <c:numRef>
              <c:f>'Graf 30+31 '!$B$20:$C$20</c:f>
              <c:numCache>
                <c:formatCode>0.00</c:formatCode>
                <c:ptCount val="2"/>
                <c:pt idx="0">
                  <c:v>-0.16791686993519761</c:v>
                </c:pt>
                <c:pt idx="1">
                  <c:v>0.1649464252480044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4C-437C-9BD0-361F5C9D201E}"/>
            </c:ext>
          </c:extLst>
        </c:ser>
        <c:ser>
          <c:idx val="0"/>
          <c:order val="1"/>
          <c:tx>
            <c:strRef>
              <c:f>'Graf 30+31 '!$A$19</c:f>
              <c:strCache>
                <c:ptCount val="1"/>
                <c:pt idx="0">
                  <c:v>PS 2018-2021</c:v>
                </c:pt>
              </c:strCache>
            </c:strRef>
          </c:tx>
          <c:invertIfNegative val="0"/>
          <c:cat>
            <c:numRef>
              <c:f>'Graf 30+31 '!$B$18:$D$18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'Graf 30+31 '!$B$19:$D$19</c:f>
              <c:numCache>
                <c:formatCode>0.00</c:formatCode>
                <c:ptCount val="3"/>
                <c:pt idx="0">
                  <c:v>0.50593364264864249</c:v>
                </c:pt>
                <c:pt idx="1">
                  <c:v>-5.9872645941538849E-3</c:v>
                </c:pt>
                <c:pt idx="2">
                  <c:v>2.7540244667861202E-2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4C-437C-9BD0-361F5C9D2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611032"/>
        <c:axId val="328611424"/>
      </c:barChart>
      <c:catAx>
        <c:axId val="328611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328611424"/>
        <c:crosses val="autoZero"/>
        <c:auto val="1"/>
        <c:lblAlgn val="ctr"/>
        <c:lblOffset val="100"/>
        <c:noMultiLvlLbl val="0"/>
      </c:catAx>
      <c:valAx>
        <c:axId val="328611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none"/>
        <c:minorTickMark val="none"/>
        <c:tickLblPos val="nextTo"/>
        <c:crossAx val="328611032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2781842404062303"/>
          <c:y val="0.83890046001546814"/>
          <c:w val="0.42476487626199244"/>
          <c:h val="0.10742827978687745"/>
        </c:manualLayout>
      </c:layout>
      <c:overlay val="0"/>
      <c:txPr>
        <a:bodyPr/>
        <a:lstStyle/>
        <a:p>
          <a:pPr>
            <a:defRPr sz="900"/>
          </a:pPr>
          <a:endParaRPr lang="sk-SK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9577427903375673E-2"/>
          <c:y val="3.3854042744781626E-2"/>
          <c:w val="0.9361613213526101"/>
          <c:h val="0.784311308912473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'Graf 30+31 '!$A$42</c:f>
              <c:strCache>
                <c:ptCount val="1"/>
                <c:pt idx="0">
                  <c:v>SP 2017-2020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</c:spPr>
          <c:invertIfNegative val="0"/>
          <c:val>
            <c:numRef>
              <c:f>'Graf 30+31 '!$B$42:$C$42</c:f>
              <c:numCache>
                <c:formatCode>0.00</c:formatCode>
                <c:ptCount val="2"/>
                <c:pt idx="0">
                  <c:v>-0.16791686993519761</c:v>
                </c:pt>
                <c:pt idx="1">
                  <c:v>0.1649464252480044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5FF-4327-882B-8D9031A30FBC}"/>
            </c:ext>
          </c:extLst>
        </c:ser>
        <c:ser>
          <c:idx val="0"/>
          <c:order val="1"/>
          <c:tx>
            <c:strRef>
              <c:f>'Graf 30+31 '!$A$41</c:f>
              <c:strCache>
                <c:ptCount val="1"/>
                <c:pt idx="0">
                  <c:v>SP 2018-2021</c:v>
                </c:pt>
              </c:strCache>
            </c:strRef>
          </c:tx>
          <c:invertIfNegative val="0"/>
          <c:cat>
            <c:numRef>
              <c:f>'Graf 30+31 '!$B$40:$D$40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'Graf 30+31 '!$B$41:$D$41</c:f>
              <c:numCache>
                <c:formatCode>0.00</c:formatCode>
                <c:ptCount val="3"/>
                <c:pt idx="0">
                  <c:v>0.50593364264864249</c:v>
                </c:pt>
                <c:pt idx="1">
                  <c:v>-5.9872645941538849E-3</c:v>
                </c:pt>
                <c:pt idx="2">
                  <c:v>2.7540244667861202E-2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5FF-4327-882B-8D9031A30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612208"/>
        <c:axId val="328612600"/>
      </c:barChart>
      <c:catAx>
        <c:axId val="32861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8612600"/>
        <c:crosses val="autoZero"/>
        <c:auto val="1"/>
        <c:lblAlgn val="ctr"/>
        <c:lblOffset val="100"/>
        <c:noMultiLvlLbl val="0"/>
      </c:catAx>
      <c:valAx>
        <c:axId val="32861260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crossAx val="328612208"/>
        <c:crosses val="autoZero"/>
        <c:crossBetween val="between"/>
        <c:majorUnit val="0.1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03286166719919E-2"/>
          <c:y val="3.884610226641378E-2"/>
          <c:w val="0.87178579421758329"/>
          <c:h val="0.82002413931835161"/>
        </c:manualLayout>
      </c:layout>
      <c:lineChart>
        <c:grouping val="standard"/>
        <c:varyColors val="0"/>
        <c:ser>
          <c:idx val="0"/>
          <c:order val="0"/>
          <c:tx>
            <c:strRef>
              <c:f>'Graf 3+4'!$M$2</c:f>
              <c:strCache>
                <c:ptCount val="1"/>
                <c:pt idx="0">
                  <c:v>S&amp;P 500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43172</c:v>
                </c:pt>
                <c:pt idx="1">
                  <c:v>43171</c:v>
                </c:pt>
                <c:pt idx="2">
                  <c:v>43168</c:v>
                </c:pt>
                <c:pt idx="3">
                  <c:v>43167</c:v>
                </c:pt>
                <c:pt idx="4">
                  <c:v>43166</c:v>
                </c:pt>
                <c:pt idx="5">
                  <c:v>43165</c:v>
                </c:pt>
                <c:pt idx="6">
                  <c:v>43164</c:v>
                </c:pt>
                <c:pt idx="7">
                  <c:v>43161</c:v>
                </c:pt>
                <c:pt idx="8">
                  <c:v>43160</c:v>
                </c:pt>
                <c:pt idx="9">
                  <c:v>43159</c:v>
                </c:pt>
                <c:pt idx="10">
                  <c:v>43158</c:v>
                </c:pt>
                <c:pt idx="11">
                  <c:v>43157</c:v>
                </c:pt>
                <c:pt idx="12">
                  <c:v>43154</c:v>
                </c:pt>
                <c:pt idx="13">
                  <c:v>43153</c:v>
                </c:pt>
                <c:pt idx="14">
                  <c:v>43145</c:v>
                </c:pt>
                <c:pt idx="15">
                  <c:v>43144</c:v>
                </c:pt>
                <c:pt idx="16">
                  <c:v>43143</c:v>
                </c:pt>
                <c:pt idx="17">
                  <c:v>43140</c:v>
                </c:pt>
                <c:pt idx="18">
                  <c:v>43139</c:v>
                </c:pt>
                <c:pt idx="19">
                  <c:v>43138</c:v>
                </c:pt>
                <c:pt idx="20">
                  <c:v>43137</c:v>
                </c:pt>
                <c:pt idx="21">
                  <c:v>43136</c:v>
                </c:pt>
                <c:pt idx="22">
                  <c:v>43133</c:v>
                </c:pt>
                <c:pt idx="23">
                  <c:v>43132</c:v>
                </c:pt>
                <c:pt idx="24">
                  <c:v>43131</c:v>
                </c:pt>
                <c:pt idx="25">
                  <c:v>43130</c:v>
                </c:pt>
                <c:pt idx="26">
                  <c:v>43129</c:v>
                </c:pt>
                <c:pt idx="27">
                  <c:v>43126</c:v>
                </c:pt>
                <c:pt idx="28">
                  <c:v>43125</c:v>
                </c:pt>
                <c:pt idx="29">
                  <c:v>43124</c:v>
                </c:pt>
                <c:pt idx="30">
                  <c:v>43123</c:v>
                </c:pt>
                <c:pt idx="31">
                  <c:v>43122</c:v>
                </c:pt>
                <c:pt idx="32">
                  <c:v>43119</c:v>
                </c:pt>
                <c:pt idx="33">
                  <c:v>43118</c:v>
                </c:pt>
                <c:pt idx="34">
                  <c:v>43117</c:v>
                </c:pt>
                <c:pt idx="35">
                  <c:v>43116</c:v>
                </c:pt>
                <c:pt idx="36">
                  <c:v>43112</c:v>
                </c:pt>
                <c:pt idx="37">
                  <c:v>43111</c:v>
                </c:pt>
                <c:pt idx="38">
                  <c:v>43110</c:v>
                </c:pt>
                <c:pt idx="39">
                  <c:v>43109</c:v>
                </c:pt>
                <c:pt idx="40">
                  <c:v>43108</c:v>
                </c:pt>
                <c:pt idx="41">
                  <c:v>43105</c:v>
                </c:pt>
                <c:pt idx="42">
                  <c:v>43104</c:v>
                </c:pt>
                <c:pt idx="43">
                  <c:v>43103</c:v>
                </c:pt>
                <c:pt idx="44">
                  <c:v>43102</c:v>
                </c:pt>
                <c:pt idx="45">
                  <c:v>43098</c:v>
                </c:pt>
                <c:pt idx="46">
                  <c:v>43097</c:v>
                </c:pt>
                <c:pt idx="47">
                  <c:v>43096</c:v>
                </c:pt>
                <c:pt idx="48">
                  <c:v>43091</c:v>
                </c:pt>
                <c:pt idx="49">
                  <c:v>43090</c:v>
                </c:pt>
                <c:pt idx="50">
                  <c:v>43089</c:v>
                </c:pt>
                <c:pt idx="51">
                  <c:v>43088</c:v>
                </c:pt>
                <c:pt idx="52">
                  <c:v>43087</c:v>
                </c:pt>
                <c:pt idx="53">
                  <c:v>43084</c:v>
                </c:pt>
                <c:pt idx="54">
                  <c:v>43083</c:v>
                </c:pt>
                <c:pt idx="55">
                  <c:v>43082</c:v>
                </c:pt>
                <c:pt idx="56">
                  <c:v>43081</c:v>
                </c:pt>
                <c:pt idx="57">
                  <c:v>43080</c:v>
                </c:pt>
                <c:pt idx="58">
                  <c:v>43077</c:v>
                </c:pt>
                <c:pt idx="59">
                  <c:v>43076</c:v>
                </c:pt>
                <c:pt idx="60">
                  <c:v>43075</c:v>
                </c:pt>
                <c:pt idx="61">
                  <c:v>43074</c:v>
                </c:pt>
                <c:pt idx="62">
                  <c:v>43073</c:v>
                </c:pt>
                <c:pt idx="63">
                  <c:v>43070</c:v>
                </c:pt>
                <c:pt idx="64">
                  <c:v>43069</c:v>
                </c:pt>
                <c:pt idx="65">
                  <c:v>43068</c:v>
                </c:pt>
                <c:pt idx="66">
                  <c:v>43067</c:v>
                </c:pt>
                <c:pt idx="67">
                  <c:v>43066</c:v>
                </c:pt>
                <c:pt idx="68">
                  <c:v>43063</c:v>
                </c:pt>
                <c:pt idx="69">
                  <c:v>43061</c:v>
                </c:pt>
                <c:pt idx="70">
                  <c:v>43060</c:v>
                </c:pt>
                <c:pt idx="71">
                  <c:v>43059</c:v>
                </c:pt>
                <c:pt idx="72">
                  <c:v>43056</c:v>
                </c:pt>
                <c:pt idx="73">
                  <c:v>43055</c:v>
                </c:pt>
                <c:pt idx="74">
                  <c:v>43054</c:v>
                </c:pt>
                <c:pt idx="75">
                  <c:v>43053</c:v>
                </c:pt>
                <c:pt idx="76">
                  <c:v>43052</c:v>
                </c:pt>
                <c:pt idx="77">
                  <c:v>43049</c:v>
                </c:pt>
                <c:pt idx="78">
                  <c:v>43048</c:v>
                </c:pt>
                <c:pt idx="79">
                  <c:v>43047</c:v>
                </c:pt>
                <c:pt idx="80">
                  <c:v>43046</c:v>
                </c:pt>
                <c:pt idx="81">
                  <c:v>43045</c:v>
                </c:pt>
                <c:pt idx="82">
                  <c:v>43042</c:v>
                </c:pt>
                <c:pt idx="83">
                  <c:v>43041</c:v>
                </c:pt>
                <c:pt idx="84">
                  <c:v>43040</c:v>
                </c:pt>
                <c:pt idx="85">
                  <c:v>43038</c:v>
                </c:pt>
                <c:pt idx="86">
                  <c:v>43035</c:v>
                </c:pt>
                <c:pt idx="87">
                  <c:v>43034</c:v>
                </c:pt>
                <c:pt idx="88">
                  <c:v>43033</c:v>
                </c:pt>
                <c:pt idx="89">
                  <c:v>43032</c:v>
                </c:pt>
                <c:pt idx="90">
                  <c:v>43031</c:v>
                </c:pt>
                <c:pt idx="91">
                  <c:v>43028</c:v>
                </c:pt>
                <c:pt idx="92">
                  <c:v>43027</c:v>
                </c:pt>
                <c:pt idx="93">
                  <c:v>43026</c:v>
                </c:pt>
                <c:pt idx="94">
                  <c:v>43025</c:v>
                </c:pt>
                <c:pt idx="95">
                  <c:v>43024</c:v>
                </c:pt>
                <c:pt idx="96">
                  <c:v>43021</c:v>
                </c:pt>
                <c:pt idx="97">
                  <c:v>43020</c:v>
                </c:pt>
                <c:pt idx="98">
                  <c:v>43019</c:v>
                </c:pt>
                <c:pt idx="99">
                  <c:v>43018</c:v>
                </c:pt>
                <c:pt idx="100">
                  <c:v>43017</c:v>
                </c:pt>
                <c:pt idx="101">
                  <c:v>43007</c:v>
                </c:pt>
                <c:pt idx="102">
                  <c:v>43006</c:v>
                </c:pt>
                <c:pt idx="103">
                  <c:v>43005</c:v>
                </c:pt>
                <c:pt idx="104">
                  <c:v>43004</c:v>
                </c:pt>
                <c:pt idx="105">
                  <c:v>43003</c:v>
                </c:pt>
                <c:pt idx="106">
                  <c:v>43000</c:v>
                </c:pt>
                <c:pt idx="107">
                  <c:v>42999</c:v>
                </c:pt>
                <c:pt idx="108">
                  <c:v>42998</c:v>
                </c:pt>
                <c:pt idx="109">
                  <c:v>42997</c:v>
                </c:pt>
                <c:pt idx="110">
                  <c:v>42996</c:v>
                </c:pt>
                <c:pt idx="111">
                  <c:v>42993</c:v>
                </c:pt>
                <c:pt idx="112">
                  <c:v>42992</c:v>
                </c:pt>
                <c:pt idx="113">
                  <c:v>42991</c:v>
                </c:pt>
                <c:pt idx="114">
                  <c:v>42990</c:v>
                </c:pt>
                <c:pt idx="115">
                  <c:v>42989</c:v>
                </c:pt>
                <c:pt idx="116">
                  <c:v>42986</c:v>
                </c:pt>
                <c:pt idx="117">
                  <c:v>42985</c:v>
                </c:pt>
                <c:pt idx="118">
                  <c:v>42984</c:v>
                </c:pt>
                <c:pt idx="119">
                  <c:v>42983</c:v>
                </c:pt>
                <c:pt idx="120">
                  <c:v>42979</c:v>
                </c:pt>
                <c:pt idx="121">
                  <c:v>42978</c:v>
                </c:pt>
                <c:pt idx="122">
                  <c:v>42977</c:v>
                </c:pt>
                <c:pt idx="123">
                  <c:v>42976</c:v>
                </c:pt>
                <c:pt idx="124">
                  <c:v>42975</c:v>
                </c:pt>
                <c:pt idx="125">
                  <c:v>42972</c:v>
                </c:pt>
                <c:pt idx="126">
                  <c:v>42971</c:v>
                </c:pt>
                <c:pt idx="127">
                  <c:v>42970</c:v>
                </c:pt>
                <c:pt idx="128">
                  <c:v>42969</c:v>
                </c:pt>
                <c:pt idx="129">
                  <c:v>42968</c:v>
                </c:pt>
                <c:pt idx="130">
                  <c:v>42965</c:v>
                </c:pt>
                <c:pt idx="131">
                  <c:v>42964</c:v>
                </c:pt>
                <c:pt idx="132">
                  <c:v>42963</c:v>
                </c:pt>
                <c:pt idx="133">
                  <c:v>42962</c:v>
                </c:pt>
                <c:pt idx="134">
                  <c:v>42961</c:v>
                </c:pt>
                <c:pt idx="135">
                  <c:v>42958</c:v>
                </c:pt>
                <c:pt idx="136">
                  <c:v>42957</c:v>
                </c:pt>
                <c:pt idx="137">
                  <c:v>42956</c:v>
                </c:pt>
                <c:pt idx="138">
                  <c:v>42955</c:v>
                </c:pt>
                <c:pt idx="139">
                  <c:v>42954</c:v>
                </c:pt>
                <c:pt idx="140">
                  <c:v>42951</c:v>
                </c:pt>
                <c:pt idx="141">
                  <c:v>42950</c:v>
                </c:pt>
                <c:pt idx="142">
                  <c:v>42949</c:v>
                </c:pt>
                <c:pt idx="143">
                  <c:v>42948</c:v>
                </c:pt>
                <c:pt idx="144">
                  <c:v>42947</c:v>
                </c:pt>
                <c:pt idx="145">
                  <c:v>42944</c:v>
                </c:pt>
                <c:pt idx="146">
                  <c:v>42943</c:v>
                </c:pt>
                <c:pt idx="147">
                  <c:v>42942</c:v>
                </c:pt>
                <c:pt idx="148">
                  <c:v>42941</c:v>
                </c:pt>
                <c:pt idx="149">
                  <c:v>42940</c:v>
                </c:pt>
                <c:pt idx="150">
                  <c:v>42937</c:v>
                </c:pt>
                <c:pt idx="151">
                  <c:v>42936</c:v>
                </c:pt>
                <c:pt idx="152">
                  <c:v>42935</c:v>
                </c:pt>
                <c:pt idx="153">
                  <c:v>42934</c:v>
                </c:pt>
                <c:pt idx="154">
                  <c:v>42933</c:v>
                </c:pt>
                <c:pt idx="155">
                  <c:v>42930</c:v>
                </c:pt>
                <c:pt idx="156">
                  <c:v>42929</c:v>
                </c:pt>
                <c:pt idx="157">
                  <c:v>42928</c:v>
                </c:pt>
                <c:pt idx="158">
                  <c:v>42927</c:v>
                </c:pt>
                <c:pt idx="159">
                  <c:v>42926</c:v>
                </c:pt>
                <c:pt idx="160">
                  <c:v>42923</c:v>
                </c:pt>
                <c:pt idx="161">
                  <c:v>42922</c:v>
                </c:pt>
                <c:pt idx="162">
                  <c:v>42921</c:v>
                </c:pt>
                <c:pt idx="163">
                  <c:v>42919</c:v>
                </c:pt>
                <c:pt idx="164">
                  <c:v>42916</c:v>
                </c:pt>
                <c:pt idx="165">
                  <c:v>42915</c:v>
                </c:pt>
                <c:pt idx="166">
                  <c:v>42914</c:v>
                </c:pt>
                <c:pt idx="167">
                  <c:v>42913</c:v>
                </c:pt>
                <c:pt idx="168">
                  <c:v>42912</c:v>
                </c:pt>
                <c:pt idx="169">
                  <c:v>42909</c:v>
                </c:pt>
                <c:pt idx="170">
                  <c:v>42908</c:v>
                </c:pt>
                <c:pt idx="171">
                  <c:v>42907</c:v>
                </c:pt>
                <c:pt idx="172">
                  <c:v>42906</c:v>
                </c:pt>
                <c:pt idx="173">
                  <c:v>42905</c:v>
                </c:pt>
                <c:pt idx="174">
                  <c:v>42902</c:v>
                </c:pt>
                <c:pt idx="175">
                  <c:v>42901</c:v>
                </c:pt>
                <c:pt idx="176">
                  <c:v>42900</c:v>
                </c:pt>
                <c:pt idx="177">
                  <c:v>42899</c:v>
                </c:pt>
                <c:pt idx="178">
                  <c:v>42898</c:v>
                </c:pt>
                <c:pt idx="179">
                  <c:v>42895</c:v>
                </c:pt>
                <c:pt idx="180">
                  <c:v>42894</c:v>
                </c:pt>
                <c:pt idx="181">
                  <c:v>42893</c:v>
                </c:pt>
                <c:pt idx="182">
                  <c:v>42892</c:v>
                </c:pt>
                <c:pt idx="183">
                  <c:v>42888</c:v>
                </c:pt>
                <c:pt idx="184">
                  <c:v>42887</c:v>
                </c:pt>
                <c:pt idx="185">
                  <c:v>42886</c:v>
                </c:pt>
                <c:pt idx="186">
                  <c:v>42881</c:v>
                </c:pt>
                <c:pt idx="187">
                  <c:v>42880</c:v>
                </c:pt>
                <c:pt idx="188">
                  <c:v>42879</c:v>
                </c:pt>
                <c:pt idx="189">
                  <c:v>42878</c:v>
                </c:pt>
                <c:pt idx="190">
                  <c:v>42877</c:v>
                </c:pt>
                <c:pt idx="191">
                  <c:v>42874</c:v>
                </c:pt>
                <c:pt idx="192">
                  <c:v>42873</c:v>
                </c:pt>
                <c:pt idx="193">
                  <c:v>42872</c:v>
                </c:pt>
                <c:pt idx="194">
                  <c:v>42871</c:v>
                </c:pt>
                <c:pt idx="195">
                  <c:v>42870</c:v>
                </c:pt>
                <c:pt idx="196">
                  <c:v>42867</c:v>
                </c:pt>
                <c:pt idx="197">
                  <c:v>42866</c:v>
                </c:pt>
                <c:pt idx="198">
                  <c:v>42865</c:v>
                </c:pt>
                <c:pt idx="199">
                  <c:v>42864</c:v>
                </c:pt>
                <c:pt idx="200">
                  <c:v>42863</c:v>
                </c:pt>
                <c:pt idx="201">
                  <c:v>42860</c:v>
                </c:pt>
                <c:pt idx="202">
                  <c:v>42859</c:v>
                </c:pt>
                <c:pt idx="203">
                  <c:v>42858</c:v>
                </c:pt>
                <c:pt idx="204">
                  <c:v>42857</c:v>
                </c:pt>
                <c:pt idx="205">
                  <c:v>42853</c:v>
                </c:pt>
                <c:pt idx="206">
                  <c:v>42852</c:v>
                </c:pt>
                <c:pt idx="207">
                  <c:v>42851</c:v>
                </c:pt>
                <c:pt idx="208">
                  <c:v>42850</c:v>
                </c:pt>
                <c:pt idx="209">
                  <c:v>42849</c:v>
                </c:pt>
                <c:pt idx="210">
                  <c:v>42846</c:v>
                </c:pt>
                <c:pt idx="211">
                  <c:v>42845</c:v>
                </c:pt>
                <c:pt idx="212">
                  <c:v>42844</c:v>
                </c:pt>
                <c:pt idx="213">
                  <c:v>42843</c:v>
                </c:pt>
                <c:pt idx="214">
                  <c:v>42838</c:v>
                </c:pt>
                <c:pt idx="215">
                  <c:v>42837</c:v>
                </c:pt>
                <c:pt idx="216">
                  <c:v>42836</c:v>
                </c:pt>
                <c:pt idx="217">
                  <c:v>42835</c:v>
                </c:pt>
                <c:pt idx="218">
                  <c:v>42832</c:v>
                </c:pt>
                <c:pt idx="219">
                  <c:v>42831</c:v>
                </c:pt>
                <c:pt idx="220">
                  <c:v>42830</c:v>
                </c:pt>
                <c:pt idx="221">
                  <c:v>42825</c:v>
                </c:pt>
                <c:pt idx="222">
                  <c:v>42824</c:v>
                </c:pt>
                <c:pt idx="223">
                  <c:v>42823</c:v>
                </c:pt>
                <c:pt idx="224">
                  <c:v>42822</c:v>
                </c:pt>
                <c:pt idx="225">
                  <c:v>42821</c:v>
                </c:pt>
                <c:pt idx="226">
                  <c:v>42818</c:v>
                </c:pt>
                <c:pt idx="227">
                  <c:v>42817</c:v>
                </c:pt>
                <c:pt idx="228">
                  <c:v>42816</c:v>
                </c:pt>
                <c:pt idx="229">
                  <c:v>42815</c:v>
                </c:pt>
                <c:pt idx="230">
                  <c:v>42814</c:v>
                </c:pt>
                <c:pt idx="231">
                  <c:v>42811</c:v>
                </c:pt>
                <c:pt idx="232">
                  <c:v>42810</c:v>
                </c:pt>
                <c:pt idx="233">
                  <c:v>42809</c:v>
                </c:pt>
                <c:pt idx="234">
                  <c:v>42808</c:v>
                </c:pt>
                <c:pt idx="235">
                  <c:v>42807</c:v>
                </c:pt>
                <c:pt idx="236">
                  <c:v>42804</c:v>
                </c:pt>
                <c:pt idx="237">
                  <c:v>42803</c:v>
                </c:pt>
                <c:pt idx="238">
                  <c:v>42802</c:v>
                </c:pt>
                <c:pt idx="239">
                  <c:v>42801</c:v>
                </c:pt>
                <c:pt idx="240">
                  <c:v>42800</c:v>
                </c:pt>
                <c:pt idx="241">
                  <c:v>42797</c:v>
                </c:pt>
                <c:pt idx="242">
                  <c:v>42796</c:v>
                </c:pt>
                <c:pt idx="243">
                  <c:v>42795</c:v>
                </c:pt>
                <c:pt idx="244">
                  <c:v>42794</c:v>
                </c:pt>
                <c:pt idx="245">
                  <c:v>42793</c:v>
                </c:pt>
                <c:pt idx="246">
                  <c:v>42790</c:v>
                </c:pt>
                <c:pt idx="247">
                  <c:v>42789</c:v>
                </c:pt>
                <c:pt idx="248">
                  <c:v>42788</c:v>
                </c:pt>
                <c:pt idx="249">
                  <c:v>42787</c:v>
                </c:pt>
                <c:pt idx="250">
                  <c:v>42783</c:v>
                </c:pt>
                <c:pt idx="251">
                  <c:v>42782</c:v>
                </c:pt>
                <c:pt idx="252">
                  <c:v>42781</c:v>
                </c:pt>
                <c:pt idx="253">
                  <c:v>42780</c:v>
                </c:pt>
                <c:pt idx="254">
                  <c:v>42779</c:v>
                </c:pt>
                <c:pt idx="255">
                  <c:v>42776</c:v>
                </c:pt>
                <c:pt idx="256">
                  <c:v>42775</c:v>
                </c:pt>
                <c:pt idx="257">
                  <c:v>42774</c:v>
                </c:pt>
                <c:pt idx="258">
                  <c:v>42773</c:v>
                </c:pt>
                <c:pt idx="259">
                  <c:v>42772</c:v>
                </c:pt>
                <c:pt idx="260">
                  <c:v>42769</c:v>
                </c:pt>
                <c:pt idx="261">
                  <c:v>42761</c:v>
                </c:pt>
                <c:pt idx="262">
                  <c:v>42760</c:v>
                </c:pt>
                <c:pt idx="263">
                  <c:v>42759</c:v>
                </c:pt>
                <c:pt idx="264">
                  <c:v>42758</c:v>
                </c:pt>
                <c:pt idx="265">
                  <c:v>42755</c:v>
                </c:pt>
                <c:pt idx="266">
                  <c:v>42754</c:v>
                </c:pt>
                <c:pt idx="267">
                  <c:v>42753</c:v>
                </c:pt>
                <c:pt idx="268">
                  <c:v>42752</c:v>
                </c:pt>
                <c:pt idx="269">
                  <c:v>42748</c:v>
                </c:pt>
                <c:pt idx="270">
                  <c:v>42747</c:v>
                </c:pt>
                <c:pt idx="271">
                  <c:v>42746</c:v>
                </c:pt>
                <c:pt idx="272">
                  <c:v>42745</c:v>
                </c:pt>
                <c:pt idx="273">
                  <c:v>42744</c:v>
                </c:pt>
                <c:pt idx="274">
                  <c:v>42741</c:v>
                </c:pt>
                <c:pt idx="275">
                  <c:v>42740</c:v>
                </c:pt>
                <c:pt idx="276">
                  <c:v>42739</c:v>
                </c:pt>
                <c:pt idx="277">
                  <c:v>42738</c:v>
                </c:pt>
                <c:pt idx="278">
                  <c:v>42734</c:v>
                </c:pt>
                <c:pt idx="279">
                  <c:v>42733</c:v>
                </c:pt>
                <c:pt idx="280">
                  <c:v>42732</c:v>
                </c:pt>
                <c:pt idx="281">
                  <c:v>42731</c:v>
                </c:pt>
                <c:pt idx="282">
                  <c:v>42727</c:v>
                </c:pt>
                <c:pt idx="283">
                  <c:v>42726</c:v>
                </c:pt>
                <c:pt idx="284">
                  <c:v>42725</c:v>
                </c:pt>
                <c:pt idx="285">
                  <c:v>42724</c:v>
                </c:pt>
                <c:pt idx="286">
                  <c:v>42723</c:v>
                </c:pt>
                <c:pt idx="287">
                  <c:v>42720</c:v>
                </c:pt>
                <c:pt idx="288">
                  <c:v>42719</c:v>
                </c:pt>
                <c:pt idx="289">
                  <c:v>42718</c:v>
                </c:pt>
                <c:pt idx="290">
                  <c:v>42717</c:v>
                </c:pt>
                <c:pt idx="291">
                  <c:v>42716</c:v>
                </c:pt>
                <c:pt idx="292">
                  <c:v>42713</c:v>
                </c:pt>
                <c:pt idx="293">
                  <c:v>42712</c:v>
                </c:pt>
                <c:pt idx="294">
                  <c:v>42711</c:v>
                </c:pt>
                <c:pt idx="295">
                  <c:v>42710</c:v>
                </c:pt>
                <c:pt idx="296">
                  <c:v>42709</c:v>
                </c:pt>
                <c:pt idx="297">
                  <c:v>42706</c:v>
                </c:pt>
                <c:pt idx="298">
                  <c:v>42705</c:v>
                </c:pt>
                <c:pt idx="299">
                  <c:v>42704</c:v>
                </c:pt>
                <c:pt idx="300">
                  <c:v>42703</c:v>
                </c:pt>
                <c:pt idx="301">
                  <c:v>42702</c:v>
                </c:pt>
                <c:pt idx="302">
                  <c:v>42699</c:v>
                </c:pt>
                <c:pt idx="303">
                  <c:v>42697</c:v>
                </c:pt>
                <c:pt idx="304">
                  <c:v>42696</c:v>
                </c:pt>
                <c:pt idx="305">
                  <c:v>42695</c:v>
                </c:pt>
                <c:pt idx="306">
                  <c:v>42692</c:v>
                </c:pt>
                <c:pt idx="307">
                  <c:v>42691</c:v>
                </c:pt>
                <c:pt idx="308">
                  <c:v>42690</c:v>
                </c:pt>
                <c:pt idx="309">
                  <c:v>42689</c:v>
                </c:pt>
                <c:pt idx="310">
                  <c:v>42688</c:v>
                </c:pt>
                <c:pt idx="311">
                  <c:v>42685</c:v>
                </c:pt>
                <c:pt idx="312">
                  <c:v>42684</c:v>
                </c:pt>
                <c:pt idx="313">
                  <c:v>42683</c:v>
                </c:pt>
                <c:pt idx="314">
                  <c:v>42682</c:v>
                </c:pt>
                <c:pt idx="315">
                  <c:v>42681</c:v>
                </c:pt>
                <c:pt idx="316">
                  <c:v>42678</c:v>
                </c:pt>
                <c:pt idx="317">
                  <c:v>42677</c:v>
                </c:pt>
                <c:pt idx="318">
                  <c:v>42676</c:v>
                </c:pt>
                <c:pt idx="319">
                  <c:v>42675</c:v>
                </c:pt>
                <c:pt idx="320">
                  <c:v>42674</c:v>
                </c:pt>
                <c:pt idx="321">
                  <c:v>42671</c:v>
                </c:pt>
                <c:pt idx="322">
                  <c:v>42670</c:v>
                </c:pt>
                <c:pt idx="323">
                  <c:v>42669</c:v>
                </c:pt>
                <c:pt idx="324">
                  <c:v>42668</c:v>
                </c:pt>
                <c:pt idx="325">
                  <c:v>42667</c:v>
                </c:pt>
                <c:pt idx="326">
                  <c:v>42664</c:v>
                </c:pt>
                <c:pt idx="327">
                  <c:v>42663</c:v>
                </c:pt>
                <c:pt idx="328">
                  <c:v>42662</c:v>
                </c:pt>
                <c:pt idx="329">
                  <c:v>42661</c:v>
                </c:pt>
                <c:pt idx="330">
                  <c:v>42660</c:v>
                </c:pt>
                <c:pt idx="331">
                  <c:v>42657</c:v>
                </c:pt>
                <c:pt idx="332">
                  <c:v>42656</c:v>
                </c:pt>
                <c:pt idx="333">
                  <c:v>42655</c:v>
                </c:pt>
                <c:pt idx="334">
                  <c:v>42654</c:v>
                </c:pt>
                <c:pt idx="335">
                  <c:v>42653</c:v>
                </c:pt>
                <c:pt idx="336">
                  <c:v>42643</c:v>
                </c:pt>
                <c:pt idx="337">
                  <c:v>42642</c:v>
                </c:pt>
                <c:pt idx="338">
                  <c:v>42641</c:v>
                </c:pt>
                <c:pt idx="339">
                  <c:v>42640</c:v>
                </c:pt>
                <c:pt idx="340">
                  <c:v>42639</c:v>
                </c:pt>
                <c:pt idx="341">
                  <c:v>42636</c:v>
                </c:pt>
                <c:pt idx="342">
                  <c:v>42635</c:v>
                </c:pt>
                <c:pt idx="343">
                  <c:v>42634</c:v>
                </c:pt>
                <c:pt idx="344">
                  <c:v>42633</c:v>
                </c:pt>
                <c:pt idx="345">
                  <c:v>42632</c:v>
                </c:pt>
                <c:pt idx="346">
                  <c:v>42627</c:v>
                </c:pt>
                <c:pt idx="347">
                  <c:v>42626</c:v>
                </c:pt>
                <c:pt idx="348">
                  <c:v>42625</c:v>
                </c:pt>
                <c:pt idx="349">
                  <c:v>42622</c:v>
                </c:pt>
                <c:pt idx="350">
                  <c:v>42621</c:v>
                </c:pt>
                <c:pt idx="351">
                  <c:v>42620</c:v>
                </c:pt>
                <c:pt idx="352">
                  <c:v>42619</c:v>
                </c:pt>
                <c:pt idx="353">
                  <c:v>42615</c:v>
                </c:pt>
                <c:pt idx="354">
                  <c:v>42614</c:v>
                </c:pt>
                <c:pt idx="355">
                  <c:v>42613</c:v>
                </c:pt>
                <c:pt idx="356">
                  <c:v>42612</c:v>
                </c:pt>
                <c:pt idx="357">
                  <c:v>42611</c:v>
                </c:pt>
                <c:pt idx="358">
                  <c:v>42608</c:v>
                </c:pt>
                <c:pt idx="359">
                  <c:v>42607</c:v>
                </c:pt>
                <c:pt idx="360">
                  <c:v>42606</c:v>
                </c:pt>
                <c:pt idx="361">
                  <c:v>42605</c:v>
                </c:pt>
                <c:pt idx="362">
                  <c:v>42604</c:v>
                </c:pt>
                <c:pt idx="363">
                  <c:v>42601</c:v>
                </c:pt>
                <c:pt idx="364">
                  <c:v>42600</c:v>
                </c:pt>
                <c:pt idx="365">
                  <c:v>42599</c:v>
                </c:pt>
                <c:pt idx="366">
                  <c:v>42598</c:v>
                </c:pt>
                <c:pt idx="367">
                  <c:v>42597</c:v>
                </c:pt>
                <c:pt idx="368">
                  <c:v>42594</c:v>
                </c:pt>
                <c:pt idx="369">
                  <c:v>42593</c:v>
                </c:pt>
                <c:pt idx="370">
                  <c:v>42592</c:v>
                </c:pt>
                <c:pt idx="371">
                  <c:v>42591</c:v>
                </c:pt>
                <c:pt idx="372">
                  <c:v>42590</c:v>
                </c:pt>
                <c:pt idx="373">
                  <c:v>42587</c:v>
                </c:pt>
                <c:pt idx="374">
                  <c:v>42586</c:v>
                </c:pt>
                <c:pt idx="375">
                  <c:v>42585</c:v>
                </c:pt>
                <c:pt idx="376">
                  <c:v>42584</c:v>
                </c:pt>
                <c:pt idx="377">
                  <c:v>42583</c:v>
                </c:pt>
                <c:pt idx="378">
                  <c:v>42580</c:v>
                </c:pt>
                <c:pt idx="379">
                  <c:v>42579</c:v>
                </c:pt>
                <c:pt idx="380">
                  <c:v>42578</c:v>
                </c:pt>
                <c:pt idx="381">
                  <c:v>42577</c:v>
                </c:pt>
                <c:pt idx="382">
                  <c:v>42576</c:v>
                </c:pt>
                <c:pt idx="383">
                  <c:v>42573</c:v>
                </c:pt>
                <c:pt idx="384">
                  <c:v>42572</c:v>
                </c:pt>
                <c:pt idx="385">
                  <c:v>42571</c:v>
                </c:pt>
                <c:pt idx="386">
                  <c:v>42570</c:v>
                </c:pt>
                <c:pt idx="387">
                  <c:v>42569</c:v>
                </c:pt>
                <c:pt idx="388">
                  <c:v>42566</c:v>
                </c:pt>
                <c:pt idx="389">
                  <c:v>42565</c:v>
                </c:pt>
                <c:pt idx="390">
                  <c:v>42564</c:v>
                </c:pt>
                <c:pt idx="391">
                  <c:v>42563</c:v>
                </c:pt>
                <c:pt idx="392">
                  <c:v>42562</c:v>
                </c:pt>
                <c:pt idx="393">
                  <c:v>42559</c:v>
                </c:pt>
                <c:pt idx="394">
                  <c:v>42558</c:v>
                </c:pt>
                <c:pt idx="395">
                  <c:v>42557</c:v>
                </c:pt>
                <c:pt idx="396">
                  <c:v>42556</c:v>
                </c:pt>
                <c:pt idx="397">
                  <c:v>42552</c:v>
                </c:pt>
                <c:pt idx="398">
                  <c:v>42551</c:v>
                </c:pt>
                <c:pt idx="399">
                  <c:v>42550</c:v>
                </c:pt>
                <c:pt idx="400">
                  <c:v>42549</c:v>
                </c:pt>
                <c:pt idx="401">
                  <c:v>42548</c:v>
                </c:pt>
                <c:pt idx="402">
                  <c:v>42545</c:v>
                </c:pt>
                <c:pt idx="403">
                  <c:v>42544</c:v>
                </c:pt>
                <c:pt idx="404">
                  <c:v>42543</c:v>
                </c:pt>
                <c:pt idx="405">
                  <c:v>42542</c:v>
                </c:pt>
                <c:pt idx="406">
                  <c:v>42541</c:v>
                </c:pt>
                <c:pt idx="407">
                  <c:v>42538</c:v>
                </c:pt>
                <c:pt idx="408">
                  <c:v>42537</c:v>
                </c:pt>
                <c:pt idx="409">
                  <c:v>42536</c:v>
                </c:pt>
                <c:pt idx="410">
                  <c:v>42535</c:v>
                </c:pt>
                <c:pt idx="411">
                  <c:v>42534</c:v>
                </c:pt>
                <c:pt idx="412">
                  <c:v>42529</c:v>
                </c:pt>
                <c:pt idx="413">
                  <c:v>42528</c:v>
                </c:pt>
                <c:pt idx="414">
                  <c:v>42527</c:v>
                </c:pt>
                <c:pt idx="415">
                  <c:v>42524</c:v>
                </c:pt>
                <c:pt idx="416">
                  <c:v>42523</c:v>
                </c:pt>
                <c:pt idx="417">
                  <c:v>42522</c:v>
                </c:pt>
                <c:pt idx="418">
                  <c:v>42521</c:v>
                </c:pt>
                <c:pt idx="419">
                  <c:v>42517</c:v>
                </c:pt>
                <c:pt idx="420">
                  <c:v>42516</c:v>
                </c:pt>
                <c:pt idx="421">
                  <c:v>42515</c:v>
                </c:pt>
                <c:pt idx="422">
                  <c:v>42514</c:v>
                </c:pt>
                <c:pt idx="423">
                  <c:v>42513</c:v>
                </c:pt>
                <c:pt idx="424">
                  <c:v>42510</c:v>
                </c:pt>
                <c:pt idx="425">
                  <c:v>42509</c:v>
                </c:pt>
                <c:pt idx="426">
                  <c:v>42508</c:v>
                </c:pt>
                <c:pt idx="427">
                  <c:v>42507</c:v>
                </c:pt>
                <c:pt idx="428">
                  <c:v>42503</c:v>
                </c:pt>
                <c:pt idx="429">
                  <c:v>42502</c:v>
                </c:pt>
                <c:pt idx="430">
                  <c:v>42501</c:v>
                </c:pt>
                <c:pt idx="431">
                  <c:v>42500</c:v>
                </c:pt>
                <c:pt idx="432">
                  <c:v>42499</c:v>
                </c:pt>
                <c:pt idx="433">
                  <c:v>42496</c:v>
                </c:pt>
                <c:pt idx="434">
                  <c:v>42495</c:v>
                </c:pt>
                <c:pt idx="435">
                  <c:v>42494</c:v>
                </c:pt>
                <c:pt idx="436">
                  <c:v>42493</c:v>
                </c:pt>
                <c:pt idx="437">
                  <c:v>42489</c:v>
                </c:pt>
                <c:pt idx="438">
                  <c:v>42488</c:v>
                </c:pt>
                <c:pt idx="439">
                  <c:v>42487</c:v>
                </c:pt>
                <c:pt idx="440">
                  <c:v>42486</c:v>
                </c:pt>
                <c:pt idx="441">
                  <c:v>42485</c:v>
                </c:pt>
                <c:pt idx="442">
                  <c:v>42482</c:v>
                </c:pt>
                <c:pt idx="443">
                  <c:v>42481</c:v>
                </c:pt>
                <c:pt idx="444">
                  <c:v>42480</c:v>
                </c:pt>
                <c:pt idx="445">
                  <c:v>42479</c:v>
                </c:pt>
                <c:pt idx="446">
                  <c:v>42478</c:v>
                </c:pt>
                <c:pt idx="447">
                  <c:v>42475</c:v>
                </c:pt>
                <c:pt idx="448">
                  <c:v>42474</c:v>
                </c:pt>
                <c:pt idx="449">
                  <c:v>42473</c:v>
                </c:pt>
                <c:pt idx="450">
                  <c:v>42472</c:v>
                </c:pt>
                <c:pt idx="451">
                  <c:v>42471</c:v>
                </c:pt>
                <c:pt idx="452">
                  <c:v>42468</c:v>
                </c:pt>
                <c:pt idx="453">
                  <c:v>42467</c:v>
                </c:pt>
                <c:pt idx="454">
                  <c:v>42466</c:v>
                </c:pt>
                <c:pt idx="455">
                  <c:v>42465</c:v>
                </c:pt>
                <c:pt idx="456">
                  <c:v>42461</c:v>
                </c:pt>
                <c:pt idx="457">
                  <c:v>42460</c:v>
                </c:pt>
                <c:pt idx="458">
                  <c:v>42459</c:v>
                </c:pt>
                <c:pt idx="459">
                  <c:v>42458</c:v>
                </c:pt>
                <c:pt idx="460">
                  <c:v>42453</c:v>
                </c:pt>
                <c:pt idx="461">
                  <c:v>42452</c:v>
                </c:pt>
                <c:pt idx="462">
                  <c:v>42451</c:v>
                </c:pt>
                <c:pt idx="463">
                  <c:v>42450</c:v>
                </c:pt>
                <c:pt idx="464">
                  <c:v>42447</c:v>
                </c:pt>
                <c:pt idx="465">
                  <c:v>42446</c:v>
                </c:pt>
                <c:pt idx="466">
                  <c:v>42445</c:v>
                </c:pt>
                <c:pt idx="467">
                  <c:v>42444</c:v>
                </c:pt>
                <c:pt idx="468">
                  <c:v>42443</c:v>
                </c:pt>
                <c:pt idx="469">
                  <c:v>42440</c:v>
                </c:pt>
                <c:pt idx="470">
                  <c:v>42439</c:v>
                </c:pt>
                <c:pt idx="471">
                  <c:v>42438</c:v>
                </c:pt>
                <c:pt idx="472">
                  <c:v>42437</c:v>
                </c:pt>
                <c:pt idx="473">
                  <c:v>42436</c:v>
                </c:pt>
                <c:pt idx="474">
                  <c:v>42433</c:v>
                </c:pt>
                <c:pt idx="475">
                  <c:v>42432</c:v>
                </c:pt>
                <c:pt idx="476">
                  <c:v>42431</c:v>
                </c:pt>
                <c:pt idx="477">
                  <c:v>42430</c:v>
                </c:pt>
                <c:pt idx="478">
                  <c:v>42429</c:v>
                </c:pt>
                <c:pt idx="479">
                  <c:v>42426</c:v>
                </c:pt>
                <c:pt idx="480">
                  <c:v>42425</c:v>
                </c:pt>
                <c:pt idx="481">
                  <c:v>42424</c:v>
                </c:pt>
                <c:pt idx="482">
                  <c:v>42423</c:v>
                </c:pt>
                <c:pt idx="483">
                  <c:v>42422</c:v>
                </c:pt>
                <c:pt idx="484">
                  <c:v>42419</c:v>
                </c:pt>
                <c:pt idx="485">
                  <c:v>42418</c:v>
                </c:pt>
                <c:pt idx="486">
                  <c:v>42417</c:v>
                </c:pt>
                <c:pt idx="487">
                  <c:v>42416</c:v>
                </c:pt>
                <c:pt idx="488">
                  <c:v>42405</c:v>
                </c:pt>
                <c:pt idx="489">
                  <c:v>42404</c:v>
                </c:pt>
                <c:pt idx="490">
                  <c:v>42403</c:v>
                </c:pt>
                <c:pt idx="491">
                  <c:v>42402</c:v>
                </c:pt>
                <c:pt idx="492">
                  <c:v>42401</c:v>
                </c:pt>
                <c:pt idx="493">
                  <c:v>42398</c:v>
                </c:pt>
                <c:pt idx="494">
                  <c:v>42397</c:v>
                </c:pt>
                <c:pt idx="495">
                  <c:v>42396</c:v>
                </c:pt>
                <c:pt idx="496">
                  <c:v>42395</c:v>
                </c:pt>
                <c:pt idx="497">
                  <c:v>42394</c:v>
                </c:pt>
                <c:pt idx="498">
                  <c:v>42391</c:v>
                </c:pt>
                <c:pt idx="499">
                  <c:v>42390</c:v>
                </c:pt>
                <c:pt idx="500">
                  <c:v>42389</c:v>
                </c:pt>
                <c:pt idx="501">
                  <c:v>42388</c:v>
                </c:pt>
                <c:pt idx="502">
                  <c:v>42384</c:v>
                </c:pt>
                <c:pt idx="503">
                  <c:v>42383</c:v>
                </c:pt>
                <c:pt idx="504">
                  <c:v>42382</c:v>
                </c:pt>
                <c:pt idx="505">
                  <c:v>42381</c:v>
                </c:pt>
                <c:pt idx="506">
                  <c:v>42380</c:v>
                </c:pt>
                <c:pt idx="507">
                  <c:v>42377</c:v>
                </c:pt>
                <c:pt idx="508">
                  <c:v>42376</c:v>
                </c:pt>
                <c:pt idx="509">
                  <c:v>42375</c:v>
                </c:pt>
                <c:pt idx="510">
                  <c:v>42374</c:v>
                </c:pt>
                <c:pt idx="511">
                  <c:v>42373</c:v>
                </c:pt>
              </c:numCache>
            </c:numRef>
          </c:cat>
          <c:val>
            <c:numRef>
              <c:f>'Graf 3+4'!$M$3:$M$567</c:f>
              <c:numCache>
                <c:formatCode>General</c:formatCode>
                <c:ptCount val="565"/>
                <c:pt idx="0">
                  <c:v>1.3887690916498563</c:v>
                </c:pt>
                <c:pt idx="1">
                  <c:v>1.3827571472578577</c:v>
                </c:pt>
                <c:pt idx="2">
                  <c:v>1.3845209821827831</c:v>
                </c:pt>
                <c:pt idx="3">
                  <c:v>1.360870688541532</c:v>
                </c:pt>
                <c:pt idx="4">
                  <c:v>1.3548239643059434</c:v>
                </c:pt>
                <c:pt idx="5">
                  <c:v>1.3554798127850705</c:v>
                </c:pt>
                <c:pt idx="6">
                  <c:v>1.3519123945425457</c:v>
                </c:pt>
                <c:pt idx="7">
                  <c:v>1.3371607723112695</c:v>
                </c:pt>
                <c:pt idx="8">
                  <c:v>1.3304134826547951</c:v>
                </c:pt>
                <c:pt idx="9">
                  <c:v>1.3483797561436108</c:v>
                </c:pt>
                <c:pt idx="10">
                  <c:v>1.3635089881052935</c:v>
                </c:pt>
                <c:pt idx="11">
                  <c:v>1.3810579034710282</c:v>
                </c:pt>
                <c:pt idx="12">
                  <c:v>1.365009489928751</c:v>
                </c:pt>
                <c:pt idx="13">
                  <c:v>1.3434757981974104</c:v>
                </c:pt>
                <c:pt idx="14">
                  <c:v>1.3408275615354803</c:v>
                </c:pt>
                <c:pt idx="15">
                  <c:v>1.3230948098536266</c:v>
                </c:pt>
                <c:pt idx="16">
                  <c:v>1.3196466367891249</c:v>
                </c:pt>
                <c:pt idx="17">
                  <c:v>1.3015362753768644</c:v>
                </c:pt>
                <c:pt idx="18">
                  <c:v>1.2823825186569018</c:v>
                </c:pt>
                <c:pt idx="19">
                  <c:v>1.3323959337394293</c:v>
                </c:pt>
                <c:pt idx="20">
                  <c:v>1.3390935379050608</c:v>
                </c:pt>
                <c:pt idx="21">
                  <c:v>1.3161388411356116</c:v>
                </c:pt>
                <c:pt idx="22">
                  <c:v>1.3723778482207625</c:v>
                </c:pt>
                <c:pt idx="23">
                  <c:v>1.4021146144902765</c:v>
                </c:pt>
                <c:pt idx="24">
                  <c:v>1.4030238589727027</c:v>
                </c:pt>
                <c:pt idx="25">
                  <c:v>1.4023381991990698</c:v>
                </c:pt>
                <c:pt idx="26">
                  <c:v>1.4177903868512318</c:v>
                </c:pt>
                <c:pt idx="27">
                  <c:v>1.4273995607802608</c:v>
                </c:pt>
                <c:pt idx="28">
                  <c:v>1.4106952987588564</c:v>
                </c:pt>
                <c:pt idx="29">
                  <c:v>1.4098456768654417</c:v>
                </c:pt>
                <c:pt idx="30">
                  <c:v>1.4106356761698449</c:v>
                </c:pt>
                <c:pt idx="31">
                  <c:v>1.4075750499339181</c:v>
                </c:pt>
                <c:pt idx="32">
                  <c:v>1.3963113491598185</c:v>
                </c:pt>
                <c:pt idx="33">
                  <c:v>1.3902149394333867</c:v>
                </c:pt>
                <c:pt idx="34">
                  <c:v>1.3924656921685727</c:v>
                </c:pt>
                <c:pt idx="35">
                  <c:v>1.3794779048622221</c:v>
                </c:pt>
                <c:pt idx="36">
                  <c:v>1.3843570200630011</c:v>
                </c:pt>
                <c:pt idx="37">
                  <c:v>1.3750757703735355</c:v>
                </c:pt>
                <c:pt idx="38">
                  <c:v>1.3654715649935905</c:v>
                </c:pt>
                <c:pt idx="39">
                  <c:v>1.3669919410133853</c:v>
                </c:pt>
                <c:pt idx="40">
                  <c:v>1.3652132004412072</c:v>
                </c:pt>
                <c:pt idx="41">
                  <c:v>1.362947542058768</c:v>
                </c:pt>
                <c:pt idx="42">
                  <c:v>1.353427802013256</c:v>
                </c:pt>
                <c:pt idx="43">
                  <c:v>1.34799717786412</c:v>
                </c:pt>
                <c:pt idx="44">
                  <c:v>1.3394264306937087</c:v>
                </c:pt>
                <c:pt idx="45">
                  <c:v>1.3283962517265708</c:v>
                </c:pt>
                <c:pt idx="46">
                  <c:v>1.3353174406009956</c:v>
                </c:pt>
                <c:pt idx="47">
                  <c:v>1.3328729144515217</c:v>
                </c:pt>
                <c:pt idx="48">
                  <c:v>1.3332306499855913</c:v>
                </c:pt>
                <c:pt idx="49">
                  <c:v>1.3338417815229597</c:v>
                </c:pt>
                <c:pt idx="50">
                  <c:v>1.3311985134101139</c:v>
                </c:pt>
                <c:pt idx="51">
                  <c:v>1.3323015313068276</c:v>
                </c:pt>
                <c:pt idx="52">
                  <c:v>1.3366192004610813</c:v>
                </c:pt>
                <c:pt idx="53">
                  <c:v>1.329489332525116</c:v>
                </c:pt>
                <c:pt idx="54">
                  <c:v>1.3176641857044906</c:v>
                </c:pt>
                <c:pt idx="55">
                  <c:v>1.3230500929118678</c:v>
                </c:pt>
                <c:pt idx="56">
                  <c:v>1.3236761300964892</c:v>
                </c:pt>
                <c:pt idx="57">
                  <c:v>1.3216290878737589</c:v>
                </c:pt>
                <c:pt idx="58">
                  <c:v>1.3174107897011913</c:v>
                </c:pt>
                <c:pt idx="59">
                  <c:v>1.3101964564307931</c:v>
                </c:pt>
                <c:pt idx="60">
                  <c:v>1.3063657050868005</c:v>
                </c:pt>
                <c:pt idx="61">
                  <c:v>1.3065147615593296</c:v>
                </c:pt>
                <c:pt idx="62">
                  <c:v>1.31141871950553</c:v>
                </c:pt>
                <c:pt idx="63">
                  <c:v>1.3127999761509643</c:v>
                </c:pt>
                <c:pt idx="64">
                  <c:v>1.3154631184601471</c:v>
                </c:pt>
                <c:pt idx="65">
                  <c:v>1.3047757693798256</c:v>
                </c:pt>
                <c:pt idx="66">
                  <c:v>1.3052577186410024</c:v>
                </c:pt>
                <c:pt idx="67">
                  <c:v>1.292528295887035</c:v>
                </c:pt>
                <c:pt idx="68">
                  <c:v>1.2930251507954647</c:v>
                </c:pt>
                <c:pt idx="69">
                  <c:v>1.2903719455844502</c:v>
                </c:pt>
                <c:pt idx="70">
                  <c:v>1.2913408126558883</c:v>
                </c:pt>
                <c:pt idx="71">
                  <c:v>1.2829489332525115</c:v>
                </c:pt>
                <c:pt idx="72">
                  <c:v>1.2813142806037781</c:v>
                </c:pt>
                <c:pt idx="73">
                  <c:v>1.2846879254320152</c:v>
                </c:pt>
                <c:pt idx="74">
                  <c:v>1.2742440352568243</c:v>
                </c:pt>
                <c:pt idx="75">
                  <c:v>1.2813242177019466</c:v>
                </c:pt>
                <c:pt idx="76">
                  <c:v>1.2842904415052716</c:v>
                </c:pt>
                <c:pt idx="77">
                  <c:v>1.2830284300378605</c:v>
                </c:pt>
                <c:pt idx="78">
                  <c:v>1.284181133425417</c:v>
                </c:pt>
                <c:pt idx="79">
                  <c:v>1.2890304373316903</c:v>
                </c:pt>
                <c:pt idx="80">
                  <c:v>1.2871721999741634</c:v>
                </c:pt>
                <c:pt idx="81">
                  <c:v>1.287415658879294</c:v>
                </c:pt>
                <c:pt idx="82">
                  <c:v>1.2857810062305606</c:v>
                </c:pt>
                <c:pt idx="83">
                  <c:v>1.2818111355122077</c:v>
                </c:pt>
                <c:pt idx="84">
                  <c:v>1.2815676766070772</c:v>
                </c:pt>
                <c:pt idx="85">
                  <c:v>1.2783232140550316</c:v>
                </c:pt>
                <c:pt idx="86">
                  <c:v>1.282417298500492</c:v>
                </c:pt>
                <c:pt idx="87">
                  <c:v>1.2721473075432512</c:v>
                </c:pt>
                <c:pt idx="88">
                  <c:v>1.2705325290908549</c:v>
                </c:pt>
                <c:pt idx="89">
                  <c:v>1.276484850893842</c:v>
                </c:pt>
                <c:pt idx="90">
                  <c:v>1.274422903023859</c:v>
                </c:pt>
                <c:pt idx="91">
                  <c:v>1.2795057287370941</c:v>
                </c:pt>
                <c:pt idx="92">
                  <c:v>1.2729919608875815</c:v>
                </c:pt>
                <c:pt idx="93">
                  <c:v>1.2725746027645009</c:v>
                </c:pt>
                <c:pt idx="94">
                  <c:v>1.2716305784384845</c:v>
                </c:pt>
                <c:pt idx="95">
                  <c:v>1.2707759879959852</c:v>
                </c:pt>
                <c:pt idx="96">
                  <c:v>1.2685550465553048</c:v>
                </c:pt>
                <c:pt idx="97">
                  <c:v>1.2674420915604223</c:v>
                </c:pt>
                <c:pt idx="98">
                  <c:v>1.2695835362157541</c:v>
                </c:pt>
                <c:pt idx="99">
                  <c:v>1.2672980036369779</c:v>
                </c:pt>
                <c:pt idx="100">
                  <c:v>1.2643615911281587</c:v>
                </c:pt>
                <c:pt idx="101">
                  <c:v>1.2517563821012987</c:v>
                </c:pt>
                <c:pt idx="102">
                  <c:v>1.247135631452903</c:v>
                </c:pt>
                <c:pt idx="103">
                  <c:v>1.2456351296294454</c:v>
                </c:pt>
                <c:pt idx="104">
                  <c:v>1.2405672095634632</c:v>
                </c:pt>
                <c:pt idx="105">
                  <c:v>1.2404777756799459</c:v>
                </c:pt>
                <c:pt idx="106">
                  <c:v>1.2432402889708145</c:v>
                </c:pt>
                <c:pt idx="107">
                  <c:v>1.2424353840191587</c:v>
                </c:pt>
                <c:pt idx="108">
                  <c:v>1.246231355519561</c:v>
                </c:pt>
                <c:pt idx="109">
                  <c:v>1.2454413562151581</c:v>
                </c:pt>
                <c:pt idx="110">
                  <c:v>1.2440600995697235</c:v>
                </c:pt>
                <c:pt idx="111">
                  <c:v>1.2422515477030398</c:v>
                </c:pt>
                <c:pt idx="112">
                  <c:v>1.2399610465751789</c:v>
                </c:pt>
                <c:pt idx="113">
                  <c:v>1.2413273975733605</c:v>
                </c:pt>
                <c:pt idx="114">
                  <c:v>1.2403883417964285</c:v>
                </c:pt>
                <c:pt idx="115">
                  <c:v>1.2362296662128724</c:v>
                </c:pt>
                <c:pt idx="116">
                  <c:v>1.2229735772559696</c:v>
                </c:pt>
                <c:pt idx="117">
                  <c:v>1.2247970347699064</c:v>
                </c:pt>
                <c:pt idx="118">
                  <c:v>1.2250156509296155</c:v>
                </c:pt>
                <c:pt idx="119">
                  <c:v>1.2211948366837915</c:v>
                </c:pt>
                <c:pt idx="120">
                  <c:v>1.2304860234714259</c:v>
                </c:pt>
                <c:pt idx="121">
                  <c:v>1.2280514344201205</c:v>
                </c:pt>
                <c:pt idx="122">
                  <c:v>1.2210656544076</c:v>
                </c:pt>
                <c:pt idx="123">
                  <c:v>1.2154561624914293</c:v>
                </c:pt>
                <c:pt idx="124">
                  <c:v>1.2144326413800641</c:v>
                </c:pt>
                <c:pt idx="125">
                  <c:v>1.213841384039033</c:v>
                </c:pt>
                <c:pt idx="126">
                  <c:v>1.2118142160126399</c:v>
                </c:pt>
                <c:pt idx="127">
                  <c:v>1.2143332703983782</c:v>
                </c:pt>
                <c:pt idx="128">
                  <c:v>1.2185416314727773</c:v>
                </c:pt>
                <c:pt idx="129">
                  <c:v>1.2065475539832857</c:v>
                </c:pt>
                <c:pt idx="130">
                  <c:v>1.2051464231415143</c:v>
                </c:pt>
                <c:pt idx="131">
                  <c:v>1.2073623960331106</c:v>
                </c:pt>
                <c:pt idx="132">
                  <c:v>1.2262925680442798</c:v>
                </c:pt>
                <c:pt idx="133">
                  <c:v>1.2245535758647761</c:v>
                </c:pt>
                <c:pt idx="134">
                  <c:v>1.2251647074021443</c:v>
                </c:pt>
                <c:pt idx="135">
                  <c:v>1.2129818250474498</c:v>
                </c:pt>
                <c:pt idx="136">
                  <c:v>1.2114366062822335</c:v>
                </c:pt>
                <c:pt idx="137">
                  <c:v>1.2292289805530989</c:v>
                </c:pt>
                <c:pt idx="138">
                  <c:v>1.2296761499706856</c:v>
                </c:pt>
                <c:pt idx="139">
                  <c:v>1.232652310872179</c:v>
                </c:pt>
                <c:pt idx="140">
                  <c:v>1.2306251428457862</c:v>
                </c:pt>
                <c:pt idx="141">
                  <c:v>1.2283048304234196</c:v>
                </c:pt>
                <c:pt idx="142">
                  <c:v>1.2309928154780241</c:v>
                </c:pt>
                <c:pt idx="143">
                  <c:v>1.2303866524897398</c:v>
                </c:pt>
                <c:pt idx="144">
                  <c:v>1.2273806802937406</c:v>
                </c:pt>
                <c:pt idx="145">
                  <c:v>1.2282750191289138</c:v>
                </c:pt>
                <c:pt idx="146">
                  <c:v>1.2299245774249004</c:v>
                </c:pt>
                <c:pt idx="147">
                  <c:v>1.2311219977542158</c:v>
                </c:pt>
                <c:pt idx="148">
                  <c:v>1.230774199318315</c:v>
                </c:pt>
                <c:pt idx="149">
                  <c:v>1.227186906879453</c:v>
                </c:pt>
                <c:pt idx="150">
                  <c:v>1.2284936352886229</c:v>
                </c:pt>
                <c:pt idx="151">
                  <c:v>1.2289457732552937</c:v>
                </c:pt>
                <c:pt idx="152">
                  <c:v>1.2291345781204972</c:v>
                </c:pt>
                <c:pt idx="153">
                  <c:v>1.2225661562310575</c:v>
                </c:pt>
                <c:pt idx="154">
                  <c:v>1.2218357795156658</c:v>
                </c:pt>
                <c:pt idx="155">
                  <c:v>1.2219003706537617</c:v>
                </c:pt>
                <c:pt idx="156">
                  <c:v>1.2162163505013266</c:v>
                </c:pt>
                <c:pt idx="157">
                  <c:v>1.2139407550207189</c:v>
                </c:pt>
                <c:pt idx="158">
                  <c:v>1.2051364860433458</c:v>
                </c:pt>
                <c:pt idx="159">
                  <c:v>1.2060805103693617</c:v>
                </c:pt>
                <c:pt idx="160">
                  <c:v>1.204962586825395</c:v>
                </c:pt>
                <c:pt idx="161">
                  <c:v>1.1972961155883259</c:v>
                </c:pt>
                <c:pt idx="162">
                  <c:v>1.2086194389514373</c:v>
                </c:pt>
                <c:pt idx="163">
                  <c:v>1.2068655411246809</c:v>
                </c:pt>
                <c:pt idx="164">
                  <c:v>1.2040831536374748</c:v>
                </c:pt>
                <c:pt idx="165">
                  <c:v>1.2022398219272006</c:v>
                </c:pt>
                <c:pt idx="166">
                  <c:v>1.212668806455139</c:v>
                </c:pt>
                <c:pt idx="167">
                  <c:v>1.2020808283565034</c:v>
                </c:pt>
                <c:pt idx="168">
                  <c:v>1.2118639015034829</c:v>
                </c:pt>
                <c:pt idx="169">
                  <c:v>1.2114813232239923</c:v>
                </c:pt>
                <c:pt idx="170">
                  <c:v>1.2095932745719595</c:v>
                </c:pt>
                <c:pt idx="171">
                  <c:v>1.2101447835203165</c:v>
                </c:pt>
                <c:pt idx="172">
                  <c:v>1.2108503174902865</c:v>
                </c:pt>
                <c:pt idx="173">
                  <c:v>1.2190136436357855</c:v>
                </c:pt>
                <c:pt idx="174">
                  <c:v>1.2089225204455796</c:v>
                </c:pt>
                <c:pt idx="175">
                  <c:v>1.2085796905587629</c:v>
                </c:pt>
                <c:pt idx="176">
                  <c:v>1.2112925183587888</c:v>
                </c:pt>
                <c:pt idx="177">
                  <c:v>1.2124998757862728</c:v>
                </c:pt>
                <c:pt idx="178">
                  <c:v>1.2070543459898839</c:v>
                </c:pt>
                <c:pt idx="179">
                  <c:v>1.2082368606719465</c:v>
                </c:pt>
                <c:pt idx="180">
                  <c:v>1.2092405075869743</c:v>
                </c:pt>
                <c:pt idx="181">
                  <c:v>1.208917551896495</c:v>
                </c:pt>
                <c:pt idx="182">
                  <c:v>1.2070245346953781</c:v>
                </c:pt>
                <c:pt idx="183">
                  <c:v>1.2118639015034829</c:v>
                </c:pt>
                <c:pt idx="184">
                  <c:v>1.2073872387785318</c:v>
                </c:pt>
                <c:pt idx="185">
                  <c:v>1.1983146681506067</c:v>
                </c:pt>
                <c:pt idx="186">
                  <c:v>1.2003120248824939</c:v>
                </c:pt>
                <c:pt idx="187">
                  <c:v>1.1999393837011716</c:v>
                </c:pt>
                <c:pt idx="188">
                  <c:v>1.194632973279143</c:v>
                </c:pt>
                <c:pt idx="189">
                  <c:v>1.191666749475818</c:v>
                </c:pt>
                <c:pt idx="190">
                  <c:v>1.1894805878787276</c:v>
                </c:pt>
                <c:pt idx="191">
                  <c:v>1.1833742410541273</c:v>
                </c:pt>
                <c:pt idx="192">
                  <c:v>1.1754195939701686</c:v>
                </c:pt>
                <c:pt idx="193">
                  <c:v>1.1711019248159154</c:v>
                </c:pt>
                <c:pt idx="194">
                  <c:v>1.1927846730197849</c:v>
                </c:pt>
                <c:pt idx="195">
                  <c:v>1.1936044836186936</c:v>
                </c:pt>
                <c:pt idx="196">
                  <c:v>1.1879304005644271</c:v>
                </c:pt>
                <c:pt idx="197">
                  <c:v>1.1896892669402681</c:v>
                </c:pt>
                <c:pt idx="198">
                  <c:v>1.1922679439150179</c:v>
                </c:pt>
                <c:pt idx="199">
                  <c:v>1.1909214671131736</c:v>
                </c:pt>
                <c:pt idx="200">
                  <c:v>1.1921437301879105</c:v>
                </c:pt>
                <c:pt idx="201">
                  <c:v>1.1920990132461518</c:v>
                </c:pt>
                <c:pt idx="202">
                  <c:v>1.1872447407907942</c:v>
                </c:pt>
                <c:pt idx="203">
                  <c:v>1.1865541124680772</c:v>
                </c:pt>
                <c:pt idx="204">
                  <c:v>1.1880645513897032</c:v>
                </c:pt>
                <c:pt idx="205">
                  <c:v>1.1846014726779484</c:v>
                </c:pt>
                <c:pt idx="206">
                  <c:v>1.1868720996094719</c:v>
                </c:pt>
                <c:pt idx="207">
                  <c:v>1.1862162511303447</c:v>
                </c:pt>
                <c:pt idx="208">
                  <c:v>1.1867926028241234</c:v>
                </c:pt>
                <c:pt idx="209">
                  <c:v>1.1796080808482308</c:v>
                </c:pt>
                <c:pt idx="210">
                  <c:v>1.166958154879612</c:v>
                </c:pt>
                <c:pt idx="211">
                  <c:v>1.170510667474884</c:v>
                </c:pt>
                <c:pt idx="212">
                  <c:v>1.1617312412429321</c:v>
                </c:pt>
                <c:pt idx="213">
                  <c:v>1.1637285979748193</c:v>
                </c:pt>
                <c:pt idx="214">
                  <c:v>1.1571502389872108</c:v>
                </c:pt>
                <c:pt idx="215">
                  <c:v>1.1650899804239165</c:v>
                </c:pt>
                <c:pt idx="216">
                  <c:v>1.169487146363519</c:v>
                </c:pt>
                <c:pt idx="217">
                  <c:v>1.171166515954011</c:v>
                </c:pt>
                <c:pt idx="218">
                  <c:v>1.1703616110023549</c:v>
                </c:pt>
                <c:pt idx="219">
                  <c:v>1.1713304780737928</c:v>
                </c:pt>
                <c:pt idx="220">
                  <c:v>1.1690747567895221</c:v>
                </c:pt>
                <c:pt idx="221">
                  <c:v>1.1739290292448799</c:v>
                </c:pt>
                <c:pt idx="222">
                  <c:v>1.176582234455894</c:v>
                </c:pt>
                <c:pt idx="223">
                  <c:v>1.1731390299404767</c:v>
                </c:pt>
                <c:pt idx="224">
                  <c:v>1.171867081374897</c:v>
                </c:pt>
                <c:pt idx="225">
                  <c:v>1.1634304850297617</c:v>
                </c:pt>
                <c:pt idx="226">
                  <c:v>1.1646179682609084</c:v>
                </c:pt>
                <c:pt idx="227">
                  <c:v>1.1656017409795991</c:v>
                </c:pt>
                <c:pt idx="228">
                  <c:v>1.1668389097015888</c:v>
                </c:pt>
                <c:pt idx="229">
                  <c:v>1.1646378424572457</c:v>
                </c:pt>
                <c:pt idx="230">
                  <c:v>1.1792702195104985</c:v>
                </c:pt>
                <c:pt idx="231">
                  <c:v>1.1816451859727921</c:v>
                </c:pt>
                <c:pt idx="232">
                  <c:v>1.1832003418361769</c:v>
                </c:pt>
                <c:pt idx="233">
                  <c:v>1.1851281388808841</c:v>
                </c:pt>
                <c:pt idx="234">
                  <c:v>1.1752854431448927</c:v>
                </c:pt>
                <c:pt idx="235">
                  <c:v>1.1792702195104985</c:v>
                </c:pt>
                <c:pt idx="236">
                  <c:v>1.1788379557401647</c:v>
                </c:pt>
                <c:pt idx="237">
                  <c:v>1.1749972672980036</c:v>
                </c:pt>
                <c:pt idx="238">
                  <c:v>1.1740582115210716</c:v>
                </c:pt>
                <c:pt idx="239">
                  <c:v>1.1767461965756758</c:v>
                </c:pt>
                <c:pt idx="240">
                  <c:v>1.180184432542009</c:v>
                </c:pt>
                <c:pt idx="241">
                  <c:v>1.1840648693768445</c:v>
                </c:pt>
                <c:pt idx="242">
                  <c:v>1.183468643486729</c:v>
                </c:pt>
                <c:pt idx="243">
                  <c:v>1.190444486401081</c:v>
                </c:pt>
                <c:pt idx="244">
                  <c:v>1.1743861357606351</c:v>
                </c:pt>
                <c:pt idx="245">
                  <c:v>1.1774219192511401</c:v>
                </c:pt>
                <c:pt idx="246">
                  <c:v>1.1762244989218249</c:v>
                </c:pt>
                <c:pt idx="247">
                  <c:v>1.1744706010950681</c:v>
                </c:pt>
                <c:pt idx="248">
                  <c:v>1.173978714735723</c:v>
                </c:pt>
                <c:pt idx="249">
                  <c:v>1.1752506633013027</c:v>
                </c:pt>
                <c:pt idx="250">
                  <c:v>1.1681853865034331</c:v>
                </c:pt>
                <c:pt idx="251">
                  <c:v>1.1662277781642203</c:v>
                </c:pt>
                <c:pt idx="252">
                  <c:v>1.1672363936283325</c:v>
                </c:pt>
                <c:pt idx="253">
                  <c:v>1.1614380968469586</c:v>
                </c:pt>
                <c:pt idx="254">
                  <c:v>1.1568024405513102</c:v>
                </c:pt>
                <c:pt idx="255">
                  <c:v>1.1507656534138899</c:v>
                </c:pt>
                <c:pt idx="256">
                  <c:v>1.1466765375175141</c:v>
                </c:pt>
                <c:pt idx="257">
                  <c:v>1.1401180527262429</c:v>
                </c:pt>
                <c:pt idx="258">
                  <c:v>1.1393280534218397</c:v>
                </c:pt>
                <c:pt idx="259">
                  <c:v>1.1390696888694563</c:v>
                </c:pt>
                <c:pt idx="260">
                  <c:v>1.1414844037244243</c:v>
                </c:pt>
                <c:pt idx="261">
                  <c:v>1.1411167310921864</c:v>
                </c:pt>
                <c:pt idx="262">
                  <c:v>1.1419564158874325</c:v>
                </c:pt>
                <c:pt idx="263">
                  <c:v>1.1328639710631703</c:v>
                </c:pt>
                <c:pt idx="264">
                  <c:v>1.1254757385748213</c:v>
                </c:pt>
                <c:pt idx="265">
                  <c:v>1.1285115220653263</c:v>
                </c:pt>
                <c:pt idx="266">
                  <c:v>1.1247254876630925</c:v>
                </c:pt>
                <c:pt idx="267">
                  <c:v>1.1287996979122155</c:v>
                </c:pt>
                <c:pt idx="268">
                  <c:v>1.1268122782784971</c:v>
                </c:pt>
                <c:pt idx="269">
                  <c:v>1.1301660489103971</c:v>
                </c:pt>
                <c:pt idx="270">
                  <c:v>1.1280792582949928</c:v>
                </c:pt>
                <c:pt idx="271">
                  <c:v>1.1305039102481294</c:v>
                </c:pt>
                <c:pt idx="272">
                  <c:v>1.1273141017360111</c:v>
                </c:pt>
                <c:pt idx="273">
                  <c:v>1.1273141017360111</c:v>
                </c:pt>
                <c:pt idx="274">
                  <c:v>1.1313286893961225</c:v>
                </c:pt>
                <c:pt idx="275">
                  <c:v>1.127363787226854</c:v>
                </c:pt>
                <c:pt idx="276">
                  <c:v>1.1282332833166058</c:v>
                </c:pt>
                <c:pt idx="277">
                  <c:v>1.1218139178996949</c:v>
                </c:pt>
                <c:pt idx="278">
                  <c:v>1.1123736746395316</c:v>
                </c:pt>
                <c:pt idx="279">
                  <c:v>1.1175558713344529</c:v>
                </c:pt>
                <c:pt idx="280">
                  <c:v>1.1178837955740164</c:v>
                </c:pt>
                <c:pt idx="281">
                  <c:v>1.1273041646378426</c:v>
                </c:pt>
                <c:pt idx="282">
                  <c:v>1.1247751731539355</c:v>
                </c:pt>
                <c:pt idx="283">
                  <c:v>1.1233690737630797</c:v>
                </c:pt>
                <c:pt idx="284">
                  <c:v>1.1254658014766528</c:v>
                </c:pt>
                <c:pt idx="285">
                  <c:v>1.1282382518656902</c:v>
                </c:pt>
                <c:pt idx="286">
                  <c:v>1.1241491359693143</c:v>
                </c:pt>
                <c:pt idx="287">
                  <c:v>1.1219331630777181</c:v>
                </c:pt>
                <c:pt idx="288">
                  <c:v>1.1239007085150994</c:v>
                </c:pt>
                <c:pt idx="289">
                  <c:v>1.1195532280663401</c:v>
                </c:pt>
                <c:pt idx="290">
                  <c:v>1.1287152325777825</c:v>
                </c:pt>
                <c:pt idx="291">
                  <c:v>1.1213816541293611</c:v>
                </c:pt>
                <c:pt idx="292">
                  <c:v>1.1226585712440253</c:v>
                </c:pt>
                <c:pt idx="293">
                  <c:v>1.1160305267655739</c:v>
                </c:pt>
                <c:pt idx="294">
                  <c:v>1.1136257490087744</c:v>
                </c:pt>
                <c:pt idx="295">
                  <c:v>1.0991573340753034</c:v>
                </c:pt>
                <c:pt idx="296">
                  <c:v>1.0954209851639125</c:v>
                </c:pt>
                <c:pt idx="297">
                  <c:v>1.0890811165323502</c:v>
                </c:pt>
                <c:pt idx="298">
                  <c:v>1.0886488527620164</c:v>
                </c:pt>
                <c:pt idx="299">
                  <c:v>1.0924895412041775</c:v>
                </c:pt>
                <c:pt idx="300">
                  <c:v>1.0953961424184908</c:v>
                </c:pt>
                <c:pt idx="301">
                  <c:v>1.0939353889877077</c:v>
                </c:pt>
                <c:pt idx="302">
                  <c:v>1.0997138115727445</c:v>
                </c:pt>
                <c:pt idx="303">
                  <c:v>1.0954259537129967</c:v>
                </c:pt>
                <c:pt idx="304">
                  <c:v>1.094541551975992</c:v>
                </c:pt>
                <c:pt idx="305">
                  <c:v>1.0921765226118667</c:v>
                </c:pt>
                <c:pt idx="306">
                  <c:v>1.0840877247026324</c:v>
                </c:pt>
                <c:pt idx="307">
                  <c:v>1.0866813073246349</c:v>
                </c:pt>
                <c:pt idx="308">
                  <c:v>1.0816233243568214</c:v>
                </c:pt>
                <c:pt idx="309">
                  <c:v>1.0833374737909034</c:v>
                </c:pt>
                <c:pt idx="310">
                  <c:v>1.0752933928234276</c:v>
                </c:pt>
                <c:pt idx="311">
                  <c:v>1.075417606550535</c:v>
                </c:pt>
                <c:pt idx="312">
                  <c:v>1.0769230769230769</c:v>
                </c:pt>
                <c:pt idx="313">
                  <c:v>1.0748263492095038</c:v>
                </c:pt>
                <c:pt idx="314">
                  <c:v>1.0630508878797214</c:v>
                </c:pt>
                <c:pt idx="315">
                  <c:v>1.059056174415947</c:v>
                </c:pt>
                <c:pt idx="316">
                  <c:v>1.0360319179593174</c:v>
                </c:pt>
                <c:pt idx="317">
                  <c:v>1.0377609730406525</c:v>
                </c:pt>
                <c:pt idx="318">
                  <c:v>1.0423717865908797</c:v>
                </c:pt>
                <c:pt idx="319">
                  <c:v>1.04921844722904</c:v>
                </c:pt>
                <c:pt idx="320">
                  <c:v>1.0563880635576799</c:v>
                </c:pt>
                <c:pt idx="321">
                  <c:v>1.0565172458338714</c:v>
                </c:pt>
                <c:pt idx="322">
                  <c:v>1.0598113938767602</c:v>
                </c:pt>
                <c:pt idx="323">
                  <c:v>1.0629862967416255</c:v>
                </c:pt>
                <c:pt idx="324">
                  <c:v>1.064839565550068</c:v>
                </c:pt>
                <c:pt idx="325">
                  <c:v>1.0688988701519382</c:v>
                </c:pt>
                <c:pt idx="326">
                  <c:v>1.0638458557332087</c:v>
                </c:pt>
                <c:pt idx="327">
                  <c:v>1.0639352896167262</c:v>
                </c:pt>
                <c:pt idx="328">
                  <c:v>1.0654010115965935</c:v>
                </c:pt>
                <c:pt idx="329">
                  <c:v>1.0630707620760584</c:v>
                </c:pt>
                <c:pt idx="330">
                  <c:v>1.0565619627756302</c:v>
                </c:pt>
                <c:pt idx="331">
                  <c:v>1.0597815825822543</c:v>
                </c:pt>
                <c:pt idx="332">
                  <c:v>1.0595679349716296</c:v>
                </c:pt>
                <c:pt idx="333">
                  <c:v>1.0628620830145179</c:v>
                </c:pt>
                <c:pt idx="334">
                  <c:v>1.0616447884888653</c:v>
                </c:pt>
                <c:pt idx="335">
                  <c:v>1.0750250911728756</c:v>
                </c:pt>
                <c:pt idx="336">
                  <c:v>1.0773155923007363</c:v>
                </c:pt>
                <c:pt idx="337">
                  <c:v>1.0687994991702523</c:v>
                </c:pt>
                <c:pt idx="338">
                  <c:v>1.0788558425168682</c:v>
                </c:pt>
                <c:pt idx="339">
                  <c:v>1.0731718223644331</c:v>
                </c:pt>
                <c:pt idx="340">
                  <c:v>1.0663003189808511</c:v>
                </c:pt>
                <c:pt idx="341">
                  <c:v>1.0755368517285582</c:v>
                </c:pt>
                <c:pt idx="342">
                  <c:v>1.0817425695348444</c:v>
                </c:pt>
                <c:pt idx="343">
                  <c:v>1.0747567895223236</c:v>
                </c:pt>
                <c:pt idx="344">
                  <c:v>1.0631502588614075</c:v>
                </c:pt>
                <c:pt idx="345">
                  <c:v>1.0628322717200123</c:v>
                </c:pt>
                <c:pt idx="346">
                  <c:v>1.0561992586924767</c:v>
                </c:pt>
                <c:pt idx="347">
                  <c:v>1.0568203273280137</c:v>
                </c:pt>
                <c:pt idx="348">
                  <c:v>1.0727296214959308</c:v>
                </c:pt>
                <c:pt idx="349">
                  <c:v>1.0572128427056731</c:v>
                </c:pt>
                <c:pt idx="350">
                  <c:v>1.0837896117575745</c:v>
                </c:pt>
                <c:pt idx="351">
                  <c:v>1.0862043266125425</c:v>
                </c:pt>
                <c:pt idx="352">
                  <c:v>1.0863633201832401</c:v>
                </c:pt>
                <c:pt idx="353">
                  <c:v>1.0831337632784475</c:v>
                </c:pt>
                <c:pt idx="354">
                  <c:v>1.0786024465135691</c:v>
                </c:pt>
                <c:pt idx="355">
                  <c:v>1.0786471634553276</c:v>
                </c:pt>
                <c:pt idx="356">
                  <c:v>1.0812159033319089</c:v>
                </c:pt>
                <c:pt idx="357">
                  <c:v>1.0833325052418192</c:v>
                </c:pt>
                <c:pt idx="358">
                  <c:v>1.0776981705802271</c:v>
                </c:pt>
                <c:pt idx="359">
                  <c:v>1.0794023829161408</c:v>
                </c:pt>
                <c:pt idx="360">
                  <c:v>1.0808780419941768</c:v>
                </c:pt>
                <c:pt idx="361">
                  <c:v>1.0865719992447807</c:v>
                </c:pt>
                <c:pt idx="362">
                  <c:v>1.0844553973348701</c:v>
                </c:pt>
                <c:pt idx="363">
                  <c:v>1.0850665288722385</c:v>
                </c:pt>
                <c:pt idx="364">
                  <c:v>1.0866316218337921</c:v>
                </c:pt>
                <c:pt idx="365">
                  <c:v>1.0842467182733297</c:v>
                </c:pt>
                <c:pt idx="366">
                  <c:v>1.0822245187960211</c:v>
                </c:pt>
                <c:pt idx="367">
                  <c:v>1.088186777697177</c:v>
                </c:pt>
                <c:pt idx="368">
                  <c:v>1.0851559627557561</c:v>
                </c:pt>
                <c:pt idx="369">
                  <c:v>1.0860204902964237</c:v>
                </c:pt>
                <c:pt idx="370">
                  <c:v>1.0809028847395983</c:v>
                </c:pt>
                <c:pt idx="371">
                  <c:v>1.0840082279172834</c:v>
                </c:pt>
                <c:pt idx="372">
                  <c:v>1.0835859012451183</c:v>
                </c:pt>
                <c:pt idx="373">
                  <c:v>1.0845696739638091</c:v>
                </c:pt>
                <c:pt idx="374">
                  <c:v>1.0753182355688491</c:v>
                </c:pt>
                <c:pt idx="375">
                  <c:v>1.0750896823109715</c:v>
                </c:pt>
                <c:pt idx="376">
                  <c:v>1.0717309431299873</c:v>
                </c:pt>
                <c:pt idx="377">
                  <c:v>1.0785925094154005</c:v>
                </c:pt>
                <c:pt idx="378">
                  <c:v>1.0799638289626663</c:v>
                </c:pt>
                <c:pt idx="379">
                  <c:v>1.0782049625868253</c:v>
                </c:pt>
                <c:pt idx="380">
                  <c:v>1.0764759075054902</c:v>
                </c:pt>
                <c:pt idx="381">
                  <c:v>1.0777677302674071</c:v>
                </c:pt>
                <c:pt idx="382">
                  <c:v>1.0774199318315065</c:v>
                </c:pt>
                <c:pt idx="383">
                  <c:v>1.0806743314817209</c:v>
                </c:pt>
                <c:pt idx="384">
                  <c:v>1.0757753420846043</c:v>
                </c:pt>
                <c:pt idx="385">
                  <c:v>1.0796756531157772</c:v>
                </c:pt>
                <c:pt idx="386">
                  <c:v>1.0750847137618873</c:v>
                </c:pt>
                <c:pt idx="387">
                  <c:v>1.0766299325271034</c:v>
                </c:pt>
                <c:pt idx="388">
                  <c:v>1.0740711297486907</c:v>
                </c:pt>
                <c:pt idx="389">
                  <c:v>1.0750698081146344</c:v>
                </c:pt>
                <c:pt idx="390">
                  <c:v>1.0694454105512108</c:v>
                </c:pt>
                <c:pt idx="391">
                  <c:v>1.0693013226277661</c:v>
                </c:pt>
                <c:pt idx="392">
                  <c:v>1.06185843609949</c:v>
                </c:pt>
                <c:pt idx="393">
                  <c:v>1.0582512694642909</c:v>
                </c:pt>
                <c:pt idx="394">
                  <c:v>1.0423519123945426</c:v>
                </c:pt>
                <c:pt idx="395">
                  <c:v>1.0432611568769687</c:v>
                </c:pt>
                <c:pt idx="396">
                  <c:v>1.0377063190007254</c:v>
                </c:pt>
                <c:pt idx="397">
                  <c:v>1.0448610296821121</c:v>
                </c:pt>
                <c:pt idx="398">
                  <c:v>1.042828893106635</c:v>
                </c:pt>
                <c:pt idx="399">
                  <c:v>1.0288722387288463</c:v>
                </c:pt>
                <c:pt idx="400">
                  <c:v>1.0116413105045063</c:v>
                </c:pt>
                <c:pt idx="401">
                  <c:v>0.99397811850983275</c:v>
                </c:pt>
                <c:pt idx="402">
                  <c:v>1.0122971589836336</c:v>
                </c:pt>
                <c:pt idx="403">
                  <c:v>1.0500134150825275</c:v>
                </c:pt>
                <c:pt idx="404">
                  <c:v>1.0361660687845935</c:v>
                </c:pt>
                <c:pt idx="405">
                  <c:v>1.0378802182186757</c:v>
                </c:pt>
                <c:pt idx="406">
                  <c:v>1.0350729879860483</c:v>
                </c:pt>
                <c:pt idx="407">
                  <c:v>1.0290958234376395</c:v>
                </c:pt>
                <c:pt idx="408">
                  <c:v>1.0324595311677083</c:v>
                </c:pt>
                <c:pt idx="409">
                  <c:v>1.029234942812</c:v>
                </c:pt>
                <c:pt idx="410">
                  <c:v>1.0311329285622013</c:v>
                </c:pt>
                <c:pt idx="411">
                  <c:v>1.0329911659197279</c:v>
                </c:pt>
                <c:pt idx="412">
                  <c:v>1.0528951735514194</c:v>
                </c:pt>
                <c:pt idx="413">
                  <c:v>1.0494221577414964</c:v>
                </c:pt>
                <c:pt idx="414">
                  <c:v>1.0480707123905675</c:v>
                </c:pt>
                <c:pt idx="415">
                  <c:v>1.0429630439319111</c:v>
                </c:pt>
                <c:pt idx="416">
                  <c:v>1.0460087645205847</c:v>
                </c:pt>
                <c:pt idx="417">
                  <c:v>1.0430624149135967</c:v>
                </c:pt>
                <c:pt idx="418">
                  <c:v>1.0418848687806186</c:v>
                </c:pt>
                <c:pt idx="419">
                  <c:v>1.0429282640883208</c:v>
                </c:pt>
                <c:pt idx="420">
                  <c:v>1.0384764441087913</c:v>
                </c:pt>
                <c:pt idx="421">
                  <c:v>1.0386950602685003</c:v>
                </c:pt>
                <c:pt idx="422">
                  <c:v>1.0315006011944392</c:v>
                </c:pt>
                <c:pt idx="423">
                  <c:v>1.0175787266602405</c:v>
                </c:pt>
                <c:pt idx="424">
                  <c:v>1.0197052656683196</c:v>
                </c:pt>
                <c:pt idx="425">
                  <c:v>1.0136038873928035</c:v>
                </c:pt>
                <c:pt idx="426">
                  <c:v>1.0173750161477846</c:v>
                </c:pt>
                <c:pt idx="427">
                  <c:v>1.017166337086244</c:v>
                </c:pt>
                <c:pt idx="428">
                  <c:v>1.0168682241411862</c:v>
                </c:pt>
                <c:pt idx="429">
                  <c:v>1.025563185038705</c:v>
                </c:pt>
                <c:pt idx="430">
                  <c:v>1.0257370842566553</c:v>
                </c:pt>
                <c:pt idx="431">
                  <c:v>1.035639402581658</c:v>
                </c:pt>
                <c:pt idx="432">
                  <c:v>1.0228702314350164</c:v>
                </c:pt>
                <c:pt idx="433">
                  <c:v>1.0221001063269504</c:v>
                </c:pt>
                <c:pt idx="434">
                  <c:v>1.0188655808730736</c:v>
                </c:pt>
                <c:pt idx="435">
                  <c:v>1.0191090397782039</c:v>
                </c:pt>
                <c:pt idx="436">
                  <c:v>1.0251955124064669</c:v>
                </c:pt>
                <c:pt idx="437">
                  <c:v>1.0261544423797364</c:v>
                </c:pt>
                <c:pt idx="438">
                  <c:v>1.0313763874673316</c:v>
                </c:pt>
                <c:pt idx="439">
                  <c:v>1.040985561396361</c:v>
                </c:pt>
                <c:pt idx="440">
                  <c:v>1.0392714119622786</c:v>
                </c:pt>
                <c:pt idx="441">
                  <c:v>1.0373287092703187</c:v>
                </c:pt>
                <c:pt idx="442">
                  <c:v>1.0392117893732671</c:v>
                </c:pt>
                <c:pt idx="443">
                  <c:v>1.0391621038824241</c:v>
                </c:pt>
                <c:pt idx="444">
                  <c:v>1.044587759482476</c:v>
                </c:pt>
                <c:pt idx="445">
                  <c:v>1.0437927916289886</c:v>
                </c:pt>
                <c:pt idx="446">
                  <c:v>1.0405831089205331</c:v>
                </c:pt>
                <c:pt idx="447">
                  <c:v>1.0338209136168055</c:v>
                </c:pt>
                <c:pt idx="448">
                  <c:v>1.0348394661790865</c:v>
                </c:pt>
                <c:pt idx="449">
                  <c:v>1.0346605984120516</c:v>
                </c:pt>
                <c:pt idx="450">
                  <c:v>1.0243757018075581</c:v>
                </c:pt>
                <c:pt idx="451">
                  <c:v>1.0145727544642413</c:v>
                </c:pt>
                <c:pt idx="452">
                  <c:v>1.0173601105005317</c:v>
                </c:pt>
                <c:pt idx="453">
                  <c:v>1.0145330060715669</c:v>
                </c:pt>
                <c:pt idx="454">
                  <c:v>1.0268301650552005</c:v>
                </c:pt>
                <c:pt idx="455">
                  <c:v>1.0161527530730476</c:v>
                </c:pt>
                <c:pt idx="456">
                  <c:v>1.02987091709479</c:v>
                </c:pt>
                <c:pt idx="457">
                  <c:v>1.0233919290888673</c:v>
                </c:pt>
                <c:pt idx="458">
                  <c:v>1.0254836882533562</c:v>
                </c:pt>
                <c:pt idx="459">
                  <c:v>1.0210418053719954</c:v>
                </c:pt>
                <c:pt idx="460">
                  <c:v>1.0115667822682419</c:v>
                </c:pt>
                <c:pt idx="461">
                  <c:v>1.0119493605477328</c:v>
                </c:pt>
                <c:pt idx="462">
                  <c:v>1.0184531912990769</c:v>
                </c:pt>
                <c:pt idx="463">
                  <c:v>1.0193475301342501</c:v>
                </c:pt>
                <c:pt idx="464">
                  <c:v>1.0183438832192222</c:v>
                </c:pt>
                <c:pt idx="465">
                  <c:v>1.0138771575924397</c:v>
                </c:pt>
                <c:pt idx="466">
                  <c:v>1.0072342074667355</c:v>
                </c:pt>
                <c:pt idx="467">
                  <c:v>1.0016247155505649</c:v>
                </c:pt>
                <c:pt idx="468">
                  <c:v>1.0034680472608388</c:v>
                </c:pt>
                <c:pt idx="469">
                  <c:v>1.0047350272773345</c:v>
                </c:pt>
                <c:pt idx="470">
                  <c:v>0.98852762016435958</c:v>
                </c:pt>
                <c:pt idx="471">
                  <c:v>0.98837359514274636</c:v>
                </c:pt>
                <c:pt idx="472">
                  <c:v>0.98340504605844992</c:v>
                </c:pt>
                <c:pt idx="473">
                  <c:v>0.99458428149811684</c:v>
                </c:pt>
                <c:pt idx="474">
                  <c:v>0.99370484831019645</c:v>
                </c:pt>
                <c:pt idx="475">
                  <c:v>0.99043057446364513</c:v>
                </c:pt>
                <c:pt idx="476">
                  <c:v>0.98697743285005912</c:v>
                </c:pt>
                <c:pt idx="477">
                  <c:v>0.98295290809177893</c:v>
                </c:pt>
                <c:pt idx="478">
                  <c:v>0.96003795971500394</c:v>
                </c:pt>
                <c:pt idx="479">
                  <c:v>0.96789820436636087</c:v>
                </c:pt>
                <c:pt idx="480">
                  <c:v>0.96971172478212908</c:v>
                </c:pt>
                <c:pt idx="481">
                  <c:v>0.95883060228751993</c:v>
                </c:pt>
                <c:pt idx="482">
                  <c:v>0.95459242991861515</c:v>
                </c:pt>
                <c:pt idx="483">
                  <c:v>0.96663122434986526</c:v>
                </c:pt>
                <c:pt idx="484">
                  <c:v>0.95285840628819563</c:v>
                </c:pt>
                <c:pt idx="485">
                  <c:v>0.9528832490336171</c:v>
                </c:pt>
                <c:pt idx="486">
                  <c:v>0.95734997466039962</c:v>
                </c:pt>
                <c:pt idx="487">
                  <c:v>0.94182822732105764</c:v>
                </c:pt>
                <c:pt idx="488">
                  <c:v>0.93411207059314538</c:v>
                </c:pt>
                <c:pt idx="489">
                  <c:v>0.95170073435155467</c:v>
                </c:pt>
                <c:pt idx="490">
                  <c:v>0.9502499180189401</c:v>
                </c:pt>
                <c:pt idx="491">
                  <c:v>0.94552979638885848</c:v>
                </c:pt>
                <c:pt idx="492">
                  <c:v>0.96359047231027595</c:v>
                </c:pt>
                <c:pt idx="493">
                  <c:v>0.96401776753152546</c:v>
                </c:pt>
                <c:pt idx="494">
                  <c:v>0.94072520942434379</c:v>
                </c:pt>
                <c:pt idx="495">
                  <c:v>0.9355529498275913</c:v>
                </c:pt>
                <c:pt idx="496">
                  <c:v>0.94582790933391636</c:v>
                </c:pt>
                <c:pt idx="497">
                  <c:v>0.93263641151510923</c:v>
                </c:pt>
                <c:pt idx="498">
                  <c:v>0.94745262488448123</c:v>
                </c:pt>
                <c:pt idx="499">
                  <c:v>0.92861685530591354</c:v>
                </c:pt>
                <c:pt idx="500">
                  <c:v>0.92381723689048312</c:v>
                </c:pt>
                <c:pt idx="501">
                  <c:v>0.93474804487593521</c:v>
                </c:pt>
                <c:pt idx="502">
                  <c:v>0.93425118996750567</c:v>
                </c:pt>
                <c:pt idx="503">
                  <c:v>0.95487563721641999</c:v>
                </c:pt>
                <c:pt idx="504">
                  <c:v>0.93919489630638053</c:v>
                </c:pt>
                <c:pt idx="505">
                  <c:v>0.96324267387437523</c:v>
                </c:pt>
                <c:pt idx="506">
                  <c:v>0.95578488169884634</c:v>
                </c:pt>
                <c:pt idx="507">
                  <c:v>0.95497003964902161</c:v>
                </c:pt>
                <c:pt idx="508">
                  <c:v>0.96543380402054979</c:v>
                </c:pt>
                <c:pt idx="509">
                  <c:v>0.98887045005117602</c:v>
                </c:pt>
                <c:pt idx="510">
                  <c:v>1.0020122623791401</c:v>
                </c:pt>
                <c:pt idx="51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0BA-47AA-9693-95EFE73BDF9C}"/>
            </c:ext>
          </c:extLst>
        </c:ser>
        <c:ser>
          <c:idx val="1"/>
          <c:order val="1"/>
          <c:tx>
            <c:strRef>
              <c:f>'Graf 3+4'!$N$2</c:f>
              <c:strCache>
                <c:ptCount val="1"/>
                <c:pt idx="0">
                  <c:v>Eurostoxx 50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43172</c:v>
                </c:pt>
                <c:pt idx="1">
                  <c:v>43171</c:v>
                </c:pt>
                <c:pt idx="2">
                  <c:v>43168</c:v>
                </c:pt>
                <c:pt idx="3">
                  <c:v>43167</c:v>
                </c:pt>
                <c:pt idx="4">
                  <c:v>43166</c:v>
                </c:pt>
                <c:pt idx="5">
                  <c:v>43165</c:v>
                </c:pt>
                <c:pt idx="6">
                  <c:v>43164</c:v>
                </c:pt>
                <c:pt idx="7">
                  <c:v>43161</c:v>
                </c:pt>
                <c:pt idx="8">
                  <c:v>43160</c:v>
                </c:pt>
                <c:pt idx="9">
                  <c:v>43159</c:v>
                </c:pt>
                <c:pt idx="10">
                  <c:v>43158</c:v>
                </c:pt>
                <c:pt idx="11">
                  <c:v>43157</c:v>
                </c:pt>
                <c:pt idx="12">
                  <c:v>43154</c:v>
                </c:pt>
                <c:pt idx="13">
                  <c:v>43153</c:v>
                </c:pt>
                <c:pt idx="14">
                  <c:v>43145</c:v>
                </c:pt>
                <c:pt idx="15">
                  <c:v>43144</c:v>
                </c:pt>
                <c:pt idx="16">
                  <c:v>43143</c:v>
                </c:pt>
                <c:pt idx="17">
                  <c:v>43140</c:v>
                </c:pt>
                <c:pt idx="18">
                  <c:v>43139</c:v>
                </c:pt>
                <c:pt idx="19">
                  <c:v>43138</c:v>
                </c:pt>
                <c:pt idx="20">
                  <c:v>43137</c:v>
                </c:pt>
                <c:pt idx="21">
                  <c:v>43136</c:v>
                </c:pt>
                <c:pt idx="22">
                  <c:v>43133</c:v>
                </c:pt>
                <c:pt idx="23">
                  <c:v>43132</c:v>
                </c:pt>
                <c:pt idx="24">
                  <c:v>43131</c:v>
                </c:pt>
                <c:pt idx="25">
                  <c:v>43130</c:v>
                </c:pt>
                <c:pt idx="26">
                  <c:v>43129</c:v>
                </c:pt>
                <c:pt idx="27">
                  <c:v>43126</c:v>
                </c:pt>
                <c:pt idx="28">
                  <c:v>43125</c:v>
                </c:pt>
                <c:pt idx="29">
                  <c:v>43124</c:v>
                </c:pt>
                <c:pt idx="30">
                  <c:v>43123</c:v>
                </c:pt>
                <c:pt idx="31">
                  <c:v>43122</c:v>
                </c:pt>
                <c:pt idx="32">
                  <c:v>43119</c:v>
                </c:pt>
                <c:pt idx="33">
                  <c:v>43118</c:v>
                </c:pt>
                <c:pt idx="34">
                  <c:v>43117</c:v>
                </c:pt>
                <c:pt idx="35">
                  <c:v>43116</c:v>
                </c:pt>
                <c:pt idx="36">
                  <c:v>43112</c:v>
                </c:pt>
                <c:pt idx="37">
                  <c:v>43111</c:v>
                </c:pt>
                <c:pt idx="38">
                  <c:v>43110</c:v>
                </c:pt>
                <c:pt idx="39">
                  <c:v>43109</c:v>
                </c:pt>
                <c:pt idx="40">
                  <c:v>43108</c:v>
                </c:pt>
                <c:pt idx="41">
                  <c:v>43105</c:v>
                </c:pt>
                <c:pt idx="42">
                  <c:v>43104</c:v>
                </c:pt>
                <c:pt idx="43">
                  <c:v>43103</c:v>
                </c:pt>
                <c:pt idx="44">
                  <c:v>43102</c:v>
                </c:pt>
                <c:pt idx="45">
                  <c:v>43098</c:v>
                </c:pt>
                <c:pt idx="46">
                  <c:v>43097</c:v>
                </c:pt>
                <c:pt idx="47">
                  <c:v>43096</c:v>
                </c:pt>
                <c:pt idx="48">
                  <c:v>43091</c:v>
                </c:pt>
                <c:pt idx="49">
                  <c:v>43090</c:v>
                </c:pt>
                <c:pt idx="50">
                  <c:v>43089</c:v>
                </c:pt>
                <c:pt idx="51">
                  <c:v>43088</c:v>
                </c:pt>
                <c:pt idx="52">
                  <c:v>43087</c:v>
                </c:pt>
                <c:pt idx="53">
                  <c:v>43084</c:v>
                </c:pt>
                <c:pt idx="54">
                  <c:v>43083</c:v>
                </c:pt>
                <c:pt idx="55">
                  <c:v>43082</c:v>
                </c:pt>
                <c:pt idx="56">
                  <c:v>43081</c:v>
                </c:pt>
                <c:pt idx="57">
                  <c:v>43080</c:v>
                </c:pt>
                <c:pt idx="58">
                  <c:v>43077</c:v>
                </c:pt>
                <c:pt idx="59">
                  <c:v>43076</c:v>
                </c:pt>
                <c:pt idx="60">
                  <c:v>43075</c:v>
                </c:pt>
                <c:pt idx="61">
                  <c:v>43074</c:v>
                </c:pt>
                <c:pt idx="62">
                  <c:v>43073</c:v>
                </c:pt>
                <c:pt idx="63">
                  <c:v>43070</c:v>
                </c:pt>
                <c:pt idx="64">
                  <c:v>43069</c:v>
                </c:pt>
                <c:pt idx="65">
                  <c:v>43068</c:v>
                </c:pt>
                <c:pt idx="66">
                  <c:v>43067</c:v>
                </c:pt>
                <c:pt idx="67">
                  <c:v>43066</c:v>
                </c:pt>
                <c:pt idx="68">
                  <c:v>43063</c:v>
                </c:pt>
                <c:pt idx="69">
                  <c:v>43061</c:v>
                </c:pt>
                <c:pt idx="70">
                  <c:v>43060</c:v>
                </c:pt>
                <c:pt idx="71">
                  <c:v>43059</c:v>
                </c:pt>
                <c:pt idx="72">
                  <c:v>43056</c:v>
                </c:pt>
                <c:pt idx="73">
                  <c:v>43055</c:v>
                </c:pt>
                <c:pt idx="74">
                  <c:v>43054</c:v>
                </c:pt>
                <c:pt idx="75">
                  <c:v>43053</c:v>
                </c:pt>
                <c:pt idx="76">
                  <c:v>43052</c:v>
                </c:pt>
                <c:pt idx="77">
                  <c:v>43049</c:v>
                </c:pt>
                <c:pt idx="78">
                  <c:v>43048</c:v>
                </c:pt>
                <c:pt idx="79">
                  <c:v>43047</c:v>
                </c:pt>
                <c:pt idx="80">
                  <c:v>43046</c:v>
                </c:pt>
                <c:pt idx="81">
                  <c:v>43045</c:v>
                </c:pt>
                <c:pt idx="82">
                  <c:v>43042</c:v>
                </c:pt>
                <c:pt idx="83">
                  <c:v>43041</c:v>
                </c:pt>
                <c:pt idx="84">
                  <c:v>43040</c:v>
                </c:pt>
                <c:pt idx="85">
                  <c:v>43038</c:v>
                </c:pt>
                <c:pt idx="86">
                  <c:v>43035</c:v>
                </c:pt>
                <c:pt idx="87">
                  <c:v>43034</c:v>
                </c:pt>
                <c:pt idx="88">
                  <c:v>43033</c:v>
                </c:pt>
                <c:pt idx="89">
                  <c:v>43032</c:v>
                </c:pt>
                <c:pt idx="90">
                  <c:v>43031</c:v>
                </c:pt>
                <c:pt idx="91">
                  <c:v>43028</c:v>
                </c:pt>
                <c:pt idx="92">
                  <c:v>43027</c:v>
                </c:pt>
                <c:pt idx="93">
                  <c:v>43026</c:v>
                </c:pt>
                <c:pt idx="94">
                  <c:v>43025</c:v>
                </c:pt>
                <c:pt idx="95">
                  <c:v>43024</c:v>
                </c:pt>
                <c:pt idx="96">
                  <c:v>43021</c:v>
                </c:pt>
                <c:pt idx="97">
                  <c:v>43020</c:v>
                </c:pt>
                <c:pt idx="98">
                  <c:v>43019</c:v>
                </c:pt>
                <c:pt idx="99">
                  <c:v>43018</c:v>
                </c:pt>
                <c:pt idx="100">
                  <c:v>43017</c:v>
                </c:pt>
                <c:pt idx="101">
                  <c:v>43007</c:v>
                </c:pt>
                <c:pt idx="102">
                  <c:v>43006</c:v>
                </c:pt>
                <c:pt idx="103">
                  <c:v>43005</c:v>
                </c:pt>
                <c:pt idx="104">
                  <c:v>43004</c:v>
                </c:pt>
                <c:pt idx="105">
                  <c:v>43003</c:v>
                </c:pt>
                <c:pt idx="106">
                  <c:v>43000</c:v>
                </c:pt>
                <c:pt idx="107">
                  <c:v>42999</c:v>
                </c:pt>
                <c:pt idx="108">
                  <c:v>42998</c:v>
                </c:pt>
                <c:pt idx="109">
                  <c:v>42997</c:v>
                </c:pt>
                <c:pt idx="110">
                  <c:v>42996</c:v>
                </c:pt>
                <c:pt idx="111">
                  <c:v>42993</c:v>
                </c:pt>
                <c:pt idx="112">
                  <c:v>42992</c:v>
                </c:pt>
                <c:pt idx="113">
                  <c:v>42991</c:v>
                </c:pt>
                <c:pt idx="114">
                  <c:v>42990</c:v>
                </c:pt>
                <c:pt idx="115">
                  <c:v>42989</c:v>
                </c:pt>
                <c:pt idx="116">
                  <c:v>42986</c:v>
                </c:pt>
                <c:pt idx="117">
                  <c:v>42985</c:v>
                </c:pt>
                <c:pt idx="118">
                  <c:v>42984</c:v>
                </c:pt>
                <c:pt idx="119">
                  <c:v>42983</c:v>
                </c:pt>
                <c:pt idx="120">
                  <c:v>42979</c:v>
                </c:pt>
                <c:pt idx="121">
                  <c:v>42978</c:v>
                </c:pt>
                <c:pt idx="122">
                  <c:v>42977</c:v>
                </c:pt>
                <c:pt idx="123">
                  <c:v>42976</c:v>
                </c:pt>
                <c:pt idx="124">
                  <c:v>42975</c:v>
                </c:pt>
                <c:pt idx="125">
                  <c:v>42972</c:v>
                </c:pt>
                <c:pt idx="126">
                  <c:v>42971</c:v>
                </c:pt>
                <c:pt idx="127">
                  <c:v>42970</c:v>
                </c:pt>
                <c:pt idx="128">
                  <c:v>42969</c:v>
                </c:pt>
                <c:pt idx="129">
                  <c:v>42968</c:v>
                </c:pt>
                <c:pt idx="130">
                  <c:v>42965</c:v>
                </c:pt>
                <c:pt idx="131">
                  <c:v>42964</c:v>
                </c:pt>
                <c:pt idx="132">
                  <c:v>42963</c:v>
                </c:pt>
                <c:pt idx="133">
                  <c:v>42962</c:v>
                </c:pt>
                <c:pt idx="134">
                  <c:v>42961</c:v>
                </c:pt>
                <c:pt idx="135">
                  <c:v>42958</c:v>
                </c:pt>
                <c:pt idx="136">
                  <c:v>42957</c:v>
                </c:pt>
                <c:pt idx="137">
                  <c:v>42956</c:v>
                </c:pt>
                <c:pt idx="138">
                  <c:v>42955</c:v>
                </c:pt>
                <c:pt idx="139">
                  <c:v>42954</c:v>
                </c:pt>
                <c:pt idx="140">
                  <c:v>42951</c:v>
                </c:pt>
                <c:pt idx="141">
                  <c:v>42950</c:v>
                </c:pt>
                <c:pt idx="142">
                  <c:v>42949</c:v>
                </c:pt>
                <c:pt idx="143">
                  <c:v>42948</c:v>
                </c:pt>
                <c:pt idx="144">
                  <c:v>42947</c:v>
                </c:pt>
                <c:pt idx="145">
                  <c:v>42944</c:v>
                </c:pt>
                <c:pt idx="146">
                  <c:v>42943</c:v>
                </c:pt>
                <c:pt idx="147">
                  <c:v>42942</c:v>
                </c:pt>
                <c:pt idx="148">
                  <c:v>42941</c:v>
                </c:pt>
                <c:pt idx="149">
                  <c:v>42940</c:v>
                </c:pt>
                <c:pt idx="150">
                  <c:v>42937</c:v>
                </c:pt>
                <c:pt idx="151">
                  <c:v>42936</c:v>
                </c:pt>
                <c:pt idx="152">
                  <c:v>42935</c:v>
                </c:pt>
                <c:pt idx="153">
                  <c:v>42934</c:v>
                </c:pt>
                <c:pt idx="154">
                  <c:v>42933</c:v>
                </c:pt>
                <c:pt idx="155">
                  <c:v>42930</c:v>
                </c:pt>
                <c:pt idx="156">
                  <c:v>42929</c:v>
                </c:pt>
                <c:pt idx="157">
                  <c:v>42928</c:v>
                </c:pt>
                <c:pt idx="158">
                  <c:v>42927</c:v>
                </c:pt>
                <c:pt idx="159">
                  <c:v>42926</c:v>
                </c:pt>
                <c:pt idx="160">
                  <c:v>42923</c:v>
                </c:pt>
                <c:pt idx="161">
                  <c:v>42922</c:v>
                </c:pt>
                <c:pt idx="162">
                  <c:v>42921</c:v>
                </c:pt>
                <c:pt idx="163">
                  <c:v>42919</c:v>
                </c:pt>
                <c:pt idx="164">
                  <c:v>42916</c:v>
                </c:pt>
                <c:pt idx="165">
                  <c:v>42915</c:v>
                </c:pt>
                <c:pt idx="166">
                  <c:v>42914</c:v>
                </c:pt>
                <c:pt idx="167">
                  <c:v>42913</c:v>
                </c:pt>
                <c:pt idx="168">
                  <c:v>42912</c:v>
                </c:pt>
                <c:pt idx="169">
                  <c:v>42909</c:v>
                </c:pt>
                <c:pt idx="170">
                  <c:v>42908</c:v>
                </c:pt>
                <c:pt idx="171">
                  <c:v>42907</c:v>
                </c:pt>
                <c:pt idx="172">
                  <c:v>42906</c:v>
                </c:pt>
                <c:pt idx="173">
                  <c:v>42905</c:v>
                </c:pt>
                <c:pt idx="174">
                  <c:v>42902</c:v>
                </c:pt>
                <c:pt idx="175">
                  <c:v>42901</c:v>
                </c:pt>
                <c:pt idx="176">
                  <c:v>42900</c:v>
                </c:pt>
                <c:pt idx="177">
                  <c:v>42899</c:v>
                </c:pt>
                <c:pt idx="178">
                  <c:v>42898</c:v>
                </c:pt>
                <c:pt idx="179">
                  <c:v>42895</c:v>
                </c:pt>
                <c:pt idx="180">
                  <c:v>42894</c:v>
                </c:pt>
                <c:pt idx="181">
                  <c:v>42893</c:v>
                </c:pt>
                <c:pt idx="182">
                  <c:v>42892</c:v>
                </c:pt>
                <c:pt idx="183">
                  <c:v>42888</c:v>
                </c:pt>
                <c:pt idx="184">
                  <c:v>42887</c:v>
                </c:pt>
                <c:pt idx="185">
                  <c:v>42886</c:v>
                </c:pt>
                <c:pt idx="186">
                  <c:v>42881</c:v>
                </c:pt>
                <c:pt idx="187">
                  <c:v>42880</c:v>
                </c:pt>
                <c:pt idx="188">
                  <c:v>42879</c:v>
                </c:pt>
                <c:pt idx="189">
                  <c:v>42878</c:v>
                </c:pt>
                <c:pt idx="190">
                  <c:v>42877</c:v>
                </c:pt>
                <c:pt idx="191">
                  <c:v>42874</c:v>
                </c:pt>
                <c:pt idx="192">
                  <c:v>42873</c:v>
                </c:pt>
                <c:pt idx="193">
                  <c:v>42872</c:v>
                </c:pt>
                <c:pt idx="194">
                  <c:v>42871</c:v>
                </c:pt>
                <c:pt idx="195">
                  <c:v>42870</c:v>
                </c:pt>
                <c:pt idx="196">
                  <c:v>42867</c:v>
                </c:pt>
                <c:pt idx="197">
                  <c:v>42866</c:v>
                </c:pt>
                <c:pt idx="198">
                  <c:v>42865</c:v>
                </c:pt>
                <c:pt idx="199">
                  <c:v>42864</c:v>
                </c:pt>
                <c:pt idx="200">
                  <c:v>42863</c:v>
                </c:pt>
                <c:pt idx="201">
                  <c:v>42860</c:v>
                </c:pt>
                <c:pt idx="202">
                  <c:v>42859</c:v>
                </c:pt>
                <c:pt idx="203">
                  <c:v>42858</c:v>
                </c:pt>
                <c:pt idx="204">
                  <c:v>42857</c:v>
                </c:pt>
                <c:pt idx="205">
                  <c:v>42853</c:v>
                </c:pt>
                <c:pt idx="206">
                  <c:v>42852</c:v>
                </c:pt>
                <c:pt idx="207">
                  <c:v>42851</c:v>
                </c:pt>
                <c:pt idx="208">
                  <c:v>42850</c:v>
                </c:pt>
                <c:pt idx="209">
                  <c:v>42849</c:v>
                </c:pt>
                <c:pt idx="210">
                  <c:v>42846</c:v>
                </c:pt>
                <c:pt idx="211">
                  <c:v>42845</c:v>
                </c:pt>
                <c:pt idx="212">
                  <c:v>42844</c:v>
                </c:pt>
                <c:pt idx="213">
                  <c:v>42843</c:v>
                </c:pt>
                <c:pt idx="214">
                  <c:v>42838</c:v>
                </c:pt>
                <c:pt idx="215">
                  <c:v>42837</c:v>
                </c:pt>
                <c:pt idx="216">
                  <c:v>42836</c:v>
                </c:pt>
                <c:pt idx="217">
                  <c:v>42835</c:v>
                </c:pt>
                <c:pt idx="218">
                  <c:v>42832</c:v>
                </c:pt>
                <c:pt idx="219">
                  <c:v>42831</c:v>
                </c:pt>
                <c:pt idx="220">
                  <c:v>42830</c:v>
                </c:pt>
                <c:pt idx="221">
                  <c:v>42825</c:v>
                </c:pt>
                <c:pt idx="222">
                  <c:v>42824</c:v>
                </c:pt>
                <c:pt idx="223">
                  <c:v>42823</c:v>
                </c:pt>
                <c:pt idx="224">
                  <c:v>42822</c:v>
                </c:pt>
                <c:pt idx="225">
                  <c:v>42821</c:v>
                </c:pt>
                <c:pt idx="226">
                  <c:v>42818</c:v>
                </c:pt>
                <c:pt idx="227">
                  <c:v>42817</c:v>
                </c:pt>
                <c:pt idx="228">
                  <c:v>42816</c:v>
                </c:pt>
                <c:pt idx="229">
                  <c:v>42815</c:v>
                </c:pt>
                <c:pt idx="230">
                  <c:v>42814</c:v>
                </c:pt>
                <c:pt idx="231">
                  <c:v>42811</c:v>
                </c:pt>
                <c:pt idx="232">
                  <c:v>42810</c:v>
                </c:pt>
                <c:pt idx="233">
                  <c:v>42809</c:v>
                </c:pt>
                <c:pt idx="234">
                  <c:v>42808</c:v>
                </c:pt>
                <c:pt idx="235">
                  <c:v>42807</c:v>
                </c:pt>
                <c:pt idx="236">
                  <c:v>42804</c:v>
                </c:pt>
                <c:pt idx="237">
                  <c:v>42803</c:v>
                </c:pt>
                <c:pt idx="238">
                  <c:v>42802</c:v>
                </c:pt>
                <c:pt idx="239">
                  <c:v>42801</c:v>
                </c:pt>
                <c:pt idx="240">
                  <c:v>42800</c:v>
                </c:pt>
                <c:pt idx="241">
                  <c:v>42797</c:v>
                </c:pt>
                <c:pt idx="242">
                  <c:v>42796</c:v>
                </c:pt>
                <c:pt idx="243">
                  <c:v>42795</c:v>
                </c:pt>
                <c:pt idx="244">
                  <c:v>42794</c:v>
                </c:pt>
                <c:pt idx="245">
                  <c:v>42793</c:v>
                </c:pt>
                <c:pt idx="246">
                  <c:v>42790</c:v>
                </c:pt>
                <c:pt idx="247">
                  <c:v>42789</c:v>
                </c:pt>
                <c:pt idx="248">
                  <c:v>42788</c:v>
                </c:pt>
                <c:pt idx="249">
                  <c:v>42787</c:v>
                </c:pt>
                <c:pt idx="250">
                  <c:v>42783</c:v>
                </c:pt>
                <c:pt idx="251">
                  <c:v>42782</c:v>
                </c:pt>
                <c:pt idx="252">
                  <c:v>42781</c:v>
                </c:pt>
                <c:pt idx="253">
                  <c:v>42780</c:v>
                </c:pt>
                <c:pt idx="254">
                  <c:v>42779</c:v>
                </c:pt>
                <c:pt idx="255">
                  <c:v>42776</c:v>
                </c:pt>
                <c:pt idx="256">
                  <c:v>42775</c:v>
                </c:pt>
                <c:pt idx="257">
                  <c:v>42774</c:v>
                </c:pt>
                <c:pt idx="258">
                  <c:v>42773</c:v>
                </c:pt>
                <c:pt idx="259">
                  <c:v>42772</c:v>
                </c:pt>
                <c:pt idx="260">
                  <c:v>42769</c:v>
                </c:pt>
                <c:pt idx="261">
                  <c:v>42761</c:v>
                </c:pt>
                <c:pt idx="262">
                  <c:v>42760</c:v>
                </c:pt>
                <c:pt idx="263">
                  <c:v>42759</c:v>
                </c:pt>
                <c:pt idx="264">
                  <c:v>42758</c:v>
                </c:pt>
                <c:pt idx="265">
                  <c:v>42755</c:v>
                </c:pt>
                <c:pt idx="266">
                  <c:v>42754</c:v>
                </c:pt>
                <c:pt idx="267">
                  <c:v>42753</c:v>
                </c:pt>
                <c:pt idx="268">
                  <c:v>42752</c:v>
                </c:pt>
                <c:pt idx="269">
                  <c:v>42748</c:v>
                </c:pt>
                <c:pt idx="270">
                  <c:v>42747</c:v>
                </c:pt>
                <c:pt idx="271">
                  <c:v>42746</c:v>
                </c:pt>
                <c:pt idx="272">
                  <c:v>42745</c:v>
                </c:pt>
                <c:pt idx="273">
                  <c:v>42744</c:v>
                </c:pt>
                <c:pt idx="274">
                  <c:v>42741</c:v>
                </c:pt>
                <c:pt idx="275">
                  <c:v>42740</c:v>
                </c:pt>
                <c:pt idx="276">
                  <c:v>42739</c:v>
                </c:pt>
                <c:pt idx="277">
                  <c:v>42738</c:v>
                </c:pt>
                <c:pt idx="278">
                  <c:v>42734</c:v>
                </c:pt>
                <c:pt idx="279">
                  <c:v>42733</c:v>
                </c:pt>
                <c:pt idx="280">
                  <c:v>42732</c:v>
                </c:pt>
                <c:pt idx="281">
                  <c:v>42731</c:v>
                </c:pt>
                <c:pt idx="282">
                  <c:v>42727</c:v>
                </c:pt>
                <c:pt idx="283">
                  <c:v>42726</c:v>
                </c:pt>
                <c:pt idx="284">
                  <c:v>42725</c:v>
                </c:pt>
                <c:pt idx="285">
                  <c:v>42724</c:v>
                </c:pt>
                <c:pt idx="286">
                  <c:v>42723</c:v>
                </c:pt>
                <c:pt idx="287">
                  <c:v>42720</c:v>
                </c:pt>
                <c:pt idx="288">
                  <c:v>42719</c:v>
                </c:pt>
                <c:pt idx="289">
                  <c:v>42718</c:v>
                </c:pt>
                <c:pt idx="290">
                  <c:v>42717</c:v>
                </c:pt>
                <c:pt idx="291">
                  <c:v>42716</c:v>
                </c:pt>
                <c:pt idx="292">
                  <c:v>42713</c:v>
                </c:pt>
                <c:pt idx="293">
                  <c:v>42712</c:v>
                </c:pt>
                <c:pt idx="294">
                  <c:v>42711</c:v>
                </c:pt>
                <c:pt idx="295">
                  <c:v>42710</c:v>
                </c:pt>
                <c:pt idx="296">
                  <c:v>42709</c:v>
                </c:pt>
                <c:pt idx="297">
                  <c:v>42706</c:v>
                </c:pt>
                <c:pt idx="298">
                  <c:v>42705</c:v>
                </c:pt>
                <c:pt idx="299">
                  <c:v>42704</c:v>
                </c:pt>
                <c:pt idx="300">
                  <c:v>42703</c:v>
                </c:pt>
                <c:pt idx="301">
                  <c:v>42702</c:v>
                </c:pt>
                <c:pt idx="302">
                  <c:v>42699</c:v>
                </c:pt>
                <c:pt idx="303">
                  <c:v>42697</c:v>
                </c:pt>
                <c:pt idx="304">
                  <c:v>42696</c:v>
                </c:pt>
                <c:pt idx="305">
                  <c:v>42695</c:v>
                </c:pt>
                <c:pt idx="306">
                  <c:v>42692</c:v>
                </c:pt>
                <c:pt idx="307">
                  <c:v>42691</c:v>
                </c:pt>
                <c:pt idx="308">
                  <c:v>42690</c:v>
                </c:pt>
                <c:pt idx="309">
                  <c:v>42689</c:v>
                </c:pt>
                <c:pt idx="310">
                  <c:v>42688</c:v>
                </c:pt>
                <c:pt idx="311">
                  <c:v>42685</c:v>
                </c:pt>
                <c:pt idx="312">
                  <c:v>42684</c:v>
                </c:pt>
                <c:pt idx="313">
                  <c:v>42683</c:v>
                </c:pt>
                <c:pt idx="314">
                  <c:v>42682</c:v>
                </c:pt>
                <c:pt idx="315">
                  <c:v>42681</c:v>
                </c:pt>
                <c:pt idx="316">
                  <c:v>42678</c:v>
                </c:pt>
                <c:pt idx="317">
                  <c:v>42677</c:v>
                </c:pt>
                <c:pt idx="318">
                  <c:v>42676</c:v>
                </c:pt>
                <c:pt idx="319">
                  <c:v>42675</c:v>
                </c:pt>
                <c:pt idx="320">
                  <c:v>42674</c:v>
                </c:pt>
                <c:pt idx="321">
                  <c:v>42671</c:v>
                </c:pt>
                <c:pt idx="322">
                  <c:v>42670</c:v>
                </c:pt>
                <c:pt idx="323">
                  <c:v>42669</c:v>
                </c:pt>
                <c:pt idx="324">
                  <c:v>42668</c:v>
                </c:pt>
                <c:pt idx="325">
                  <c:v>42667</c:v>
                </c:pt>
                <c:pt idx="326">
                  <c:v>42664</c:v>
                </c:pt>
                <c:pt idx="327">
                  <c:v>42663</c:v>
                </c:pt>
                <c:pt idx="328">
                  <c:v>42662</c:v>
                </c:pt>
                <c:pt idx="329">
                  <c:v>42661</c:v>
                </c:pt>
                <c:pt idx="330">
                  <c:v>42660</c:v>
                </c:pt>
                <c:pt idx="331">
                  <c:v>42657</c:v>
                </c:pt>
                <c:pt idx="332">
                  <c:v>42656</c:v>
                </c:pt>
                <c:pt idx="333">
                  <c:v>42655</c:v>
                </c:pt>
                <c:pt idx="334">
                  <c:v>42654</c:v>
                </c:pt>
                <c:pt idx="335">
                  <c:v>42653</c:v>
                </c:pt>
                <c:pt idx="336">
                  <c:v>42643</c:v>
                </c:pt>
                <c:pt idx="337">
                  <c:v>42642</c:v>
                </c:pt>
                <c:pt idx="338">
                  <c:v>42641</c:v>
                </c:pt>
                <c:pt idx="339">
                  <c:v>42640</c:v>
                </c:pt>
                <c:pt idx="340">
                  <c:v>42639</c:v>
                </c:pt>
                <c:pt idx="341">
                  <c:v>42636</c:v>
                </c:pt>
                <c:pt idx="342">
                  <c:v>42635</c:v>
                </c:pt>
                <c:pt idx="343">
                  <c:v>42634</c:v>
                </c:pt>
                <c:pt idx="344">
                  <c:v>42633</c:v>
                </c:pt>
                <c:pt idx="345">
                  <c:v>42632</c:v>
                </c:pt>
                <c:pt idx="346">
                  <c:v>42627</c:v>
                </c:pt>
                <c:pt idx="347">
                  <c:v>42626</c:v>
                </c:pt>
                <c:pt idx="348">
                  <c:v>42625</c:v>
                </c:pt>
                <c:pt idx="349">
                  <c:v>42622</c:v>
                </c:pt>
                <c:pt idx="350">
                  <c:v>42621</c:v>
                </c:pt>
                <c:pt idx="351">
                  <c:v>42620</c:v>
                </c:pt>
                <c:pt idx="352">
                  <c:v>42619</c:v>
                </c:pt>
                <c:pt idx="353">
                  <c:v>42615</c:v>
                </c:pt>
                <c:pt idx="354">
                  <c:v>42614</c:v>
                </c:pt>
                <c:pt idx="355">
                  <c:v>42613</c:v>
                </c:pt>
                <c:pt idx="356">
                  <c:v>42612</c:v>
                </c:pt>
                <c:pt idx="357">
                  <c:v>42611</c:v>
                </c:pt>
                <c:pt idx="358">
                  <c:v>42608</c:v>
                </c:pt>
                <c:pt idx="359">
                  <c:v>42607</c:v>
                </c:pt>
                <c:pt idx="360">
                  <c:v>42606</c:v>
                </c:pt>
                <c:pt idx="361">
                  <c:v>42605</c:v>
                </c:pt>
                <c:pt idx="362">
                  <c:v>42604</c:v>
                </c:pt>
                <c:pt idx="363">
                  <c:v>42601</c:v>
                </c:pt>
                <c:pt idx="364">
                  <c:v>42600</c:v>
                </c:pt>
                <c:pt idx="365">
                  <c:v>42599</c:v>
                </c:pt>
                <c:pt idx="366">
                  <c:v>42598</c:v>
                </c:pt>
                <c:pt idx="367">
                  <c:v>42597</c:v>
                </c:pt>
                <c:pt idx="368">
                  <c:v>42594</c:v>
                </c:pt>
                <c:pt idx="369">
                  <c:v>42593</c:v>
                </c:pt>
                <c:pt idx="370">
                  <c:v>42592</c:v>
                </c:pt>
                <c:pt idx="371">
                  <c:v>42591</c:v>
                </c:pt>
                <c:pt idx="372">
                  <c:v>42590</c:v>
                </c:pt>
                <c:pt idx="373">
                  <c:v>42587</c:v>
                </c:pt>
                <c:pt idx="374">
                  <c:v>42586</c:v>
                </c:pt>
                <c:pt idx="375">
                  <c:v>42585</c:v>
                </c:pt>
                <c:pt idx="376">
                  <c:v>42584</c:v>
                </c:pt>
                <c:pt idx="377">
                  <c:v>42583</c:v>
                </c:pt>
                <c:pt idx="378">
                  <c:v>42580</c:v>
                </c:pt>
                <c:pt idx="379">
                  <c:v>42579</c:v>
                </c:pt>
                <c:pt idx="380">
                  <c:v>42578</c:v>
                </c:pt>
                <c:pt idx="381">
                  <c:v>42577</c:v>
                </c:pt>
                <c:pt idx="382">
                  <c:v>42576</c:v>
                </c:pt>
                <c:pt idx="383">
                  <c:v>42573</c:v>
                </c:pt>
                <c:pt idx="384">
                  <c:v>42572</c:v>
                </c:pt>
                <c:pt idx="385">
                  <c:v>42571</c:v>
                </c:pt>
                <c:pt idx="386">
                  <c:v>42570</c:v>
                </c:pt>
                <c:pt idx="387">
                  <c:v>42569</c:v>
                </c:pt>
                <c:pt idx="388">
                  <c:v>42566</c:v>
                </c:pt>
                <c:pt idx="389">
                  <c:v>42565</c:v>
                </c:pt>
                <c:pt idx="390">
                  <c:v>42564</c:v>
                </c:pt>
                <c:pt idx="391">
                  <c:v>42563</c:v>
                </c:pt>
                <c:pt idx="392">
                  <c:v>42562</c:v>
                </c:pt>
                <c:pt idx="393">
                  <c:v>42559</c:v>
                </c:pt>
                <c:pt idx="394">
                  <c:v>42558</c:v>
                </c:pt>
                <c:pt idx="395">
                  <c:v>42557</c:v>
                </c:pt>
                <c:pt idx="396">
                  <c:v>42556</c:v>
                </c:pt>
                <c:pt idx="397">
                  <c:v>42552</c:v>
                </c:pt>
                <c:pt idx="398">
                  <c:v>42551</c:v>
                </c:pt>
                <c:pt idx="399">
                  <c:v>42550</c:v>
                </c:pt>
                <c:pt idx="400">
                  <c:v>42549</c:v>
                </c:pt>
                <c:pt idx="401">
                  <c:v>42548</c:v>
                </c:pt>
                <c:pt idx="402">
                  <c:v>42545</c:v>
                </c:pt>
                <c:pt idx="403">
                  <c:v>42544</c:v>
                </c:pt>
                <c:pt idx="404">
                  <c:v>42543</c:v>
                </c:pt>
                <c:pt idx="405">
                  <c:v>42542</c:v>
                </c:pt>
                <c:pt idx="406">
                  <c:v>42541</c:v>
                </c:pt>
                <c:pt idx="407">
                  <c:v>42538</c:v>
                </c:pt>
                <c:pt idx="408">
                  <c:v>42537</c:v>
                </c:pt>
                <c:pt idx="409">
                  <c:v>42536</c:v>
                </c:pt>
                <c:pt idx="410">
                  <c:v>42535</c:v>
                </c:pt>
                <c:pt idx="411">
                  <c:v>42534</c:v>
                </c:pt>
                <c:pt idx="412">
                  <c:v>42529</c:v>
                </c:pt>
                <c:pt idx="413">
                  <c:v>42528</c:v>
                </c:pt>
                <c:pt idx="414">
                  <c:v>42527</c:v>
                </c:pt>
                <c:pt idx="415">
                  <c:v>42524</c:v>
                </c:pt>
                <c:pt idx="416">
                  <c:v>42523</c:v>
                </c:pt>
                <c:pt idx="417">
                  <c:v>42522</c:v>
                </c:pt>
                <c:pt idx="418">
                  <c:v>42521</c:v>
                </c:pt>
                <c:pt idx="419">
                  <c:v>42517</c:v>
                </c:pt>
                <c:pt idx="420">
                  <c:v>42516</c:v>
                </c:pt>
                <c:pt idx="421">
                  <c:v>42515</c:v>
                </c:pt>
                <c:pt idx="422">
                  <c:v>42514</c:v>
                </c:pt>
                <c:pt idx="423">
                  <c:v>42513</c:v>
                </c:pt>
                <c:pt idx="424">
                  <c:v>42510</c:v>
                </c:pt>
                <c:pt idx="425">
                  <c:v>42509</c:v>
                </c:pt>
                <c:pt idx="426">
                  <c:v>42508</c:v>
                </c:pt>
                <c:pt idx="427">
                  <c:v>42507</c:v>
                </c:pt>
                <c:pt idx="428">
                  <c:v>42503</c:v>
                </c:pt>
                <c:pt idx="429">
                  <c:v>42502</c:v>
                </c:pt>
                <c:pt idx="430">
                  <c:v>42501</c:v>
                </c:pt>
                <c:pt idx="431">
                  <c:v>42500</c:v>
                </c:pt>
                <c:pt idx="432">
                  <c:v>42499</c:v>
                </c:pt>
                <c:pt idx="433">
                  <c:v>42496</c:v>
                </c:pt>
                <c:pt idx="434">
                  <c:v>42495</c:v>
                </c:pt>
                <c:pt idx="435">
                  <c:v>42494</c:v>
                </c:pt>
                <c:pt idx="436">
                  <c:v>42493</c:v>
                </c:pt>
                <c:pt idx="437">
                  <c:v>42489</c:v>
                </c:pt>
                <c:pt idx="438">
                  <c:v>42488</c:v>
                </c:pt>
                <c:pt idx="439">
                  <c:v>42487</c:v>
                </c:pt>
                <c:pt idx="440">
                  <c:v>42486</c:v>
                </c:pt>
                <c:pt idx="441">
                  <c:v>42485</c:v>
                </c:pt>
                <c:pt idx="442">
                  <c:v>42482</c:v>
                </c:pt>
                <c:pt idx="443">
                  <c:v>42481</c:v>
                </c:pt>
                <c:pt idx="444">
                  <c:v>42480</c:v>
                </c:pt>
                <c:pt idx="445">
                  <c:v>42479</c:v>
                </c:pt>
                <c:pt idx="446">
                  <c:v>42478</c:v>
                </c:pt>
                <c:pt idx="447">
                  <c:v>42475</c:v>
                </c:pt>
                <c:pt idx="448">
                  <c:v>42474</c:v>
                </c:pt>
                <c:pt idx="449">
                  <c:v>42473</c:v>
                </c:pt>
                <c:pt idx="450">
                  <c:v>42472</c:v>
                </c:pt>
                <c:pt idx="451">
                  <c:v>42471</c:v>
                </c:pt>
                <c:pt idx="452">
                  <c:v>42468</c:v>
                </c:pt>
                <c:pt idx="453">
                  <c:v>42467</c:v>
                </c:pt>
                <c:pt idx="454">
                  <c:v>42466</c:v>
                </c:pt>
                <c:pt idx="455">
                  <c:v>42465</c:v>
                </c:pt>
                <c:pt idx="456">
                  <c:v>42461</c:v>
                </c:pt>
                <c:pt idx="457">
                  <c:v>42460</c:v>
                </c:pt>
                <c:pt idx="458">
                  <c:v>42459</c:v>
                </c:pt>
                <c:pt idx="459">
                  <c:v>42458</c:v>
                </c:pt>
                <c:pt idx="460">
                  <c:v>42453</c:v>
                </c:pt>
                <c:pt idx="461">
                  <c:v>42452</c:v>
                </c:pt>
                <c:pt idx="462">
                  <c:v>42451</c:v>
                </c:pt>
                <c:pt idx="463">
                  <c:v>42450</c:v>
                </c:pt>
                <c:pt idx="464">
                  <c:v>42447</c:v>
                </c:pt>
                <c:pt idx="465">
                  <c:v>42446</c:v>
                </c:pt>
                <c:pt idx="466">
                  <c:v>42445</c:v>
                </c:pt>
                <c:pt idx="467">
                  <c:v>42444</c:v>
                </c:pt>
                <c:pt idx="468">
                  <c:v>42443</c:v>
                </c:pt>
                <c:pt idx="469">
                  <c:v>42440</c:v>
                </c:pt>
                <c:pt idx="470">
                  <c:v>42439</c:v>
                </c:pt>
                <c:pt idx="471">
                  <c:v>42438</c:v>
                </c:pt>
                <c:pt idx="472">
                  <c:v>42437</c:v>
                </c:pt>
                <c:pt idx="473">
                  <c:v>42436</c:v>
                </c:pt>
                <c:pt idx="474">
                  <c:v>42433</c:v>
                </c:pt>
                <c:pt idx="475">
                  <c:v>42432</c:v>
                </c:pt>
                <c:pt idx="476">
                  <c:v>42431</c:v>
                </c:pt>
                <c:pt idx="477">
                  <c:v>42430</c:v>
                </c:pt>
                <c:pt idx="478">
                  <c:v>42429</c:v>
                </c:pt>
                <c:pt idx="479">
                  <c:v>42426</c:v>
                </c:pt>
                <c:pt idx="480">
                  <c:v>42425</c:v>
                </c:pt>
                <c:pt idx="481">
                  <c:v>42424</c:v>
                </c:pt>
                <c:pt idx="482">
                  <c:v>42423</c:v>
                </c:pt>
                <c:pt idx="483">
                  <c:v>42422</c:v>
                </c:pt>
                <c:pt idx="484">
                  <c:v>42419</c:v>
                </c:pt>
                <c:pt idx="485">
                  <c:v>42418</c:v>
                </c:pt>
                <c:pt idx="486">
                  <c:v>42417</c:v>
                </c:pt>
                <c:pt idx="487">
                  <c:v>42416</c:v>
                </c:pt>
                <c:pt idx="488">
                  <c:v>42405</c:v>
                </c:pt>
                <c:pt idx="489">
                  <c:v>42404</c:v>
                </c:pt>
                <c:pt idx="490">
                  <c:v>42403</c:v>
                </c:pt>
                <c:pt idx="491">
                  <c:v>42402</c:v>
                </c:pt>
                <c:pt idx="492">
                  <c:v>42401</c:v>
                </c:pt>
                <c:pt idx="493">
                  <c:v>42398</c:v>
                </c:pt>
                <c:pt idx="494">
                  <c:v>42397</c:v>
                </c:pt>
                <c:pt idx="495">
                  <c:v>42396</c:v>
                </c:pt>
                <c:pt idx="496">
                  <c:v>42395</c:v>
                </c:pt>
                <c:pt idx="497">
                  <c:v>42394</c:v>
                </c:pt>
                <c:pt idx="498">
                  <c:v>42391</c:v>
                </c:pt>
                <c:pt idx="499">
                  <c:v>42390</c:v>
                </c:pt>
                <c:pt idx="500">
                  <c:v>42389</c:v>
                </c:pt>
                <c:pt idx="501">
                  <c:v>42388</c:v>
                </c:pt>
                <c:pt idx="502">
                  <c:v>42384</c:v>
                </c:pt>
                <c:pt idx="503">
                  <c:v>42383</c:v>
                </c:pt>
                <c:pt idx="504">
                  <c:v>42382</c:v>
                </c:pt>
                <c:pt idx="505">
                  <c:v>42381</c:v>
                </c:pt>
                <c:pt idx="506">
                  <c:v>42380</c:v>
                </c:pt>
                <c:pt idx="507">
                  <c:v>42377</c:v>
                </c:pt>
                <c:pt idx="508">
                  <c:v>42376</c:v>
                </c:pt>
                <c:pt idx="509">
                  <c:v>42375</c:v>
                </c:pt>
                <c:pt idx="510">
                  <c:v>42374</c:v>
                </c:pt>
                <c:pt idx="511">
                  <c:v>42373</c:v>
                </c:pt>
              </c:numCache>
            </c:numRef>
          </c:cat>
          <c:val>
            <c:numRef>
              <c:f>'Graf 3+4'!$N$3:$N$567</c:f>
              <c:numCache>
                <c:formatCode>General</c:formatCode>
                <c:ptCount val="565"/>
                <c:pt idx="0">
                  <c:v>1.0810551195035327</c:v>
                </c:pt>
                <c:pt idx="1">
                  <c:v>1.0836461532628066</c:v>
                </c:pt>
                <c:pt idx="2">
                  <c:v>1.0808212945057445</c:v>
                </c:pt>
                <c:pt idx="3">
                  <c:v>1.0785272816896068</c:v>
                </c:pt>
                <c:pt idx="4">
                  <c:v>1.0671772899050798</c:v>
                </c:pt>
                <c:pt idx="5">
                  <c:v>1.0610156852336354</c:v>
                </c:pt>
                <c:pt idx="6">
                  <c:v>1.0602130967277139</c:v>
                </c:pt>
                <c:pt idx="7">
                  <c:v>1.0505535964812498</c:v>
                </c:pt>
                <c:pt idx="8">
                  <c:v>1.0740656479480275</c:v>
                </c:pt>
                <c:pt idx="9">
                  <c:v>1.0866416410723088</c:v>
                </c:pt>
                <c:pt idx="10">
                  <c:v>1.0926673744612545</c:v>
                </c:pt>
                <c:pt idx="11">
                  <c:v>1.0942946700539693</c:v>
                </c:pt>
                <c:pt idx="12">
                  <c:v>1.0874315903891605</c:v>
                </c:pt>
                <c:pt idx="13">
                  <c:v>1.0844392623769257</c:v>
                </c:pt>
                <c:pt idx="14">
                  <c:v>1.064797962562722</c:v>
                </c:pt>
                <c:pt idx="15">
                  <c:v>1.0556661484599146</c:v>
                </c:pt>
                <c:pt idx="16">
                  <c:v>1.0642987145944716</c:v>
                </c:pt>
                <c:pt idx="17">
                  <c:v>1.0509454113424082</c:v>
                </c:pt>
                <c:pt idx="18">
                  <c:v>1.0671583311214752</c:v>
                </c:pt>
                <c:pt idx="19">
                  <c:v>1.0915582856203945</c:v>
                </c:pt>
                <c:pt idx="20">
                  <c:v>1.0727258939066469</c:v>
                </c:pt>
                <c:pt idx="21">
                  <c:v>1.0992207939938572</c:v>
                </c:pt>
                <c:pt idx="22">
                  <c:v>1.1132850516310873</c:v>
                </c:pt>
                <c:pt idx="23">
                  <c:v>1.1303700754559587</c:v>
                </c:pt>
                <c:pt idx="24">
                  <c:v>1.1404624679280577</c:v>
                </c:pt>
                <c:pt idx="25">
                  <c:v>1.1396598794221362</c:v>
                </c:pt>
                <c:pt idx="26">
                  <c:v>1.1511267837055574</c:v>
                </c:pt>
                <c:pt idx="27">
                  <c:v>1.1525076151114144</c:v>
                </c:pt>
                <c:pt idx="28">
                  <c:v>1.1470538050278694</c:v>
                </c:pt>
                <c:pt idx="29">
                  <c:v>1.1511836600563707</c:v>
                </c:pt>
                <c:pt idx="30">
                  <c:v>1.1603691907127238</c:v>
                </c:pt>
                <c:pt idx="31">
                  <c:v>1.1581541728282714</c:v>
                </c:pt>
                <c:pt idx="32">
                  <c:v>1.153032141457804</c:v>
                </c:pt>
                <c:pt idx="33">
                  <c:v>1.1441341523527848</c:v>
                </c:pt>
                <c:pt idx="34">
                  <c:v>1.141565237174383</c:v>
                </c:pt>
                <c:pt idx="35">
                  <c:v>1.1444817300521999</c:v>
                </c:pt>
                <c:pt idx="36">
                  <c:v>1.1415115206208368</c:v>
                </c:pt>
                <c:pt idx="37">
                  <c:v>1.1360229527673502</c:v>
                </c:pt>
                <c:pt idx="38">
                  <c:v>1.1406330969804976</c:v>
                </c:pt>
                <c:pt idx="39">
                  <c:v>1.1447534726171968</c:v>
                </c:pt>
                <c:pt idx="40">
                  <c:v>1.1427248827715213</c:v>
                </c:pt>
                <c:pt idx="41">
                  <c:v>1.1399379415816682</c:v>
                </c:pt>
                <c:pt idx="42">
                  <c:v>1.1276937271704648</c:v>
                </c:pt>
                <c:pt idx="43">
                  <c:v>1.1090509232927614</c:v>
                </c:pt>
                <c:pt idx="44">
                  <c:v>1.1028292824732364</c:v>
                </c:pt>
                <c:pt idx="45">
                  <c:v>1.1071803233104562</c:v>
                </c:pt>
                <c:pt idx="46">
                  <c:v>1.1136105107496301</c:v>
                </c:pt>
                <c:pt idx="47">
                  <c:v>1.1217817464831457</c:v>
                </c:pt>
                <c:pt idx="48">
                  <c:v>1.1227992012032506</c:v>
                </c:pt>
                <c:pt idx="49">
                  <c:v>1.128294088651272</c:v>
                </c:pt>
                <c:pt idx="50">
                  <c:v>1.1225653762054626</c:v>
                </c:pt>
                <c:pt idx="51">
                  <c:v>1.131908896725186</c:v>
                </c:pt>
                <c:pt idx="52">
                  <c:v>1.1405035452925341</c:v>
                </c:pt>
                <c:pt idx="53">
                  <c:v>1.1250552964521796</c:v>
                </c:pt>
                <c:pt idx="54">
                  <c:v>1.123693423829927</c:v>
                </c:pt>
                <c:pt idx="55">
                  <c:v>1.1317603862536179</c:v>
                </c:pt>
                <c:pt idx="56">
                  <c:v>1.1376376091709954</c:v>
                </c:pt>
                <c:pt idx="57">
                  <c:v>1.1319057369279186</c:v>
                </c:pt>
                <c:pt idx="58">
                  <c:v>1.1348253896030029</c:v>
                </c:pt>
                <c:pt idx="59">
                  <c:v>1.1290366410091128</c:v>
                </c:pt>
                <c:pt idx="60">
                  <c:v>1.1253839153679899</c:v>
                </c:pt>
                <c:pt idx="61">
                  <c:v>1.1282277329086565</c:v>
                </c:pt>
                <c:pt idx="62">
                  <c:v>1.1300130183647417</c:v>
                </c:pt>
                <c:pt idx="63">
                  <c:v>1.1146342850642703</c:v>
                </c:pt>
                <c:pt idx="64">
                  <c:v>1.1280255058835424</c:v>
                </c:pt>
                <c:pt idx="65">
                  <c:v>1.1343387808238221</c:v>
                </c:pt>
                <c:pt idx="66">
                  <c:v>1.1323101909781468</c:v>
                </c:pt>
                <c:pt idx="67">
                  <c:v>1.1261580656985046</c:v>
                </c:pt>
                <c:pt idx="68">
                  <c:v>1.1315960767957127</c:v>
                </c:pt>
                <c:pt idx="69">
                  <c:v>1.1257251734728699</c:v>
                </c:pt>
                <c:pt idx="70">
                  <c:v>1.1309925555176379</c:v>
                </c:pt>
                <c:pt idx="71">
                  <c:v>1.1253333586117114</c:v>
                </c:pt>
                <c:pt idx="72">
                  <c:v>1.1209254414236782</c:v>
                </c:pt>
                <c:pt idx="73">
                  <c:v>1.1264045298853624</c:v>
                </c:pt>
                <c:pt idx="74">
                  <c:v>1.1203756366991493</c:v>
                </c:pt>
                <c:pt idx="75">
                  <c:v>1.1237439805862055</c:v>
                </c:pt>
                <c:pt idx="76">
                  <c:v>1.1294758528292823</c:v>
                </c:pt>
                <c:pt idx="77">
                  <c:v>1.1355553027717742</c:v>
                </c:pt>
                <c:pt idx="78">
                  <c:v>1.1414767628508955</c:v>
                </c:pt>
                <c:pt idx="79">
                  <c:v>1.1549185404264461</c:v>
                </c:pt>
                <c:pt idx="80">
                  <c:v>1.1560971448071891</c:v>
                </c:pt>
                <c:pt idx="81">
                  <c:v>1.1635511065610029</c:v>
                </c:pt>
                <c:pt idx="82">
                  <c:v>1.1659525524842325</c:v>
                </c:pt>
                <c:pt idx="83">
                  <c:v>1.1655860160012133</c:v>
                </c:pt>
                <c:pt idx="84">
                  <c:v>1.1683034416511837</c:v>
                </c:pt>
                <c:pt idx="85">
                  <c:v>1.1571746356753749</c:v>
                </c:pt>
                <c:pt idx="86">
                  <c:v>1.1540306373943048</c:v>
                </c:pt>
                <c:pt idx="87">
                  <c:v>1.1492814621013914</c:v>
                </c:pt>
                <c:pt idx="88">
                  <c:v>1.1348285494002703</c:v>
                </c:pt>
                <c:pt idx="89">
                  <c:v>1.1409048395454946</c:v>
                </c:pt>
                <c:pt idx="90">
                  <c:v>1.1403297564428265</c:v>
                </c:pt>
                <c:pt idx="91">
                  <c:v>1.1391353530757466</c:v>
                </c:pt>
                <c:pt idx="92">
                  <c:v>1.138184254098257</c:v>
                </c:pt>
                <c:pt idx="93">
                  <c:v>1.1437360178970917</c:v>
                </c:pt>
                <c:pt idx="94">
                  <c:v>1.1399821787434117</c:v>
                </c:pt>
                <c:pt idx="95">
                  <c:v>1.1395082091533006</c:v>
                </c:pt>
                <c:pt idx="96">
                  <c:v>1.1389647240233067</c:v>
                </c:pt>
                <c:pt idx="97">
                  <c:v>1.1392775439527798</c:v>
                </c:pt>
                <c:pt idx="98">
                  <c:v>1.1398621064472503</c:v>
                </c:pt>
                <c:pt idx="99">
                  <c:v>1.13714468079728</c:v>
                </c:pt>
                <c:pt idx="100">
                  <c:v>1.1408448033974139</c:v>
                </c:pt>
                <c:pt idx="101">
                  <c:v>1.1358997206739214</c:v>
                </c:pt>
                <c:pt idx="102">
                  <c:v>1.1260379934023432</c:v>
                </c:pt>
                <c:pt idx="103">
                  <c:v>1.1233616451168493</c:v>
                </c:pt>
                <c:pt idx="104">
                  <c:v>1.1174243860513908</c:v>
                </c:pt>
                <c:pt idx="105">
                  <c:v>1.1178762370606301</c:v>
                </c:pt>
                <c:pt idx="106">
                  <c:v>1.1190169238741641</c:v>
                </c:pt>
                <c:pt idx="107">
                  <c:v>1.1184386809742286</c:v>
                </c:pt>
                <c:pt idx="108">
                  <c:v>1.1140023256107887</c:v>
                </c:pt>
                <c:pt idx="109">
                  <c:v>1.1157812914723391</c:v>
                </c:pt>
                <c:pt idx="110">
                  <c:v>1.1143783414856101</c:v>
                </c:pt>
                <c:pt idx="111">
                  <c:v>1.1108425283433814</c:v>
                </c:pt>
                <c:pt idx="112">
                  <c:v>1.1142961867566576</c:v>
                </c:pt>
                <c:pt idx="113">
                  <c:v>1.1132408144693435</c:v>
                </c:pt>
                <c:pt idx="114">
                  <c:v>1.1098977489604267</c:v>
                </c:pt>
                <c:pt idx="115">
                  <c:v>1.1044091811069401</c:v>
                </c:pt>
                <c:pt idx="116">
                  <c:v>1.0894001440867553</c:v>
                </c:pt>
                <c:pt idx="117">
                  <c:v>1.0893906646949532</c:v>
                </c:pt>
                <c:pt idx="118">
                  <c:v>1.0850111856823266</c:v>
                </c:pt>
                <c:pt idx="119">
                  <c:v>1.0809224080183015</c:v>
                </c:pt>
                <c:pt idx="120">
                  <c:v>1.0881962613278731</c:v>
                </c:pt>
                <c:pt idx="121">
                  <c:v>1.0811151556516132</c:v>
                </c:pt>
                <c:pt idx="122">
                  <c:v>1.075503355704698</c:v>
                </c:pt>
                <c:pt idx="123">
                  <c:v>1.0706088297374838</c:v>
                </c:pt>
                <c:pt idx="124">
                  <c:v>1.0809761245718474</c:v>
                </c:pt>
                <c:pt idx="125">
                  <c:v>1.0865120893843452</c:v>
                </c:pt>
                <c:pt idx="126">
                  <c:v>1.0884648440956028</c:v>
                </c:pt>
                <c:pt idx="127">
                  <c:v>1.0865373677624843</c:v>
                </c:pt>
                <c:pt idx="128">
                  <c:v>1.0918963839280071</c:v>
                </c:pt>
                <c:pt idx="129">
                  <c:v>1.0817660738886994</c:v>
                </c:pt>
                <c:pt idx="130">
                  <c:v>1.0888756177403658</c:v>
                </c:pt>
                <c:pt idx="131">
                  <c:v>1.0939123345846129</c:v>
                </c:pt>
                <c:pt idx="132">
                  <c:v>1.1010534764089537</c:v>
                </c:pt>
                <c:pt idx="133">
                  <c:v>1.0938933758010085</c:v>
                </c:pt>
                <c:pt idx="134">
                  <c:v>1.0903386038751752</c:v>
                </c:pt>
                <c:pt idx="135">
                  <c:v>1.0763343823860261</c:v>
                </c:pt>
                <c:pt idx="136">
                  <c:v>1.0849290309533739</c:v>
                </c:pt>
                <c:pt idx="137">
                  <c:v>1.0959598832138928</c:v>
                </c:pt>
                <c:pt idx="138">
                  <c:v>1.1108678067215207</c:v>
                </c:pt>
                <c:pt idx="139">
                  <c:v>1.1077617260076593</c:v>
                </c:pt>
                <c:pt idx="140">
                  <c:v>1.1082704533677119</c:v>
                </c:pt>
                <c:pt idx="141">
                  <c:v>1.0953026453822721</c:v>
                </c:pt>
                <c:pt idx="142">
                  <c:v>1.0930749883087501</c:v>
                </c:pt>
                <c:pt idx="143">
                  <c:v>1.0987847419709551</c:v>
                </c:pt>
                <c:pt idx="144">
                  <c:v>1.0899278302304123</c:v>
                </c:pt>
                <c:pt idx="145">
                  <c:v>1.0957323778106396</c:v>
                </c:pt>
                <c:pt idx="146">
                  <c:v>1.1037614226671215</c:v>
                </c:pt>
                <c:pt idx="147">
                  <c:v>1.1031452621999771</c:v>
                </c:pt>
                <c:pt idx="148">
                  <c:v>1.0975682200230032</c:v>
                </c:pt>
                <c:pt idx="149">
                  <c:v>1.0911317129892946</c:v>
                </c:pt>
                <c:pt idx="150">
                  <c:v>1.0906703825882531</c:v>
                </c:pt>
                <c:pt idx="151">
                  <c:v>1.1057678939319251</c:v>
                </c:pt>
                <c:pt idx="152">
                  <c:v>1.1060175179160505</c:v>
                </c:pt>
                <c:pt idx="153">
                  <c:v>1.0991923558184507</c:v>
                </c:pt>
                <c:pt idx="154">
                  <c:v>1.111095312124774</c:v>
                </c:pt>
                <c:pt idx="155">
                  <c:v>1.1141255577042177</c:v>
                </c:pt>
                <c:pt idx="156">
                  <c:v>1.1147227593877576</c:v>
                </c:pt>
                <c:pt idx="157">
                  <c:v>1.1107414148308243</c:v>
                </c:pt>
                <c:pt idx="158">
                  <c:v>1.0947054436987322</c:v>
                </c:pt>
                <c:pt idx="159">
                  <c:v>1.0989964483878714</c:v>
                </c:pt>
                <c:pt idx="160">
                  <c:v>1.0945032166736182</c:v>
                </c:pt>
                <c:pt idx="161">
                  <c:v>1.0939407727600197</c:v>
                </c:pt>
                <c:pt idx="162">
                  <c:v>1.0991070412922306</c:v>
                </c:pt>
                <c:pt idx="163">
                  <c:v>1.1033411696305564</c:v>
                </c:pt>
                <c:pt idx="164">
                  <c:v>1.0875643018743917</c:v>
                </c:pt>
                <c:pt idx="165">
                  <c:v>1.0968699048269062</c:v>
                </c:pt>
                <c:pt idx="166">
                  <c:v>1.1172095198372072</c:v>
                </c:pt>
                <c:pt idx="167">
                  <c:v>1.1180373867212678</c:v>
                </c:pt>
                <c:pt idx="168">
                  <c:v>1.1254439515160708</c:v>
                </c:pt>
                <c:pt idx="169">
                  <c:v>1.1197310380565981</c:v>
                </c:pt>
                <c:pt idx="170">
                  <c:v>1.1235480731556264</c:v>
                </c:pt>
                <c:pt idx="171">
                  <c:v>1.1231025417409217</c:v>
                </c:pt>
                <c:pt idx="172">
                  <c:v>1.1250963738166557</c:v>
                </c:pt>
                <c:pt idx="173">
                  <c:v>1.1310747102465906</c:v>
                </c:pt>
                <c:pt idx="174">
                  <c:v>1.1197942340019464</c:v>
                </c:pt>
                <c:pt idx="175">
                  <c:v>1.1139738874353822</c:v>
                </c:pt>
                <c:pt idx="176">
                  <c:v>1.1208274877083886</c:v>
                </c:pt>
                <c:pt idx="177">
                  <c:v>1.1242147903790491</c:v>
                </c:pt>
                <c:pt idx="178">
                  <c:v>1.1198163525828182</c:v>
                </c:pt>
                <c:pt idx="179">
                  <c:v>1.1331254186731379</c:v>
                </c:pt>
                <c:pt idx="180">
                  <c:v>1.1261138285367611</c:v>
                </c:pt>
                <c:pt idx="181">
                  <c:v>1.1213614934465805</c:v>
                </c:pt>
                <c:pt idx="182">
                  <c:v>1.1230488251873758</c:v>
                </c:pt>
                <c:pt idx="183">
                  <c:v>1.1349423021018972</c:v>
                </c:pt>
                <c:pt idx="184">
                  <c:v>1.1271060048787269</c:v>
                </c:pt>
                <c:pt idx="185">
                  <c:v>1.1231783768753396</c:v>
                </c:pt>
                <c:pt idx="186">
                  <c:v>1.1308977615996156</c:v>
                </c:pt>
                <c:pt idx="187">
                  <c:v>1.1326451294884921</c:v>
                </c:pt>
                <c:pt idx="188">
                  <c:v>1.1332992075228452</c:v>
                </c:pt>
                <c:pt idx="189">
                  <c:v>1.1359565970247349</c:v>
                </c:pt>
                <c:pt idx="190">
                  <c:v>1.1301109720800313</c:v>
                </c:pt>
                <c:pt idx="191">
                  <c:v>1.1334224396162742</c:v>
                </c:pt>
                <c:pt idx="192">
                  <c:v>1.1255893021903713</c:v>
                </c:pt>
                <c:pt idx="193">
                  <c:v>1.1327336038119793</c:v>
                </c:pt>
                <c:pt idx="194">
                  <c:v>1.1507634070198054</c:v>
                </c:pt>
                <c:pt idx="195">
                  <c:v>1.1507602472225382</c:v>
                </c:pt>
                <c:pt idx="196">
                  <c:v>1.1493825756139486</c:v>
                </c:pt>
                <c:pt idx="197">
                  <c:v>1.1449683388313805</c:v>
                </c:pt>
                <c:pt idx="198">
                  <c:v>1.1519799289677572</c:v>
                </c:pt>
                <c:pt idx="199">
                  <c:v>1.1530353012550714</c:v>
                </c:pt>
                <c:pt idx="200">
                  <c:v>1.1508329225596885</c:v>
                </c:pt>
                <c:pt idx="201">
                  <c:v>1.1561034644017238</c:v>
                </c:pt>
                <c:pt idx="202">
                  <c:v>1.1463365310481679</c:v>
                </c:pt>
                <c:pt idx="203">
                  <c:v>1.1331822950239512</c:v>
                </c:pt>
                <c:pt idx="204">
                  <c:v>1.1306418180209556</c:v>
                </c:pt>
                <c:pt idx="205">
                  <c:v>1.1247582755090433</c:v>
                </c:pt>
                <c:pt idx="206">
                  <c:v>1.125927400497984</c:v>
                </c:pt>
                <c:pt idx="207">
                  <c:v>1.130799807884326</c:v>
                </c:pt>
                <c:pt idx="208">
                  <c:v>1.1322059176683223</c:v>
                </c:pt>
                <c:pt idx="209">
                  <c:v>1.1303795548477609</c:v>
                </c:pt>
                <c:pt idx="210">
                  <c:v>1.0870555745143391</c:v>
                </c:pt>
                <c:pt idx="211">
                  <c:v>1.0869797393799214</c:v>
                </c:pt>
                <c:pt idx="212">
                  <c:v>1.0809634853827776</c:v>
                </c:pt>
                <c:pt idx="213">
                  <c:v>1.0774213526460141</c:v>
                </c:pt>
                <c:pt idx="214">
                  <c:v>1.0895802525309977</c:v>
                </c:pt>
                <c:pt idx="215">
                  <c:v>1.0959788419974974</c:v>
                </c:pt>
                <c:pt idx="216">
                  <c:v>1.0964622909794106</c:v>
                </c:pt>
                <c:pt idx="217">
                  <c:v>1.0997484801375144</c:v>
                </c:pt>
                <c:pt idx="218">
                  <c:v>1.104601928740252</c:v>
                </c:pt>
                <c:pt idx="219">
                  <c:v>1.1026333750426573</c:v>
                </c:pt>
                <c:pt idx="220">
                  <c:v>1.0972648794853321</c:v>
                </c:pt>
                <c:pt idx="221">
                  <c:v>1.1062229047384318</c:v>
                </c:pt>
                <c:pt idx="222">
                  <c:v>1.1001086970259988</c:v>
                </c:pt>
                <c:pt idx="223">
                  <c:v>1.0981148649502648</c:v>
                </c:pt>
                <c:pt idx="224">
                  <c:v>1.0948918717375093</c:v>
                </c:pt>
                <c:pt idx="225">
                  <c:v>1.0860665579696405</c:v>
                </c:pt>
                <c:pt idx="226">
                  <c:v>1.0882815758540931</c:v>
                </c:pt>
                <c:pt idx="227">
                  <c:v>1.090818893059821</c:v>
                </c:pt>
                <c:pt idx="228">
                  <c:v>1.0808718512620228</c:v>
                </c:pt>
                <c:pt idx="229">
                  <c:v>1.0836903904245503</c:v>
                </c:pt>
                <c:pt idx="230">
                  <c:v>1.0861739910767325</c:v>
                </c:pt>
                <c:pt idx="231">
                  <c:v>1.0896276494900086</c:v>
                </c:pt>
                <c:pt idx="232">
                  <c:v>1.0869576207990495</c:v>
                </c:pt>
                <c:pt idx="233">
                  <c:v>1.0772760019717136</c:v>
                </c:pt>
                <c:pt idx="234">
                  <c:v>1.0741509624742476</c:v>
                </c:pt>
                <c:pt idx="235">
                  <c:v>1.0792255968857036</c:v>
                </c:pt>
                <c:pt idx="236">
                  <c:v>1.0794720610725614</c:v>
                </c:pt>
                <c:pt idx="237">
                  <c:v>1.0774561104159557</c:v>
                </c:pt>
                <c:pt idx="238">
                  <c:v>1.0710512013549209</c:v>
                </c:pt>
                <c:pt idx="239">
                  <c:v>1.0696292925845876</c:v>
                </c:pt>
                <c:pt idx="240">
                  <c:v>1.070368685145161</c:v>
                </c:pt>
                <c:pt idx="241">
                  <c:v>1.0754022421921408</c:v>
                </c:pt>
                <c:pt idx="242">
                  <c:v>1.069499740896624</c:v>
                </c:pt>
                <c:pt idx="243">
                  <c:v>1.0712344695964306</c:v>
                </c:pt>
                <c:pt idx="244">
                  <c:v>1.0489294606858024</c:v>
                </c:pt>
                <c:pt idx="245">
                  <c:v>1.0456717097031054</c:v>
                </c:pt>
                <c:pt idx="246">
                  <c:v>1.0440254553267863</c:v>
                </c:pt>
                <c:pt idx="247">
                  <c:v>1.0534637697645319</c:v>
                </c:pt>
                <c:pt idx="248">
                  <c:v>1.055141622113525</c:v>
                </c:pt>
                <c:pt idx="249">
                  <c:v>1.0551605808971296</c:v>
                </c:pt>
                <c:pt idx="250">
                  <c:v>1.0455168796370025</c:v>
                </c:pt>
                <c:pt idx="251">
                  <c:v>1.0462215144276343</c:v>
                </c:pt>
                <c:pt idx="252">
                  <c:v>1.0502249775654393</c:v>
                </c:pt>
                <c:pt idx="253">
                  <c:v>1.0455421580151416</c:v>
                </c:pt>
                <c:pt idx="254">
                  <c:v>1.0443856722152707</c:v>
                </c:pt>
                <c:pt idx="255">
                  <c:v>1.0335159696153893</c:v>
                </c:pt>
                <c:pt idx="256">
                  <c:v>1.035715188513505</c:v>
                </c:pt>
                <c:pt idx="257">
                  <c:v>1.0231549943755607</c:v>
                </c:pt>
                <c:pt idx="258">
                  <c:v>1.0224187616122549</c:v>
                </c:pt>
                <c:pt idx="259">
                  <c:v>1.0232403089017807</c:v>
                </c:pt>
                <c:pt idx="260">
                  <c:v>1.0342364033923583</c:v>
                </c:pt>
                <c:pt idx="261">
                  <c:v>1.0487777904169668</c:v>
                </c:pt>
                <c:pt idx="262">
                  <c:v>1.0509959680986867</c:v>
                </c:pt>
                <c:pt idx="263">
                  <c:v>1.0368969526915153</c:v>
                </c:pt>
                <c:pt idx="264">
                  <c:v>1.0342142848114864</c:v>
                </c:pt>
                <c:pt idx="265">
                  <c:v>1.0425561495974418</c:v>
                </c:pt>
                <c:pt idx="266">
                  <c:v>1.0396775742868336</c:v>
                </c:pt>
                <c:pt idx="267">
                  <c:v>1.0408372198839722</c:v>
                </c:pt>
                <c:pt idx="268">
                  <c:v>1.0380060415323753</c:v>
                </c:pt>
                <c:pt idx="269">
                  <c:v>1.050424044793286</c:v>
                </c:pt>
                <c:pt idx="270">
                  <c:v>1.0385305678787649</c:v>
                </c:pt>
                <c:pt idx="271">
                  <c:v>1.0452419772747379</c:v>
                </c:pt>
                <c:pt idx="272">
                  <c:v>1.0446953323474766</c:v>
                </c:pt>
                <c:pt idx="273">
                  <c:v>1.045567436393281</c:v>
                </c:pt>
                <c:pt idx="274">
                  <c:v>1.0494223890595178</c:v>
                </c:pt>
                <c:pt idx="275">
                  <c:v>1.0479372843438364</c:v>
                </c:pt>
                <c:pt idx="276">
                  <c:v>1.0482690630569143</c:v>
                </c:pt>
                <c:pt idx="277">
                  <c:v>1.0474791137400623</c:v>
                </c:pt>
                <c:pt idx="278">
                  <c:v>1.0397376104349145</c:v>
                </c:pt>
                <c:pt idx="279">
                  <c:v>1.0338098307612584</c:v>
                </c:pt>
                <c:pt idx="280">
                  <c:v>1.0360090496593737</c:v>
                </c:pt>
                <c:pt idx="281">
                  <c:v>1.0359490135112932</c:v>
                </c:pt>
                <c:pt idx="282">
                  <c:v>1.0345081459573553</c:v>
                </c:pt>
                <c:pt idx="283">
                  <c:v>1.0330988763760918</c:v>
                </c:pt>
                <c:pt idx="284">
                  <c:v>1.0334906912372501</c:v>
                </c:pt>
                <c:pt idx="285">
                  <c:v>1.0362270756708249</c:v>
                </c:pt>
                <c:pt idx="286">
                  <c:v>1.0294145527622947</c:v>
                </c:pt>
                <c:pt idx="287">
                  <c:v>1.0298537645824644</c:v>
                </c:pt>
                <c:pt idx="288">
                  <c:v>1.0268519571784274</c:v>
                </c:pt>
                <c:pt idx="289">
                  <c:v>1.0148352481704774</c:v>
                </c:pt>
                <c:pt idx="290">
                  <c:v>1.0227347413389956</c:v>
                </c:pt>
                <c:pt idx="291">
                  <c:v>1.0108539036135442</c:v>
                </c:pt>
                <c:pt idx="292">
                  <c:v>1.0103578154425612</c:v>
                </c:pt>
                <c:pt idx="293">
                  <c:v>1.0066450536533575</c:v>
                </c:pt>
                <c:pt idx="294">
                  <c:v>0.99288413655379859</c:v>
                </c:pt>
                <c:pt idx="295">
                  <c:v>0.9797772974885931</c:v>
                </c:pt>
                <c:pt idx="296">
                  <c:v>0.96460711080777051</c:v>
                </c:pt>
                <c:pt idx="297">
                  <c:v>0.95271995348778415</c:v>
                </c:pt>
                <c:pt idx="298">
                  <c:v>0.95772823215662473</c:v>
                </c:pt>
                <c:pt idx="299">
                  <c:v>0.96424689391928609</c:v>
                </c:pt>
                <c:pt idx="300">
                  <c:v>0.96007912132357587</c:v>
                </c:pt>
                <c:pt idx="301">
                  <c:v>0.95324763963144121</c:v>
                </c:pt>
                <c:pt idx="302">
                  <c:v>0.96322627940191352</c:v>
                </c:pt>
                <c:pt idx="303">
                  <c:v>0.95809476863964393</c:v>
                </c:pt>
                <c:pt idx="304">
                  <c:v>0.96194656150861357</c:v>
                </c:pt>
                <c:pt idx="305">
                  <c:v>0.95835703181283871</c:v>
                </c:pt>
                <c:pt idx="306">
                  <c:v>0.95452103793020626</c:v>
                </c:pt>
                <c:pt idx="307">
                  <c:v>0.96114397300269205</c:v>
                </c:pt>
                <c:pt idx="308">
                  <c:v>0.95626840581908257</c:v>
                </c:pt>
                <c:pt idx="309">
                  <c:v>0.96364969223574604</c:v>
                </c:pt>
                <c:pt idx="310">
                  <c:v>0.96051517334647807</c:v>
                </c:pt>
                <c:pt idx="311">
                  <c:v>0.95742489161895361</c:v>
                </c:pt>
                <c:pt idx="312">
                  <c:v>0.96266067569104763</c:v>
                </c:pt>
                <c:pt idx="313">
                  <c:v>0.96572567904043272</c:v>
                </c:pt>
                <c:pt idx="314">
                  <c:v>0.95534258521973214</c:v>
                </c:pt>
                <c:pt idx="315">
                  <c:v>0.95087147208635092</c:v>
                </c:pt>
                <c:pt idx="316">
                  <c:v>0.93357158204729584</c:v>
                </c:pt>
                <c:pt idx="317">
                  <c:v>0.93956255766630004</c:v>
                </c:pt>
                <c:pt idx="318">
                  <c:v>0.94167330224092816</c:v>
                </c:pt>
                <c:pt idx="319">
                  <c:v>0.9552541108962449</c:v>
                </c:pt>
                <c:pt idx="320">
                  <c:v>0.96539706012462234</c:v>
                </c:pt>
                <c:pt idx="321">
                  <c:v>0.97297741376913238</c:v>
                </c:pt>
                <c:pt idx="322">
                  <c:v>0.9748511735487051</c:v>
                </c:pt>
                <c:pt idx="323">
                  <c:v>0.97352721849366142</c:v>
                </c:pt>
                <c:pt idx="324">
                  <c:v>0.97555896813660425</c:v>
                </c:pt>
                <c:pt idx="325">
                  <c:v>0.9775970373740821</c:v>
                </c:pt>
                <c:pt idx="326">
                  <c:v>0.97247500600361481</c:v>
                </c:pt>
                <c:pt idx="327">
                  <c:v>0.97215270668233922</c:v>
                </c:pt>
                <c:pt idx="328">
                  <c:v>0.9656150861360735</c:v>
                </c:pt>
                <c:pt idx="329">
                  <c:v>0.96278706758174382</c:v>
                </c:pt>
                <c:pt idx="330">
                  <c:v>0.95069452343937599</c:v>
                </c:pt>
                <c:pt idx="331">
                  <c:v>0.95589870953879597</c:v>
                </c:pt>
                <c:pt idx="332">
                  <c:v>0.94005232624274815</c:v>
                </c:pt>
                <c:pt idx="333">
                  <c:v>0.95047649742792506</c:v>
                </c:pt>
                <c:pt idx="334">
                  <c:v>0.95447680076846264</c:v>
                </c:pt>
                <c:pt idx="335">
                  <c:v>0.95923861525044551</c:v>
                </c:pt>
                <c:pt idx="336">
                  <c:v>0.94864697481009608</c:v>
                </c:pt>
                <c:pt idx="337">
                  <c:v>0.94527863092303988</c:v>
                </c:pt>
                <c:pt idx="338">
                  <c:v>0.94513012045147182</c:v>
                </c:pt>
                <c:pt idx="339">
                  <c:v>0.93872521139043719</c:v>
                </c:pt>
                <c:pt idx="340">
                  <c:v>0.94031774921321043</c:v>
                </c:pt>
                <c:pt idx="341">
                  <c:v>0.95814848519318996</c:v>
                </c:pt>
                <c:pt idx="342">
                  <c:v>0.96427217229742535</c:v>
                </c:pt>
                <c:pt idx="343">
                  <c:v>0.94230842149167693</c:v>
                </c:pt>
                <c:pt idx="344">
                  <c:v>0.93683565262452762</c:v>
                </c:pt>
                <c:pt idx="345">
                  <c:v>0.93792578268178306</c:v>
                </c:pt>
                <c:pt idx="346">
                  <c:v>0.93684829181359719</c:v>
                </c:pt>
                <c:pt idx="347">
                  <c:v>0.93997649110833048</c:v>
                </c:pt>
                <c:pt idx="348">
                  <c:v>0.95200899910261749</c:v>
                </c:pt>
                <c:pt idx="349">
                  <c:v>0.96474930168480377</c:v>
                </c:pt>
                <c:pt idx="350">
                  <c:v>0.97433612659411761</c:v>
                </c:pt>
                <c:pt idx="351">
                  <c:v>0.97690188197525241</c:v>
                </c:pt>
                <c:pt idx="352">
                  <c:v>0.97010831785032658</c:v>
                </c:pt>
                <c:pt idx="353">
                  <c:v>0.97313540363250284</c:v>
                </c:pt>
                <c:pt idx="354">
                  <c:v>0.95346566564289226</c:v>
                </c:pt>
                <c:pt idx="355">
                  <c:v>0.95524779130171</c:v>
                </c:pt>
                <c:pt idx="356">
                  <c:v>0.95765555681947445</c:v>
                </c:pt>
                <c:pt idx="357">
                  <c:v>0.94746521063208577</c:v>
                </c:pt>
                <c:pt idx="358">
                  <c:v>0.95121273019123087</c:v>
                </c:pt>
                <c:pt idx="359">
                  <c:v>0.94404946978601845</c:v>
                </c:pt>
                <c:pt idx="360">
                  <c:v>0.95065344607489977</c:v>
                </c:pt>
                <c:pt idx="361">
                  <c:v>0.94595798733553249</c:v>
                </c:pt>
                <c:pt idx="362">
                  <c:v>0.93541690365146157</c:v>
                </c:pt>
                <c:pt idx="363">
                  <c:v>0.93789102491184151</c:v>
                </c:pt>
                <c:pt idx="364">
                  <c:v>0.9464540755065155</c:v>
                </c:pt>
                <c:pt idx="365">
                  <c:v>0.94179021473982216</c:v>
                </c:pt>
                <c:pt idx="366">
                  <c:v>0.95305489199812932</c:v>
                </c:pt>
                <c:pt idx="367">
                  <c:v>0.9626796344746521</c:v>
                </c:pt>
                <c:pt idx="368">
                  <c:v>0.96213930914192536</c:v>
                </c:pt>
                <c:pt idx="369">
                  <c:v>0.96343166622429499</c:v>
                </c:pt>
                <c:pt idx="370">
                  <c:v>0.95377216597783077</c:v>
                </c:pt>
                <c:pt idx="371">
                  <c:v>0.95715946864849144</c:v>
                </c:pt>
                <c:pt idx="372">
                  <c:v>0.94254224648946516</c:v>
                </c:pt>
                <c:pt idx="373">
                  <c:v>0.93963207320618303</c:v>
                </c:pt>
                <c:pt idx="374">
                  <c:v>0.92655999191091898</c:v>
                </c:pt>
                <c:pt idx="375">
                  <c:v>0.91983594332587615</c:v>
                </c:pt>
                <c:pt idx="376">
                  <c:v>0.91854674604077402</c:v>
                </c:pt>
                <c:pt idx="377">
                  <c:v>0.93760980295504237</c:v>
                </c:pt>
                <c:pt idx="378">
                  <c:v>0.9450195275471126</c:v>
                </c:pt>
                <c:pt idx="379">
                  <c:v>0.93722746748568597</c:v>
                </c:pt>
                <c:pt idx="380">
                  <c:v>0.94777487076429168</c:v>
                </c:pt>
                <c:pt idx="381">
                  <c:v>0.94127200798796751</c:v>
                </c:pt>
                <c:pt idx="382">
                  <c:v>0.93947724314007997</c:v>
                </c:pt>
                <c:pt idx="383">
                  <c:v>0.93916442321060678</c:v>
                </c:pt>
                <c:pt idx="384">
                  <c:v>0.93798265903259637</c:v>
                </c:pt>
                <c:pt idx="385">
                  <c:v>0.93749605025341565</c:v>
                </c:pt>
                <c:pt idx="386">
                  <c:v>0.9261681770497604</c:v>
                </c:pt>
                <c:pt idx="387">
                  <c:v>0.93187793071196545</c:v>
                </c:pt>
                <c:pt idx="388">
                  <c:v>0.93487341852146766</c:v>
                </c:pt>
                <c:pt idx="389">
                  <c:v>0.93627004891366172</c:v>
                </c:pt>
                <c:pt idx="390">
                  <c:v>0.9246009176051263</c:v>
                </c:pt>
                <c:pt idx="391">
                  <c:v>0.92690756961033371</c:v>
                </c:pt>
                <c:pt idx="392">
                  <c:v>0.91170262515956979</c:v>
                </c:pt>
                <c:pt idx="393">
                  <c:v>0.89675362428746574</c:v>
                </c:pt>
                <c:pt idx="394">
                  <c:v>0.87845523831190986</c:v>
                </c:pt>
                <c:pt idx="395">
                  <c:v>0.87253693803005594</c:v>
                </c:pt>
                <c:pt idx="396">
                  <c:v>0.88881305375447106</c:v>
                </c:pt>
                <c:pt idx="397">
                  <c:v>0.91098851097713562</c:v>
                </c:pt>
                <c:pt idx="398">
                  <c:v>0.9051997623832454</c:v>
                </c:pt>
                <c:pt idx="399">
                  <c:v>0.89491146248056719</c:v>
                </c:pt>
                <c:pt idx="400">
                  <c:v>0.87168379276785601</c:v>
                </c:pt>
                <c:pt idx="401">
                  <c:v>0.85233635409952091</c:v>
                </c:pt>
                <c:pt idx="402">
                  <c:v>0.8771881596076796</c:v>
                </c:pt>
                <c:pt idx="403">
                  <c:v>0.95990217267660105</c:v>
                </c:pt>
                <c:pt idx="404">
                  <c:v>0.9410855799491904</c:v>
                </c:pt>
                <c:pt idx="405">
                  <c:v>0.93761928234684466</c:v>
                </c:pt>
                <c:pt idx="406">
                  <c:v>0.92989041823076624</c:v>
                </c:pt>
                <c:pt idx="407">
                  <c:v>0.90027995803789229</c:v>
                </c:pt>
                <c:pt idx="408">
                  <c:v>0.89084164360014662</c:v>
                </c:pt>
                <c:pt idx="409">
                  <c:v>0.89431742059429464</c:v>
                </c:pt>
                <c:pt idx="410">
                  <c:v>0.8838521720446415</c:v>
                </c:pt>
                <c:pt idx="411">
                  <c:v>0.90165446984921438</c:v>
                </c:pt>
                <c:pt idx="412">
                  <c:v>0.95418293962259382</c:v>
                </c:pt>
                <c:pt idx="413">
                  <c:v>0.96079639530327732</c:v>
                </c:pt>
                <c:pt idx="414">
                  <c:v>0.94853954170300425</c:v>
                </c:pt>
                <c:pt idx="415">
                  <c:v>0.94716502989168216</c:v>
                </c:pt>
                <c:pt idx="416">
                  <c:v>0.95863825376963807</c:v>
                </c:pt>
                <c:pt idx="417">
                  <c:v>0.96018971422793509</c:v>
                </c:pt>
                <c:pt idx="418">
                  <c:v>0.96799757327569858</c:v>
                </c:pt>
                <c:pt idx="419">
                  <c:v>0.97273726917680958</c:v>
                </c:pt>
                <c:pt idx="420">
                  <c:v>0.97044009656340446</c:v>
                </c:pt>
                <c:pt idx="421">
                  <c:v>0.96740353138942592</c:v>
                </c:pt>
                <c:pt idx="422">
                  <c:v>0.95113689505681309</c:v>
                </c:pt>
                <c:pt idx="423">
                  <c:v>0.92674641994969587</c:v>
                </c:pt>
                <c:pt idx="424">
                  <c:v>0.93598250736232758</c:v>
                </c:pt>
                <c:pt idx="425">
                  <c:v>0.92241433789608041</c:v>
                </c:pt>
                <c:pt idx="426">
                  <c:v>0.93417194352810307</c:v>
                </c:pt>
                <c:pt idx="427">
                  <c:v>0.92837687533967816</c:v>
                </c:pt>
                <c:pt idx="428">
                  <c:v>0.93423513947345138</c:v>
                </c:pt>
                <c:pt idx="429">
                  <c:v>0.92754584865834999</c:v>
                </c:pt>
                <c:pt idx="430">
                  <c:v>0.93426041785159064</c:v>
                </c:pt>
                <c:pt idx="431">
                  <c:v>0.94129412656883926</c:v>
                </c:pt>
                <c:pt idx="432">
                  <c:v>0.93398235569205867</c:v>
                </c:pt>
                <c:pt idx="433">
                  <c:v>0.9279819006812523</c:v>
                </c:pt>
                <c:pt idx="434">
                  <c:v>0.92909098952211222</c:v>
                </c:pt>
                <c:pt idx="435">
                  <c:v>0.92858542195932703</c:v>
                </c:pt>
                <c:pt idx="436">
                  <c:v>0.93978690327228598</c:v>
                </c:pt>
                <c:pt idx="437">
                  <c:v>0.95685296831355293</c:v>
                </c:pt>
                <c:pt idx="438">
                  <c:v>0.9875725173472869</c:v>
                </c:pt>
                <c:pt idx="439">
                  <c:v>0.98915241598099057</c:v>
                </c:pt>
                <c:pt idx="440">
                  <c:v>0.9862643612785803</c:v>
                </c:pt>
                <c:pt idx="441">
                  <c:v>0.98510471568144176</c:v>
                </c:pt>
                <c:pt idx="442">
                  <c:v>0.99253023925984896</c:v>
                </c:pt>
                <c:pt idx="443">
                  <c:v>0.99587014497149862</c:v>
                </c:pt>
                <c:pt idx="444">
                  <c:v>0.99297261087728605</c:v>
                </c:pt>
                <c:pt idx="445">
                  <c:v>0.9836417295466322</c:v>
                </c:pt>
                <c:pt idx="446">
                  <c:v>0.968171362125406</c:v>
                </c:pt>
                <c:pt idx="447">
                  <c:v>0.96510951857328831</c:v>
                </c:pt>
                <c:pt idx="448">
                  <c:v>0.96716970639163791</c:v>
                </c:pt>
                <c:pt idx="449">
                  <c:v>0.96032242571316617</c:v>
                </c:pt>
                <c:pt idx="450">
                  <c:v>0.92964079424664114</c:v>
                </c:pt>
                <c:pt idx="451">
                  <c:v>0.92399739632705158</c:v>
                </c:pt>
                <c:pt idx="452">
                  <c:v>0.92012664467447758</c:v>
                </c:pt>
                <c:pt idx="453">
                  <c:v>0.90735790391688464</c:v>
                </c:pt>
                <c:pt idx="454">
                  <c:v>0.91929877779041691</c:v>
                </c:pt>
                <c:pt idx="455">
                  <c:v>0.91329200318507553</c:v>
                </c:pt>
                <c:pt idx="456">
                  <c:v>0.93317660738886998</c:v>
                </c:pt>
                <c:pt idx="457">
                  <c:v>0.94949696027502861</c:v>
                </c:pt>
                <c:pt idx="458">
                  <c:v>0.96187388617146319</c:v>
                </c:pt>
                <c:pt idx="459">
                  <c:v>0.94947800149142425</c:v>
                </c:pt>
                <c:pt idx="460">
                  <c:v>0.94374612924834733</c:v>
                </c:pt>
                <c:pt idx="461">
                  <c:v>0.96134304023053874</c:v>
                </c:pt>
                <c:pt idx="462">
                  <c:v>0.96412682162312457</c:v>
                </c:pt>
                <c:pt idx="463">
                  <c:v>0.96334951149534243</c:v>
                </c:pt>
                <c:pt idx="464">
                  <c:v>0.96682528848949045</c:v>
                </c:pt>
                <c:pt idx="465">
                  <c:v>0.96155790644472239</c:v>
                </c:pt>
                <c:pt idx="466">
                  <c:v>0.96754572226645941</c:v>
                </c:pt>
                <c:pt idx="467">
                  <c:v>0.96917617765644148</c:v>
                </c:pt>
                <c:pt idx="468">
                  <c:v>0.97700299548780944</c:v>
                </c:pt>
                <c:pt idx="469">
                  <c:v>0.97125848405566295</c:v>
                </c:pt>
                <c:pt idx="470">
                  <c:v>0.93870625260683271</c:v>
                </c:pt>
                <c:pt idx="471">
                  <c:v>0.95305173220086192</c:v>
                </c:pt>
                <c:pt idx="472">
                  <c:v>0.9485742994729458</c:v>
                </c:pt>
                <c:pt idx="473">
                  <c:v>0.95460319265915894</c:v>
                </c:pt>
                <c:pt idx="474">
                  <c:v>0.9597410230159632</c:v>
                </c:pt>
                <c:pt idx="475">
                  <c:v>0.9520058393053501</c:v>
                </c:pt>
                <c:pt idx="476">
                  <c:v>0.9549349713722366</c:v>
                </c:pt>
                <c:pt idx="477">
                  <c:v>0.94679849340866284</c:v>
                </c:pt>
                <c:pt idx="478">
                  <c:v>0.93079728004651219</c:v>
                </c:pt>
                <c:pt idx="479">
                  <c:v>0.92555517637988338</c:v>
                </c:pt>
                <c:pt idx="480">
                  <c:v>0.90920638531831799</c:v>
                </c:pt>
                <c:pt idx="481">
                  <c:v>0.89113866454328272</c:v>
                </c:pt>
                <c:pt idx="482">
                  <c:v>0.91235354339665564</c:v>
                </c:pt>
                <c:pt idx="483">
                  <c:v>0.92705608008190188</c:v>
                </c:pt>
                <c:pt idx="484">
                  <c:v>0.90719359445897951</c:v>
                </c:pt>
                <c:pt idx="485">
                  <c:v>0.91480870587343111</c:v>
                </c:pt>
                <c:pt idx="486">
                  <c:v>0.91562077377115469</c:v>
                </c:pt>
                <c:pt idx="487">
                  <c:v>0.89146096386455842</c:v>
                </c:pt>
                <c:pt idx="488">
                  <c:v>0.90982886537999708</c:v>
                </c:pt>
                <c:pt idx="489">
                  <c:v>0.91801590009984957</c:v>
                </c:pt>
                <c:pt idx="490">
                  <c:v>0.91527635586900746</c:v>
                </c:pt>
                <c:pt idx="491">
                  <c:v>0.93272475637963059</c:v>
                </c:pt>
                <c:pt idx="492">
                  <c:v>0.95457791428101968</c:v>
                </c:pt>
                <c:pt idx="493">
                  <c:v>0.9621867061009366</c:v>
                </c:pt>
                <c:pt idx="494">
                  <c:v>0.94143631744587264</c:v>
                </c:pt>
                <c:pt idx="495">
                  <c:v>0.96167481894361639</c:v>
                </c:pt>
                <c:pt idx="496">
                  <c:v>0.95831595444836259</c:v>
                </c:pt>
                <c:pt idx="497">
                  <c:v>0.94850162413579542</c:v>
                </c:pt>
                <c:pt idx="498">
                  <c:v>0.95527306967984926</c:v>
                </c:pt>
                <c:pt idx="499">
                  <c:v>0.93021903714657661</c:v>
                </c:pt>
                <c:pt idx="500">
                  <c:v>0.91084000050556757</c:v>
                </c:pt>
                <c:pt idx="501">
                  <c:v>0.94177441575348508</c:v>
                </c:pt>
                <c:pt idx="502">
                  <c:v>0.93292382360747728</c:v>
                </c:pt>
                <c:pt idx="503">
                  <c:v>0.95552269366397447</c:v>
                </c:pt>
                <c:pt idx="504">
                  <c:v>0.97101201986880514</c:v>
                </c:pt>
                <c:pt idx="505">
                  <c:v>0.96837042935325257</c:v>
                </c:pt>
                <c:pt idx="506">
                  <c:v>0.9566254629102996</c:v>
                </c:pt>
                <c:pt idx="507">
                  <c:v>0.95851502167620917</c:v>
                </c:pt>
                <c:pt idx="508">
                  <c:v>0.97469634348260203</c:v>
                </c:pt>
                <c:pt idx="509">
                  <c:v>0.99196147575171578</c:v>
                </c:pt>
                <c:pt idx="510">
                  <c:v>1.0041867313793147</c:v>
                </c:pt>
                <c:pt idx="51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BA-47AA-9693-95EFE73BDF9C}"/>
            </c:ext>
          </c:extLst>
        </c:ser>
        <c:ser>
          <c:idx val="2"/>
          <c:order val="2"/>
          <c:tx>
            <c:strRef>
              <c:f>'Graf 3+4'!$O$2</c:f>
              <c:strCache>
                <c:ptCount val="1"/>
                <c:pt idx="0">
                  <c:v>DAX </c:v>
                </c:pt>
              </c:strCache>
            </c:strRef>
          </c:tx>
          <c:spPr>
            <a:ln w="19050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43172</c:v>
                </c:pt>
                <c:pt idx="1">
                  <c:v>43171</c:v>
                </c:pt>
                <c:pt idx="2">
                  <c:v>43168</c:v>
                </c:pt>
                <c:pt idx="3">
                  <c:v>43167</c:v>
                </c:pt>
                <c:pt idx="4">
                  <c:v>43166</c:v>
                </c:pt>
                <c:pt idx="5">
                  <c:v>43165</c:v>
                </c:pt>
                <c:pt idx="6">
                  <c:v>43164</c:v>
                </c:pt>
                <c:pt idx="7">
                  <c:v>43161</c:v>
                </c:pt>
                <c:pt idx="8">
                  <c:v>43160</c:v>
                </c:pt>
                <c:pt idx="9">
                  <c:v>43159</c:v>
                </c:pt>
                <c:pt idx="10">
                  <c:v>43158</c:v>
                </c:pt>
                <c:pt idx="11">
                  <c:v>43157</c:v>
                </c:pt>
                <c:pt idx="12">
                  <c:v>43154</c:v>
                </c:pt>
                <c:pt idx="13">
                  <c:v>43153</c:v>
                </c:pt>
                <c:pt idx="14">
                  <c:v>43145</c:v>
                </c:pt>
                <c:pt idx="15">
                  <c:v>43144</c:v>
                </c:pt>
                <c:pt idx="16">
                  <c:v>43143</c:v>
                </c:pt>
                <c:pt idx="17">
                  <c:v>43140</c:v>
                </c:pt>
                <c:pt idx="18">
                  <c:v>43139</c:v>
                </c:pt>
                <c:pt idx="19">
                  <c:v>43138</c:v>
                </c:pt>
                <c:pt idx="20">
                  <c:v>43137</c:v>
                </c:pt>
                <c:pt idx="21">
                  <c:v>43136</c:v>
                </c:pt>
                <c:pt idx="22">
                  <c:v>43133</c:v>
                </c:pt>
                <c:pt idx="23">
                  <c:v>43132</c:v>
                </c:pt>
                <c:pt idx="24">
                  <c:v>43131</c:v>
                </c:pt>
                <c:pt idx="25">
                  <c:v>43130</c:v>
                </c:pt>
                <c:pt idx="26">
                  <c:v>43129</c:v>
                </c:pt>
                <c:pt idx="27">
                  <c:v>43126</c:v>
                </c:pt>
                <c:pt idx="28">
                  <c:v>43125</c:v>
                </c:pt>
                <c:pt idx="29">
                  <c:v>43124</c:v>
                </c:pt>
                <c:pt idx="30">
                  <c:v>43123</c:v>
                </c:pt>
                <c:pt idx="31">
                  <c:v>43122</c:v>
                </c:pt>
                <c:pt idx="32">
                  <c:v>43119</c:v>
                </c:pt>
                <c:pt idx="33">
                  <c:v>43118</c:v>
                </c:pt>
                <c:pt idx="34">
                  <c:v>43117</c:v>
                </c:pt>
                <c:pt idx="35">
                  <c:v>43116</c:v>
                </c:pt>
                <c:pt idx="36">
                  <c:v>43112</c:v>
                </c:pt>
                <c:pt idx="37">
                  <c:v>43111</c:v>
                </c:pt>
                <c:pt idx="38">
                  <c:v>43110</c:v>
                </c:pt>
                <c:pt idx="39">
                  <c:v>43109</c:v>
                </c:pt>
                <c:pt idx="40">
                  <c:v>43108</c:v>
                </c:pt>
                <c:pt idx="41">
                  <c:v>43105</c:v>
                </c:pt>
                <c:pt idx="42">
                  <c:v>43104</c:v>
                </c:pt>
                <c:pt idx="43">
                  <c:v>43103</c:v>
                </c:pt>
                <c:pt idx="44">
                  <c:v>43102</c:v>
                </c:pt>
                <c:pt idx="45">
                  <c:v>43098</c:v>
                </c:pt>
                <c:pt idx="46">
                  <c:v>43097</c:v>
                </c:pt>
                <c:pt idx="47">
                  <c:v>43096</c:v>
                </c:pt>
                <c:pt idx="48">
                  <c:v>43091</c:v>
                </c:pt>
                <c:pt idx="49">
                  <c:v>43090</c:v>
                </c:pt>
                <c:pt idx="50">
                  <c:v>43089</c:v>
                </c:pt>
                <c:pt idx="51">
                  <c:v>43088</c:v>
                </c:pt>
                <c:pt idx="52">
                  <c:v>43087</c:v>
                </c:pt>
                <c:pt idx="53">
                  <c:v>43084</c:v>
                </c:pt>
                <c:pt idx="54">
                  <c:v>43083</c:v>
                </c:pt>
                <c:pt idx="55">
                  <c:v>43082</c:v>
                </c:pt>
                <c:pt idx="56">
                  <c:v>43081</c:v>
                </c:pt>
                <c:pt idx="57">
                  <c:v>43080</c:v>
                </c:pt>
                <c:pt idx="58">
                  <c:v>43077</c:v>
                </c:pt>
                <c:pt idx="59">
                  <c:v>43076</c:v>
                </c:pt>
                <c:pt idx="60">
                  <c:v>43075</c:v>
                </c:pt>
                <c:pt idx="61">
                  <c:v>43074</c:v>
                </c:pt>
                <c:pt idx="62">
                  <c:v>43073</c:v>
                </c:pt>
                <c:pt idx="63">
                  <c:v>43070</c:v>
                </c:pt>
                <c:pt idx="64">
                  <c:v>43069</c:v>
                </c:pt>
                <c:pt idx="65">
                  <c:v>43068</c:v>
                </c:pt>
                <c:pt idx="66">
                  <c:v>43067</c:v>
                </c:pt>
                <c:pt idx="67">
                  <c:v>43066</c:v>
                </c:pt>
                <c:pt idx="68">
                  <c:v>43063</c:v>
                </c:pt>
                <c:pt idx="69">
                  <c:v>43061</c:v>
                </c:pt>
                <c:pt idx="70">
                  <c:v>43060</c:v>
                </c:pt>
                <c:pt idx="71">
                  <c:v>43059</c:v>
                </c:pt>
                <c:pt idx="72">
                  <c:v>43056</c:v>
                </c:pt>
                <c:pt idx="73">
                  <c:v>43055</c:v>
                </c:pt>
                <c:pt idx="74">
                  <c:v>43054</c:v>
                </c:pt>
                <c:pt idx="75">
                  <c:v>43053</c:v>
                </c:pt>
                <c:pt idx="76">
                  <c:v>43052</c:v>
                </c:pt>
                <c:pt idx="77">
                  <c:v>43049</c:v>
                </c:pt>
                <c:pt idx="78">
                  <c:v>43048</c:v>
                </c:pt>
                <c:pt idx="79">
                  <c:v>43047</c:v>
                </c:pt>
                <c:pt idx="80">
                  <c:v>43046</c:v>
                </c:pt>
                <c:pt idx="81">
                  <c:v>43045</c:v>
                </c:pt>
                <c:pt idx="82">
                  <c:v>43042</c:v>
                </c:pt>
                <c:pt idx="83">
                  <c:v>43041</c:v>
                </c:pt>
                <c:pt idx="84">
                  <c:v>43040</c:v>
                </c:pt>
                <c:pt idx="85">
                  <c:v>43038</c:v>
                </c:pt>
                <c:pt idx="86">
                  <c:v>43035</c:v>
                </c:pt>
                <c:pt idx="87">
                  <c:v>43034</c:v>
                </c:pt>
                <c:pt idx="88">
                  <c:v>43033</c:v>
                </c:pt>
                <c:pt idx="89">
                  <c:v>43032</c:v>
                </c:pt>
                <c:pt idx="90">
                  <c:v>43031</c:v>
                </c:pt>
                <c:pt idx="91">
                  <c:v>43028</c:v>
                </c:pt>
                <c:pt idx="92">
                  <c:v>43027</c:v>
                </c:pt>
                <c:pt idx="93">
                  <c:v>43026</c:v>
                </c:pt>
                <c:pt idx="94">
                  <c:v>43025</c:v>
                </c:pt>
                <c:pt idx="95">
                  <c:v>43024</c:v>
                </c:pt>
                <c:pt idx="96">
                  <c:v>43021</c:v>
                </c:pt>
                <c:pt idx="97">
                  <c:v>43020</c:v>
                </c:pt>
                <c:pt idx="98">
                  <c:v>43019</c:v>
                </c:pt>
                <c:pt idx="99">
                  <c:v>43018</c:v>
                </c:pt>
                <c:pt idx="100">
                  <c:v>43017</c:v>
                </c:pt>
                <c:pt idx="101">
                  <c:v>43007</c:v>
                </c:pt>
                <c:pt idx="102">
                  <c:v>43006</c:v>
                </c:pt>
                <c:pt idx="103">
                  <c:v>43005</c:v>
                </c:pt>
                <c:pt idx="104">
                  <c:v>43004</c:v>
                </c:pt>
                <c:pt idx="105">
                  <c:v>43003</c:v>
                </c:pt>
                <c:pt idx="106">
                  <c:v>43000</c:v>
                </c:pt>
                <c:pt idx="107">
                  <c:v>42999</c:v>
                </c:pt>
                <c:pt idx="108">
                  <c:v>42998</c:v>
                </c:pt>
                <c:pt idx="109">
                  <c:v>42997</c:v>
                </c:pt>
                <c:pt idx="110">
                  <c:v>42996</c:v>
                </c:pt>
                <c:pt idx="111">
                  <c:v>42993</c:v>
                </c:pt>
                <c:pt idx="112">
                  <c:v>42992</c:v>
                </c:pt>
                <c:pt idx="113">
                  <c:v>42991</c:v>
                </c:pt>
                <c:pt idx="114">
                  <c:v>42990</c:v>
                </c:pt>
                <c:pt idx="115">
                  <c:v>42989</c:v>
                </c:pt>
                <c:pt idx="116">
                  <c:v>42986</c:v>
                </c:pt>
                <c:pt idx="117">
                  <c:v>42985</c:v>
                </c:pt>
                <c:pt idx="118">
                  <c:v>42984</c:v>
                </c:pt>
                <c:pt idx="119">
                  <c:v>42983</c:v>
                </c:pt>
                <c:pt idx="120">
                  <c:v>42979</c:v>
                </c:pt>
                <c:pt idx="121">
                  <c:v>42978</c:v>
                </c:pt>
                <c:pt idx="122">
                  <c:v>42977</c:v>
                </c:pt>
                <c:pt idx="123">
                  <c:v>42976</c:v>
                </c:pt>
                <c:pt idx="124">
                  <c:v>42975</c:v>
                </c:pt>
                <c:pt idx="125">
                  <c:v>42972</c:v>
                </c:pt>
                <c:pt idx="126">
                  <c:v>42971</c:v>
                </c:pt>
                <c:pt idx="127">
                  <c:v>42970</c:v>
                </c:pt>
                <c:pt idx="128">
                  <c:v>42969</c:v>
                </c:pt>
                <c:pt idx="129">
                  <c:v>42968</c:v>
                </c:pt>
                <c:pt idx="130">
                  <c:v>42965</c:v>
                </c:pt>
                <c:pt idx="131">
                  <c:v>42964</c:v>
                </c:pt>
                <c:pt idx="132">
                  <c:v>42963</c:v>
                </c:pt>
                <c:pt idx="133">
                  <c:v>42962</c:v>
                </c:pt>
                <c:pt idx="134">
                  <c:v>42961</c:v>
                </c:pt>
                <c:pt idx="135">
                  <c:v>42958</c:v>
                </c:pt>
                <c:pt idx="136">
                  <c:v>42957</c:v>
                </c:pt>
                <c:pt idx="137">
                  <c:v>42956</c:v>
                </c:pt>
                <c:pt idx="138">
                  <c:v>42955</c:v>
                </c:pt>
                <c:pt idx="139">
                  <c:v>42954</c:v>
                </c:pt>
                <c:pt idx="140">
                  <c:v>42951</c:v>
                </c:pt>
                <c:pt idx="141">
                  <c:v>42950</c:v>
                </c:pt>
                <c:pt idx="142">
                  <c:v>42949</c:v>
                </c:pt>
                <c:pt idx="143">
                  <c:v>42948</c:v>
                </c:pt>
                <c:pt idx="144">
                  <c:v>42947</c:v>
                </c:pt>
                <c:pt idx="145">
                  <c:v>42944</c:v>
                </c:pt>
                <c:pt idx="146">
                  <c:v>42943</c:v>
                </c:pt>
                <c:pt idx="147">
                  <c:v>42942</c:v>
                </c:pt>
                <c:pt idx="148">
                  <c:v>42941</c:v>
                </c:pt>
                <c:pt idx="149">
                  <c:v>42940</c:v>
                </c:pt>
                <c:pt idx="150">
                  <c:v>42937</c:v>
                </c:pt>
                <c:pt idx="151">
                  <c:v>42936</c:v>
                </c:pt>
                <c:pt idx="152">
                  <c:v>42935</c:v>
                </c:pt>
                <c:pt idx="153">
                  <c:v>42934</c:v>
                </c:pt>
                <c:pt idx="154">
                  <c:v>42933</c:v>
                </c:pt>
                <c:pt idx="155">
                  <c:v>42930</c:v>
                </c:pt>
                <c:pt idx="156">
                  <c:v>42929</c:v>
                </c:pt>
                <c:pt idx="157">
                  <c:v>42928</c:v>
                </c:pt>
                <c:pt idx="158">
                  <c:v>42927</c:v>
                </c:pt>
                <c:pt idx="159">
                  <c:v>42926</c:v>
                </c:pt>
                <c:pt idx="160">
                  <c:v>42923</c:v>
                </c:pt>
                <c:pt idx="161">
                  <c:v>42922</c:v>
                </c:pt>
                <c:pt idx="162">
                  <c:v>42921</c:v>
                </c:pt>
                <c:pt idx="163">
                  <c:v>42919</c:v>
                </c:pt>
                <c:pt idx="164">
                  <c:v>42916</c:v>
                </c:pt>
                <c:pt idx="165">
                  <c:v>42915</c:v>
                </c:pt>
                <c:pt idx="166">
                  <c:v>42914</c:v>
                </c:pt>
                <c:pt idx="167">
                  <c:v>42913</c:v>
                </c:pt>
                <c:pt idx="168">
                  <c:v>42912</c:v>
                </c:pt>
                <c:pt idx="169">
                  <c:v>42909</c:v>
                </c:pt>
                <c:pt idx="170">
                  <c:v>42908</c:v>
                </c:pt>
                <c:pt idx="171">
                  <c:v>42907</c:v>
                </c:pt>
                <c:pt idx="172">
                  <c:v>42906</c:v>
                </c:pt>
                <c:pt idx="173">
                  <c:v>42905</c:v>
                </c:pt>
                <c:pt idx="174">
                  <c:v>42902</c:v>
                </c:pt>
                <c:pt idx="175">
                  <c:v>42901</c:v>
                </c:pt>
                <c:pt idx="176">
                  <c:v>42900</c:v>
                </c:pt>
                <c:pt idx="177">
                  <c:v>42899</c:v>
                </c:pt>
                <c:pt idx="178">
                  <c:v>42898</c:v>
                </c:pt>
                <c:pt idx="179">
                  <c:v>42895</c:v>
                </c:pt>
                <c:pt idx="180">
                  <c:v>42894</c:v>
                </c:pt>
                <c:pt idx="181">
                  <c:v>42893</c:v>
                </c:pt>
                <c:pt idx="182">
                  <c:v>42892</c:v>
                </c:pt>
                <c:pt idx="183">
                  <c:v>42888</c:v>
                </c:pt>
                <c:pt idx="184">
                  <c:v>42887</c:v>
                </c:pt>
                <c:pt idx="185">
                  <c:v>42886</c:v>
                </c:pt>
                <c:pt idx="186">
                  <c:v>42881</c:v>
                </c:pt>
                <c:pt idx="187">
                  <c:v>42880</c:v>
                </c:pt>
                <c:pt idx="188">
                  <c:v>42879</c:v>
                </c:pt>
                <c:pt idx="189">
                  <c:v>42878</c:v>
                </c:pt>
                <c:pt idx="190">
                  <c:v>42877</c:v>
                </c:pt>
                <c:pt idx="191">
                  <c:v>42874</c:v>
                </c:pt>
                <c:pt idx="192">
                  <c:v>42873</c:v>
                </c:pt>
                <c:pt idx="193">
                  <c:v>42872</c:v>
                </c:pt>
                <c:pt idx="194">
                  <c:v>42871</c:v>
                </c:pt>
                <c:pt idx="195">
                  <c:v>42870</c:v>
                </c:pt>
                <c:pt idx="196">
                  <c:v>42867</c:v>
                </c:pt>
                <c:pt idx="197">
                  <c:v>42866</c:v>
                </c:pt>
                <c:pt idx="198">
                  <c:v>42865</c:v>
                </c:pt>
                <c:pt idx="199">
                  <c:v>42864</c:v>
                </c:pt>
                <c:pt idx="200">
                  <c:v>42863</c:v>
                </c:pt>
                <c:pt idx="201">
                  <c:v>42860</c:v>
                </c:pt>
                <c:pt idx="202">
                  <c:v>42859</c:v>
                </c:pt>
                <c:pt idx="203">
                  <c:v>42858</c:v>
                </c:pt>
                <c:pt idx="204">
                  <c:v>42857</c:v>
                </c:pt>
                <c:pt idx="205">
                  <c:v>42853</c:v>
                </c:pt>
                <c:pt idx="206">
                  <c:v>42852</c:v>
                </c:pt>
                <c:pt idx="207">
                  <c:v>42851</c:v>
                </c:pt>
                <c:pt idx="208">
                  <c:v>42850</c:v>
                </c:pt>
                <c:pt idx="209">
                  <c:v>42849</c:v>
                </c:pt>
                <c:pt idx="210">
                  <c:v>42846</c:v>
                </c:pt>
                <c:pt idx="211">
                  <c:v>42845</c:v>
                </c:pt>
                <c:pt idx="212">
                  <c:v>42844</c:v>
                </c:pt>
                <c:pt idx="213">
                  <c:v>42843</c:v>
                </c:pt>
                <c:pt idx="214">
                  <c:v>42838</c:v>
                </c:pt>
                <c:pt idx="215">
                  <c:v>42837</c:v>
                </c:pt>
                <c:pt idx="216">
                  <c:v>42836</c:v>
                </c:pt>
                <c:pt idx="217">
                  <c:v>42835</c:v>
                </c:pt>
                <c:pt idx="218">
                  <c:v>42832</c:v>
                </c:pt>
                <c:pt idx="219">
                  <c:v>42831</c:v>
                </c:pt>
                <c:pt idx="220">
                  <c:v>42830</c:v>
                </c:pt>
                <c:pt idx="221">
                  <c:v>42825</c:v>
                </c:pt>
                <c:pt idx="222">
                  <c:v>42824</c:v>
                </c:pt>
                <c:pt idx="223">
                  <c:v>42823</c:v>
                </c:pt>
                <c:pt idx="224">
                  <c:v>42822</c:v>
                </c:pt>
                <c:pt idx="225">
                  <c:v>42821</c:v>
                </c:pt>
                <c:pt idx="226">
                  <c:v>42818</c:v>
                </c:pt>
                <c:pt idx="227">
                  <c:v>42817</c:v>
                </c:pt>
                <c:pt idx="228">
                  <c:v>42816</c:v>
                </c:pt>
                <c:pt idx="229">
                  <c:v>42815</c:v>
                </c:pt>
                <c:pt idx="230">
                  <c:v>42814</c:v>
                </c:pt>
                <c:pt idx="231">
                  <c:v>42811</c:v>
                </c:pt>
                <c:pt idx="232">
                  <c:v>42810</c:v>
                </c:pt>
                <c:pt idx="233">
                  <c:v>42809</c:v>
                </c:pt>
                <c:pt idx="234">
                  <c:v>42808</c:v>
                </c:pt>
                <c:pt idx="235">
                  <c:v>42807</c:v>
                </c:pt>
                <c:pt idx="236">
                  <c:v>42804</c:v>
                </c:pt>
                <c:pt idx="237">
                  <c:v>42803</c:v>
                </c:pt>
                <c:pt idx="238">
                  <c:v>42802</c:v>
                </c:pt>
                <c:pt idx="239">
                  <c:v>42801</c:v>
                </c:pt>
                <c:pt idx="240">
                  <c:v>42800</c:v>
                </c:pt>
                <c:pt idx="241">
                  <c:v>42797</c:v>
                </c:pt>
                <c:pt idx="242">
                  <c:v>42796</c:v>
                </c:pt>
                <c:pt idx="243">
                  <c:v>42795</c:v>
                </c:pt>
                <c:pt idx="244">
                  <c:v>42794</c:v>
                </c:pt>
                <c:pt idx="245">
                  <c:v>42793</c:v>
                </c:pt>
                <c:pt idx="246">
                  <c:v>42790</c:v>
                </c:pt>
                <c:pt idx="247">
                  <c:v>42789</c:v>
                </c:pt>
                <c:pt idx="248">
                  <c:v>42788</c:v>
                </c:pt>
                <c:pt idx="249">
                  <c:v>42787</c:v>
                </c:pt>
                <c:pt idx="250">
                  <c:v>42783</c:v>
                </c:pt>
                <c:pt idx="251">
                  <c:v>42782</c:v>
                </c:pt>
                <c:pt idx="252">
                  <c:v>42781</c:v>
                </c:pt>
                <c:pt idx="253">
                  <c:v>42780</c:v>
                </c:pt>
                <c:pt idx="254">
                  <c:v>42779</c:v>
                </c:pt>
                <c:pt idx="255">
                  <c:v>42776</c:v>
                </c:pt>
                <c:pt idx="256">
                  <c:v>42775</c:v>
                </c:pt>
                <c:pt idx="257">
                  <c:v>42774</c:v>
                </c:pt>
                <c:pt idx="258">
                  <c:v>42773</c:v>
                </c:pt>
                <c:pt idx="259">
                  <c:v>42772</c:v>
                </c:pt>
                <c:pt idx="260">
                  <c:v>42769</c:v>
                </c:pt>
                <c:pt idx="261">
                  <c:v>42761</c:v>
                </c:pt>
                <c:pt idx="262">
                  <c:v>42760</c:v>
                </c:pt>
                <c:pt idx="263">
                  <c:v>42759</c:v>
                </c:pt>
                <c:pt idx="264">
                  <c:v>42758</c:v>
                </c:pt>
                <c:pt idx="265">
                  <c:v>42755</c:v>
                </c:pt>
                <c:pt idx="266">
                  <c:v>42754</c:v>
                </c:pt>
                <c:pt idx="267">
                  <c:v>42753</c:v>
                </c:pt>
                <c:pt idx="268">
                  <c:v>42752</c:v>
                </c:pt>
                <c:pt idx="269">
                  <c:v>42748</c:v>
                </c:pt>
                <c:pt idx="270">
                  <c:v>42747</c:v>
                </c:pt>
                <c:pt idx="271">
                  <c:v>42746</c:v>
                </c:pt>
                <c:pt idx="272">
                  <c:v>42745</c:v>
                </c:pt>
                <c:pt idx="273">
                  <c:v>42744</c:v>
                </c:pt>
                <c:pt idx="274">
                  <c:v>42741</c:v>
                </c:pt>
                <c:pt idx="275">
                  <c:v>42740</c:v>
                </c:pt>
                <c:pt idx="276">
                  <c:v>42739</c:v>
                </c:pt>
                <c:pt idx="277">
                  <c:v>42738</c:v>
                </c:pt>
                <c:pt idx="278">
                  <c:v>42734</c:v>
                </c:pt>
                <c:pt idx="279">
                  <c:v>42733</c:v>
                </c:pt>
                <c:pt idx="280">
                  <c:v>42732</c:v>
                </c:pt>
                <c:pt idx="281">
                  <c:v>42731</c:v>
                </c:pt>
                <c:pt idx="282">
                  <c:v>42727</c:v>
                </c:pt>
                <c:pt idx="283">
                  <c:v>42726</c:v>
                </c:pt>
                <c:pt idx="284">
                  <c:v>42725</c:v>
                </c:pt>
                <c:pt idx="285">
                  <c:v>42724</c:v>
                </c:pt>
                <c:pt idx="286">
                  <c:v>42723</c:v>
                </c:pt>
                <c:pt idx="287">
                  <c:v>42720</c:v>
                </c:pt>
                <c:pt idx="288">
                  <c:v>42719</c:v>
                </c:pt>
                <c:pt idx="289">
                  <c:v>42718</c:v>
                </c:pt>
                <c:pt idx="290">
                  <c:v>42717</c:v>
                </c:pt>
                <c:pt idx="291">
                  <c:v>42716</c:v>
                </c:pt>
                <c:pt idx="292">
                  <c:v>42713</c:v>
                </c:pt>
                <c:pt idx="293">
                  <c:v>42712</c:v>
                </c:pt>
                <c:pt idx="294">
                  <c:v>42711</c:v>
                </c:pt>
                <c:pt idx="295">
                  <c:v>42710</c:v>
                </c:pt>
                <c:pt idx="296">
                  <c:v>42709</c:v>
                </c:pt>
                <c:pt idx="297">
                  <c:v>42706</c:v>
                </c:pt>
                <c:pt idx="298">
                  <c:v>42705</c:v>
                </c:pt>
                <c:pt idx="299">
                  <c:v>42704</c:v>
                </c:pt>
                <c:pt idx="300">
                  <c:v>42703</c:v>
                </c:pt>
                <c:pt idx="301">
                  <c:v>42702</c:v>
                </c:pt>
                <c:pt idx="302">
                  <c:v>42699</c:v>
                </c:pt>
                <c:pt idx="303">
                  <c:v>42697</c:v>
                </c:pt>
                <c:pt idx="304">
                  <c:v>42696</c:v>
                </c:pt>
                <c:pt idx="305">
                  <c:v>42695</c:v>
                </c:pt>
                <c:pt idx="306">
                  <c:v>42692</c:v>
                </c:pt>
                <c:pt idx="307">
                  <c:v>42691</c:v>
                </c:pt>
                <c:pt idx="308">
                  <c:v>42690</c:v>
                </c:pt>
                <c:pt idx="309">
                  <c:v>42689</c:v>
                </c:pt>
                <c:pt idx="310">
                  <c:v>42688</c:v>
                </c:pt>
                <c:pt idx="311">
                  <c:v>42685</c:v>
                </c:pt>
                <c:pt idx="312">
                  <c:v>42684</c:v>
                </c:pt>
                <c:pt idx="313">
                  <c:v>42683</c:v>
                </c:pt>
                <c:pt idx="314">
                  <c:v>42682</c:v>
                </c:pt>
                <c:pt idx="315">
                  <c:v>42681</c:v>
                </c:pt>
                <c:pt idx="316">
                  <c:v>42678</c:v>
                </c:pt>
                <c:pt idx="317">
                  <c:v>42677</c:v>
                </c:pt>
                <c:pt idx="318">
                  <c:v>42676</c:v>
                </c:pt>
                <c:pt idx="319">
                  <c:v>42675</c:v>
                </c:pt>
                <c:pt idx="320">
                  <c:v>42674</c:v>
                </c:pt>
                <c:pt idx="321">
                  <c:v>42671</c:v>
                </c:pt>
                <c:pt idx="322">
                  <c:v>42670</c:v>
                </c:pt>
                <c:pt idx="323">
                  <c:v>42669</c:v>
                </c:pt>
                <c:pt idx="324">
                  <c:v>42668</c:v>
                </c:pt>
                <c:pt idx="325">
                  <c:v>42667</c:v>
                </c:pt>
                <c:pt idx="326">
                  <c:v>42664</c:v>
                </c:pt>
                <c:pt idx="327">
                  <c:v>42663</c:v>
                </c:pt>
                <c:pt idx="328">
                  <c:v>42662</c:v>
                </c:pt>
                <c:pt idx="329">
                  <c:v>42661</c:v>
                </c:pt>
                <c:pt idx="330">
                  <c:v>42660</c:v>
                </c:pt>
                <c:pt idx="331">
                  <c:v>42657</c:v>
                </c:pt>
                <c:pt idx="332">
                  <c:v>42656</c:v>
                </c:pt>
                <c:pt idx="333">
                  <c:v>42655</c:v>
                </c:pt>
                <c:pt idx="334">
                  <c:v>42654</c:v>
                </c:pt>
                <c:pt idx="335">
                  <c:v>42653</c:v>
                </c:pt>
                <c:pt idx="336">
                  <c:v>42643</c:v>
                </c:pt>
                <c:pt idx="337">
                  <c:v>42642</c:v>
                </c:pt>
                <c:pt idx="338">
                  <c:v>42641</c:v>
                </c:pt>
                <c:pt idx="339">
                  <c:v>42640</c:v>
                </c:pt>
                <c:pt idx="340">
                  <c:v>42639</c:v>
                </c:pt>
                <c:pt idx="341">
                  <c:v>42636</c:v>
                </c:pt>
                <c:pt idx="342">
                  <c:v>42635</c:v>
                </c:pt>
                <c:pt idx="343">
                  <c:v>42634</c:v>
                </c:pt>
                <c:pt idx="344">
                  <c:v>42633</c:v>
                </c:pt>
                <c:pt idx="345">
                  <c:v>42632</c:v>
                </c:pt>
                <c:pt idx="346">
                  <c:v>42627</c:v>
                </c:pt>
                <c:pt idx="347">
                  <c:v>42626</c:v>
                </c:pt>
                <c:pt idx="348">
                  <c:v>42625</c:v>
                </c:pt>
                <c:pt idx="349">
                  <c:v>42622</c:v>
                </c:pt>
                <c:pt idx="350">
                  <c:v>42621</c:v>
                </c:pt>
                <c:pt idx="351">
                  <c:v>42620</c:v>
                </c:pt>
                <c:pt idx="352">
                  <c:v>42619</c:v>
                </c:pt>
                <c:pt idx="353">
                  <c:v>42615</c:v>
                </c:pt>
                <c:pt idx="354">
                  <c:v>42614</c:v>
                </c:pt>
                <c:pt idx="355">
                  <c:v>42613</c:v>
                </c:pt>
                <c:pt idx="356">
                  <c:v>42612</c:v>
                </c:pt>
                <c:pt idx="357">
                  <c:v>42611</c:v>
                </c:pt>
                <c:pt idx="358">
                  <c:v>42608</c:v>
                </c:pt>
                <c:pt idx="359">
                  <c:v>42607</c:v>
                </c:pt>
                <c:pt idx="360">
                  <c:v>42606</c:v>
                </c:pt>
                <c:pt idx="361">
                  <c:v>42605</c:v>
                </c:pt>
                <c:pt idx="362">
                  <c:v>42604</c:v>
                </c:pt>
                <c:pt idx="363">
                  <c:v>42601</c:v>
                </c:pt>
                <c:pt idx="364">
                  <c:v>42600</c:v>
                </c:pt>
                <c:pt idx="365">
                  <c:v>42599</c:v>
                </c:pt>
                <c:pt idx="366">
                  <c:v>42598</c:v>
                </c:pt>
                <c:pt idx="367">
                  <c:v>42597</c:v>
                </c:pt>
                <c:pt idx="368">
                  <c:v>42594</c:v>
                </c:pt>
                <c:pt idx="369">
                  <c:v>42593</c:v>
                </c:pt>
                <c:pt idx="370">
                  <c:v>42592</c:v>
                </c:pt>
                <c:pt idx="371">
                  <c:v>42591</c:v>
                </c:pt>
                <c:pt idx="372">
                  <c:v>42590</c:v>
                </c:pt>
                <c:pt idx="373">
                  <c:v>42587</c:v>
                </c:pt>
                <c:pt idx="374">
                  <c:v>42586</c:v>
                </c:pt>
                <c:pt idx="375">
                  <c:v>42585</c:v>
                </c:pt>
                <c:pt idx="376">
                  <c:v>42584</c:v>
                </c:pt>
                <c:pt idx="377">
                  <c:v>42583</c:v>
                </c:pt>
                <c:pt idx="378">
                  <c:v>42580</c:v>
                </c:pt>
                <c:pt idx="379">
                  <c:v>42579</c:v>
                </c:pt>
                <c:pt idx="380">
                  <c:v>42578</c:v>
                </c:pt>
                <c:pt idx="381">
                  <c:v>42577</c:v>
                </c:pt>
                <c:pt idx="382">
                  <c:v>42576</c:v>
                </c:pt>
                <c:pt idx="383">
                  <c:v>42573</c:v>
                </c:pt>
                <c:pt idx="384">
                  <c:v>42572</c:v>
                </c:pt>
                <c:pt idx="385">
                  <c:v>42571</c:v>
                </c:pt>
                <c:pt idx="386">
                  <c:v>42570</c:v>
                </c:pt>
                <c:pt idx="387">
                  <c:v>42569</c:v>
                </c:pt>
                <c:pt idx="388">
                  <c:v>42566</c:v>
                </c:pt>
                <c:pt idx="389">
                  <c:v>42565</c:v>
                </c:pt>
                <c:pt idx="390">
                  <c:v>42564</c:v>
                </c:pt>
                <c:pt idx="391">
                  <c:v>42563</c:v>
                </c:pt>
                <c:pt idx="392">
                  <c:v>42562</c:v>
                </c:pt>
                <c:pt idx="393">
                  <c:v>42559</c:v>
                </c:pt>
                <c:pt idx="394">
                  <c:v>42558</c:v>
                </c:pt>
                <c:pt idx="395">
                  <c:v>42557</c:v>
                </c:pt>
                <c:pt idx="396">
                  <c:v>42556</c:v>
                </c:pt>
                <c:pt idx="397">
                  <c:v>42552</c:v>
                </c:pt>
                <c:pt idx="398">
                  <c:v>42551</c:v>
                </c:pt>
                <c:pt idx="399">
                  <c:v>42550</c:v>
                </c:pt>
                <c:pt idx="400">
                  <c:v>42549</c:v>
                </c:pt>
                <c:pt idx="401">
                  <c:v>42548</c:v>
                </c:pt>
                <c:pt idx="402">
                  <c:v>42545</c:v>
                </c:pt>
                <c:pt idx="403">
                  <c:v>42544</c:v>
                </c:pt>
                <c:pt idx="404">
                  <c:v>42543</c:v>
                </c:pt>
                <c:pt idx="405">
                  <c:v>42542</c:v>
                </c:pt>
                <c:pt idx="406">
                  <c:v>42541</c:v>
                </c:pt>
                <c:pt idx="407">
                  <c:v>42538</c:v>
                </c:pt>
                <c:pt idx="408">
                  <c:v>42537</c:v>
                </c:pt>
                <c:pt idx="409">
                  <c:v>42536</c:v>
                </c:pt>
                <c:pt idx="410">
                  <c:v>42535</c:v>
                </c:pt>
                <c:pt idx="411">
                  <c:v>42534</c:v>
                </c:pt>
                <c:pt idx="412">
                  <c:v>42529</c:v>
                </c:pt>
                <c:pt idx="413">
                  <c:v>42528</c:v>
                </c:pt>
                <c:pt idx="414">
                  <c:v>42527</c:v>
                </c:pt>
                <c:pt idx="415">
                  <c:v>42524</c:v>
                </c:pt>
                <c:pt idx="416">
                  <c:v>42523</c:v>
                </c:pt>
                <c:pt idx="417">
                  <c:v>42522</c:v>
                </c:pt>
                <c:pt idx="418">
                  <c:v>42521</c:v>
                </c:pt>
                <c:pt idx="419">
                  <c:v>42517</c:v>
                </c:pt>
                <c:pt idx="420">
                  <c:v>42516</c:v>
                </c:pt>
                <c:pt idx="421">
                  <c:v>42515</c:v>
                </c:pt>
                <c:pt idx="422">
                  <c:v>42514</c:v>
                </c:pt>
                <c:pt idx="423">
                  <c:v>42513</c:v>
                </c:pt>
                <c:pt idx="424">
                  <c:v>42510</c:v>
                </c:pt>
                <c:pt idx="425">
                  <c:v>42509</c:v>
                </c:pt>
                <c:pt idx="426">
                  <c:v>42508</c:v>
                </c:pt>
                <c:pt idx="427">
                  <c:v>42507</c:v>
                </c:pt>
                <c:pt idx="428">
                  <c:v>42503</c:v>
                </c:pt>
                <c:pt idx="429">
                  <c:v>42502</c:v>
                </c:pt>
                <c:pt idx="430">
                  <c:v>42501</c:v>
                </c:pt>
                <c:pt idx="431">
                  <c:v>42500</c:v>
                </c:pt>
                <c:pt idx="432">
                  <c:v>42499</c:v>
                </c:pt>
                <c:pt idx="433">
                  <c:v>42496</c:v>
                </c:pt>
                <c:pt idx="434">
                  <c:v>42495</c:v>
                </c:pt>
                <c:pt idx="435">
                  <c:v>42494</c:v>
                </c:pt>
                <c:pt idx="436">
                  <c:v>42493</c:v>
                </c:pt>
                <c:pt idx="437">
                  <c:v>42489</c:v>
                </c:pt>
                <c:pt idx="438">
                  <c:v>42488</c:v>
                </c:pt>
                <c:pt idx="439">
                  <c:v>42487</c:v>
                </c:pt>
                <c:pt idx="440">
                  <c:v>42486</c:v>
                </c:pt>
                <c:pt idx="441">
                  <c:v>42485</c:v>
                </c:pt>
                <c:pt idx="442">
                  <c:v>42482</c:v>
                </c:pt>
                <c:pt idx="443">
                  <c:v>42481</c:v>
                </c:pt>
                <c:pt idx="444">
                  <c:v>42480</c:v>
                </c:pt>
                <c:pt idx="445">
                  <c:v>42479</c:v>
                </c:pt>
                <c:pt idx="446">
                  <c:v>42478</c:v>
                </c:pt>
                <c:pt idx="447">
                  <c:v>42475</c:v>
                </c:pt>
                <c:pt idx="448">
                  <c:v>42474</c:v>
                </c:pt>
                <c:pt idx="449">
                  <c:v>42473</c:v>
                </c:pt>
                <c:pt idx="450">
                  <c:v>42472</c:v>
                </c:pt>
                <c:pt idx="451">
                  <c:v>42471</c:v>
                </c:pt>
                <c:pt idx="452">
                  <c:v>42468</c:v>
                </c:pt>
                <c:pt idx="453">
                  <c:v>42467</c:v>
                </c:pt>
                <c:pt idx="454">
                  <c:v>42466</c:v>
                </c:pt>
                <c:pt idx="455">
                  <c:v>42465</c:v>
                </c:pt>
                <c:pt idx="456">
                  <c:v>42461</c:v>
                </c:pt>
                <c:pt idx="457">
                  <c:v>42460</c:v>
                </c:pt>
                <c:pt idx="458">
                  <c:v>42459</c:v>
                </c:pt>
                <c:pt idx="459">
                  <c:v>42458</c:v>
                </c:pt>
                <c:pt idx="460">
                  <c:v>42453</c:v>
                </c:pt>
                <c:pt idx="461">
                  <c:v>42452</c:v>
                </c:pt>
                <c:pt idx="462">
                  <c:v>42451</c:v>
                </c:pt>
                <c:pt idx="463">
                  <c:v>42450</c:v>
                </c:pt>
                <c:pt idx="464">
                  <c:v>42447</c:v>
                </c:pt>
                <c:pt idx="465">
                  <c:v>42446</c:v>
                </c:pt>
                <c:pt idx="466">
                  <c:v>42445</c:v>
                </c:pt>
                <c:pt idx="467">
                  <c:v>42444</c:v>
                </c:pt>
                <c:pt idx="468">
                  <c:v>42443</c:v>
                </c:pt>
                <c:pt idx="469">
                  <c:v>42440</c:v>
                </c:pt>
                <c:pt idx="470">
                  <c:v>42439</c:v>
                </c:pt>
                <c:pt idx="471">
                  <c:v>42438</c:v>
                </c:pt>
                <c:pt idx="472">
                  <c:v>42437</c:v>
                </c:pt>
                <c:pt idx="473">
                  <c:v>42436</c:v>
                </c:pt>
                <c:pt idx="474">
                  <c:v>42433</c:v>
                </c:pt>
                <c:pt idx="475">
                  <c:v>42432</c:v>
                </c:pt>
                <c:pt idx="476">
                  <c:v>42431</c:v>
                </c:pt>
                <c:pt idx="477">
                  <c:v>42430</c:v>
                </c:pt>
                <c:pt idx="478">
                  <c:v>42429</c:v>
                </c:pt>
                <c:pt idx="479">
                  <c:v>42426</c:v>
                </c:pt>
                <c:pt idx="480">
                  <c:v>42425</c:v>
                </c:pt>
                <c:pt idx="481">
                  <c:v>42424</c:v>
                </c:pt>
                <c:pt idx="482">
                  <c:v>42423</c:v>
                </c:pt>
                <c:pt idx="483">
                  <c:v>42422</c:v>
                </c:pt>
                <c:pt idx="484">
                  <c:v>42419</c:v>
                </c:pt>
                <c:pt idx="485">
                  <c:v>42418</c:v>
                </c:pt>
                <c:pt idx="486">
                  <c:v>42417</c:v>
                </c:pt>
                <c:pt idx="487">
                  <c:v>42416</c:v>
                </c:pt>
                <c:pt idx="488">
                  <c:v>42405</c:v>
                </c:pt>
                <c:pt idx="489">
                  <c:v>42404</c:v>
                </c:pt>
                <c:pt idx="490">
                  <c:v>42403</c:v>
                </c:pt>
                <c:pt idx="491">
                  <c:v>42402</c:v>
                </c:pt>
                <c:pt idx="492">
                  <c:v>42401</c:v>
                </c:pt>
                <c:pt idx="493">
                  <c:v>42398</c:v>
                </c:pt>
                <c:pt idx="494">
                  <c:v>42397</c:v>
                </c:pt>
                <c:pt idx="495">
                  <c:v>42396</c:v>
                </c:pt>
                <c:pt idx="496">
                  <c:v>42395</c:v>
                </c:pt>
                <c:pt idx="497">
                  <c:v>42394</c:v>
                </c:pt>
                <c:pt idx="498">
                  <c:v>42391</c:v>
                </c:pt>
                <c:pt idx="499">
                  <c:v>42390</c:v>
                </c:pt>
                <c:pt idx="500">
                  <c:v>42389</c:v>
                </c:pt>
                <c:pt idx="501">
                  <c:v>42388</c:v>
                </c:pt>
                <c:pt idx="502">
                  <c:v>42384</c:v>
                </c:pt>
                <c:pt idx="503">
                  <c:v>42383</c:v>
                </c:pt>
                <c:pt idx="504">
                  <c:v>42382</c:v>
                </c:pt>
                <c:pt idx="505">
                  <c:v>42381</c:v>
                </c:pt>
                <c:pt idx="506">
                  <c:v>42380</c:v>
                </c:pt>
                <c:pt idx="507">
                  <c:v>42377</c:v>
                </c:pt>
                <c:pt idx="508">
                  <c:v>42376</c:v>
                </c:pt>
                <c:pt idx="509">
                  <c:v>42375</c:v>
                </c:pt>
                <c:pt idx="510">
                  <c:v>42374</c:v>
                </c:pt>
                <c:pt idx="511">
                  <c:v>42373</c:v>
                </c:pt>
              </c:numCache>
            </c:numRef>
          </c:cat>
          <c:val>
            <c:numRef>
              <c:f>'Graf 3+4'!$O$3:$O$567</c:f>
              <c:numCache>
                <c:formatCode>General</c:formatCode>
                <c:ptCount val="565"/>
                <c:pt idx="0">
                  <c:v>1.2006565896237056</c:v>
                </c:pt>
                <c:pt idx="1">
                  <c:v>1.2076104883190837</c:v>
                </c:pt>
                <c:pt idx="2">
                  <c:v>1.2006371408789276</c:v>
                </c:pt>
                <c:pt idx="3">
                  <c:v>1.2015016375843102</c:v>
                </c:pt>
                <c:pt idx="4">
                  <c:v>1.1907844067743867</c:v>
                </c:pt>
                <c:pt idx="5">
                  <c:v>1.1779978295200828</c:v>
                </c:pt>
                <c:pt idx="6">
                  <c:v>1.1757612238706114</c:v>
                </c:pt>
                <c:pt idx="7">
                  <c:v>1.1585335257462481</c:v>
                </c:pt>
                <c:pt idx="8">
                  <c:v>1.1854924033202896</c:v>
                </c:pt>
                <c:pt idx="9">
                  <c:v>1.2093083637382043</c:v>
                </c:pt>
                <c:pt idx="10">
                  <c:v>1.2146450993052906</c:v>
                </c:pt>
                <c:pt idx="11">
                  <c:v>1.218176018919739</c:v>
                </c:pt>
                <c:pt idx="12">
                  <c:v>1.2139702278614939</c:v>
                </c:pt>
                <c:pt idx="13">
                  <c:v>1.2118425351827793</c:v>
                </c:pt>
                <c:pt idx="14">
                  <c:v>1.1999058680752743</c:v>
                </c:pt>
                <c:pt idx="15">
                  <c:v>1.1860330784251183</c:v>
                </c:pt>
                <c:pt idx="16">
                  <c:v>1.1944222944851139</c:v>
                </c:pt>
                <c:pt idx="17">
                  <c:v>1.1773764421244253</c:v>
                </c:pt>
                <c:pt idx="18">
                  <c:v>1.1922362555720654</c:v>
                </c:pt>
                <c:pt idx="19">
                  <c:v>1.2243402985771299</c:v>
                </c:pt>
                <c:pt idx="20">
                  <c:v>1.2051084073033926</c:v>
                </c:pt>
                <c:pt idx="21">
                  <c:v>1.233778774417899</c:v>
                </c:pt>
                <c:pt idx="22">
                  <c:v>1.2432765689302412</c:v>
                </c:pt>
                <c:pt idx="23">
                  <c:v>1.264547661093953</c:v>
                </c:pt>
                <c:pt idx="24">
                  <c:v>1.2825941513734702</c:v>
                </c:pt>
                <c:pt idx="25">
                  <c:v>1.2833944672210853</c:v>
                </c:pt>
                <c:pt idx="26">
                  <c:v>1.2957220540986283</c:v>
                </c:pt>
                <c:pt idx="27">
                  <c:v>1.2972478081264636</c:v>
                </c:pt>
                <c:pt idx="28">
                  <c:v>1.2931820480306202</c:v>
                </c:pt>
                <c:pt idx="29">
                  <c:v>1.3044992726169453</c:v>
                </c:pt>
                <c:pt idx="30">
                  <c:v>1.3185859984596593</c:v>
                </c:pt>
                <c:pt idx="31">
                  <c:v>1.3092593529013636</c:v>
                </c:pt>
                <c:pt idx="32">
                  <c:v>1.3064159464148184</c:v>
                </c:pt>
                <c:pt idx="33">
                  <c:v>1.2915357117851614</c:v>
                </c:pt>
                <c:pt idx="34">
                  <c:v>1.2820573660175971</c:v>
                </c:pt>
                <c:pt idx="35">
                  <c:v>1.2881224570766201</c:v>
                </c:pt>
                <c:pt idx="36">
                  <c:v>1.2879960402355632</c:v>
                </c:pt>
                <c:pt idx="37">
                  <c:v>1.2838991621480749</c:v>
                </c:pt>
                <c:pt idx="38">
                  <c:v>1.2915269598500112</c:v>
                </c:pt>
                <c:pt idx="39">
                  <c:v>1.30166461806555</c:v>
                </c:pt>
                <c:pt idx="40">
                  <c:v>1.299932707343068</c:v>
                </c:pt>
                <c:pt idx="41">
                  <c:v>1.2952513944750004</c:v>
                </c:pt>
                <c:pt idx="42">
                  <c:v>1.2804946593746838</c:v>
                </c:pt>
                <c:pt idx="43">
                  <c:v>1.2620494698272171</c:v>
                </c:pt>
                <c:pt idx="44">
                  <c:v>1.251661895241281</c:v>
                </c:pt>
                <c:pt idx="45">
                  <c:v>1.2561594174711963</c:v>
                </c:pt>
                <c:pt idx="46">
                  <c:v>1.262217701469547</c:v>
                </c:pt>
                <c:pt idx="47">
                  <c:v>1.2709774161175638</c:v>
                </c:pt>
                <c:pt idx="48">
                  <c:v>1.2712467812327393</c:v>
                </c:pt>
                <c:pt idx="49">
                  <c:v>1.2748399368304768</c:v>
                </c:pt>
                <c:pt idx="50">
                  <c:v>1.2708947589522572</c:v>
                </c:pt>
                <c:pt idx="51">
                  <c:v>1.2851526337490178</c:v>
                </c:pt>
                <c:pt idx="52">
                  <c:v>1.2945376255416474</c:v>
                </c:pt>
                <c:pt idx="53">
                  <c:v>1.2742389706168362</c:v>
                </c:pt>
                <c:pt idx="54">
                  <c:v>1.2707887632932169</c:v>
                </c:pt>
                <c:pt idx="55">
                  <c:v>1.2763861120403288</c:v>
                </c:pt>
                <c:pt idx="56">
                  <c:v>1.2820155512163245</c:v>
                </c:pt>
                <c:pt idx="57">
                  <c:v>1.2761925970297876</c:v>
                </c:pt>
                <c:pt idx="58">
                  <c:v>1.279114770932684</c:v>
                </c:pt>
                <c:pt idx="59">
                  <c:v>1.268558964704418</c:v>
                </c:pt>
                <c:pt idx="60">
                  <c:v>1.2640565802883081</c:v>
                </c:pt>
                <c:pt idx="61">
                  <c:v>1.2688886209284054</c:v>
                </c:pt>
                <c:pt idx="62">
                  <c:v>1.2698620306045447</c:v>
                </c:pt>
                <c:pt idx="63">
                  <c:v>1.2506991823747695</c:v>
                </c:pt>
                <c:pt idx="64">
                  <c:v>1.2665003150696652</c:v>
                </c:pt>
                <c:pt idx="65">
                  <c:v>1.2701848797678599</c:v>
                </c:pt>
                <c:pt idx="66">
                  <c:v>1.269957329453957</c:v>
                </c:pt>
                <c:pt idx="67">
                  <c:v>1.2641878593155598</c:v>
                </c:pt>
                <c:pt idx="68">
                  <c:v>1.2699874750083628</c:v>
                </c:pt>
                <c:pt idx="69">
                  <c:v>1.2656309561780883</c:v>
                </c:pt>
                <c:pt idx="70">
                  <c:v>1.2804606240713226</c:v>
                </c:pt>
                <c:pt idx="71">
                  <c:v>1.2698727274141726</c:v>
                </c:pt>
                <c:pt idx="72">
                  <c:v>1.263558692421991</c:v>
                </c:pt>
                <c:pt idx="73">
                  <c:v>1.2687602592128702</c:v>
                </c:pt>
                <c:pt idx="74">
                  <c:v>1.2618705413752596</c:v>
                </c:pt>
                <c:pt idx="75">
                  <c:v>1.2674241304466209</c:v>
                </c:pt>
                <c:pt idx="76">
                  <c:v>1.2714052885026801</c:v>
                </c:pt>
                <c:pt idx="77">
                  <c:v>1.2765640680550476</c:v>
                </c:pt>
                <c:pt idx="78">
                  <c:v>1.2819212248041509</c:v>
                </c:pt>
                <c:pt idx="79">
                  <c:v>1.3013563554608185</c:v>
                </c:pt>
                <c:pt idx="80">
                  <c:v>1.3010500377305649</c:v>
                </c:pt>
                <c:pt idx="81">
                  <c:v>1.3097552958932031</c:v>
                </c:pt>
                <c:pt idx="82">
                  <c:v>1.3107345401927759</c:v>
                </c:pt>
                <c:pt idx="83">
                  <c:v>1.3070460857456259</c:v>
                </c:pt>
                <c:pt idx="84">
                  <c:v>1.3094363364788437</c:v>
                </c:pt>
                <c:pt idx="85">
                  <c:v>1.2864926522642228</c:v>
                </c:pt>
                <c:pt idx="86">
                  <c:v>1.2853228102658254</c:v>
                </c:pt>
                <c:pt idx="87">
                  <c:v>1.2771290540908489</c:v>
                </c:pt>
                <c:pt idx="88">
                  <c:v>1.2596378254747438</c:v>
                </c:pt>
                <c:pt idx="89">
                  <c:v>1.2654510552888916</c:v>
                </c:pt>
                <c:pt idx="90">
                  <c:v>1.2644737558637964</c:v>
                </c:pt>
                <c:pt idx="91">
                  <c:v>1.2633204452984605</c:v>
                </c:pt>
                <c:pt idx="92">
                  <c:v>1.26320569770427</c:v>
                </c:pt>
                <c:pt idx="93">
                  <c:v>1.268352808009771</c:v>
                </c:pt>
                <c:pt idx="94">
                  <c:v>1.2636880265747648</c:v>
                </c:pt>
                <c:pt idx="95">
                  <c:v>1.264528212349175</c:v>
                </c:pt>
                <c:pt idx="96">
                  <c:v>1.2633778190955556</c:v>
                </c:pt>
                <c:pt idx="97">
                  <c:v>1.2625045704550226</c:v>
                </c:pt>
                <c:pt idx="98">
                  <c:v>1.2613172245863251</c:v>
                </c:pt>
                <c:pt idx="99">
                  <c:v>1.2592332915833611</c:v>
                </c:pt>
                <c:pt idx="100">
                  <c:v>1.2618734586869762</c:v>
                </c:pt>
                <c:pt idx="101">
                  <c:v>1.2475261196642369</c:v>
                </c:pt>
                <c:pt idx="102">
                  <c:v>1.2354474767198524</c:v>
                </c:pt>
                <c:pt idx="103">
                  <c:v>1.2308536832032859</c:v>
                </c:pt>
                <c:pt idx="104">
                  <c:v>1.225776588378986</c:v>
                </c:pt>
                <c:pt idx="105">
                  <c:v>1.2247662260877681</c:v>
                </c:pt>
                <c:pt idx="106">
                  <c:v>1.2245270065269986</c:v>
                </c:pt>
                <c:pt idx="107">
                  <c:v>1.2252738383264745</c:v>
                </c:pt>
                <c:pt idx="108">
                  <c:v>1.2222728970072272</c:v>
                </c:pt>
                <c:pt idx="109">
                  <c:v>1.2215552383249186</c:v>
                </c:pt>
                <c:pt idx="110">
                  <c:v>1.2213218533875823</c:v>
                </c:pt>
                <c:pt idx="111">
                  <c:v>1.2173757030721235</c:v>
                </c:pt>
                <c:pt idx="112">
                  <c:v>1.2194800572571047</c:v>
                </c:pt>
                <c:pt idx="113">
                  <c:v>1.2207558949145421</c:v>
                </c:pt>
                <c:pt idx="114">
                  <c:v>1.2179552756665084</c:v>
                </c:pt>
                <c:pt idx="115">
                  <c:v>1.2131387940222338</c:v>
                </c:pt>
                <c:pt idx="116">
                  <c:v>1.1964848338688221</c:v>
                </c:pt>
                <c:pt idx="117">
                  <c:v>1.19577009249823</c:v>
                </c:pt>
                <c:pt idx="118">
                  <c:v>1.1877873552040952</c:v>
                </c:pt>
                <c:pt idx="119">
                  <c:v>1.1789547077631608</c:v>
                </c:pt>
                <c:pt idx="120">
                  <c:v>1.1807955314563996</c:v>
                </c:pt>
                <c:pt idx="121">
                  <c:v>1.1723547762227426</c:v>
                </c:pt>
                <c:pt idx="122">
                  <c:v>1.1671648786787299</c:v>
                </c:pt>
                <c:pt idx="123">
                  <c:v>1.1616618563437915</c:v>
                </c:pt>
                <c:pt idx="124">
                  <c:v>1.1789313692694272</c:v>
                </c:pt>
                <c:pt idx="125">
                  <c:v>1.1832557976708182</c:v>
                </c:pt>
                <c:pt idx="126">
                  <c:v>1.1845092692717611</c:v>
                </c:pt>
                <c:pt idx="127">
                  <c:v>1.1838742677547589</c:v>
                </c:pt>
                <c:pt idx="128">
                  <c:v>1.1892265623176679</c:v>
                </c:pt>
                <c:pt idx="129">
                  <c:v>1.1733418000202267</c:v>
                </c:pt>
                <c:pt idx="130">
                  <c:v>1.1829883774301206</c:v>
                </c:pt>
                <c:pt idx="131">
                  <c:v>1.1867098947433932</c:v>
                </c:pt>
                <c:pt idx="132">
                  <c:v>1.1925834156663528</c:v>
                </c:pt>
                <c:pt idx="133">
                  <c:v>1.184140715558218</c:v>
                </c:pt>
                <c:pt idx="134">
                  <c:v>1.1829815703694484</c:v>
                </c:pt>
                <c:pt idx="135">
                  <c:v>1.1682919334386157</c:v>
                </c:pt>
                <c:pt idx="136">
                  <c:v>1.1683152719323493</c:v>
                </c:pt>
                <c:pt idx="137">
                  <c:v>1.1819002201597908</c:v>
                </c:pt>
                <c:pt idx="138">
                  <c:v>1.1953247162428136</c:v>
                </c:pt>
                <c:pt idx="139">
                  <c:v>1.1919328551535284</c:v>
                </c:pt>
                <c:pt idx="140">
                  <c:v>1.1958760881572703</c:v>
                </c:pt>
                <c:pt idx="141">
                  <c:v>1.1819702356409916</c:v>
                </c:pt>
                <c:pt idx="142">
                  <c:v>1.1845724776922897</c:v>
                </c:pt>
                <c:pt idx="143">
                  <c:v>1.1913610620570549</c:v>
                </c:pt>
                <c:pt idx="144">
                  <c:v>1.1784237570307212</c:v>
                </c:pt>
                <c:pt idx="145">
                  <c:v>1.1827462405576343</c:v>
                </c:pt>
                <c:pt idx="146">
                  <c:v>1.1875442458943699</c:v>
                </c:pt>
                <c:pt idx="147">
                  <c:v>1.1965947192768178</c:v>
                </c:pt>
                <c:pt idx="148">
                  <c:v>1.1926271753421034</c:v>
                </c:pt>
                <c:pt idx="149">
                  <c:v>1.1872437627875496</c:v>
                </c:pt>
                <c:pt idx="150">
                  <c:v>1.1902690150377693</c:v>
                </c:pt>
                <c:pt idx="151">
                  <c:v>1.2104169421905511</c:v>
                </c:pt>
                <c:pt idx="152">
                  <c:v>1.2108837120652232</c:v>
                </c:pt>
                <c:pt idx="153">
                  <c:v>1.2087774130057645</c:v>
                </c:pt>
                <c:pt idx="154">
                  <c:v>1.2240223116000093</c:v>
                </c:pt>
                <c:pt idx="155">
                  <c:v>1.2283554919365502</c:v>
                </c:pt>
                <c:pt idx="156">
                  <c:v>1.2292900041231338</c:v>
                </c:pt>
                <c:pt idx="157">
                  <c:v>1.2278556591957555</c:v>
                </c:pt>
                <c:pt idx="158">
                  <c:v>1.2094221388951556</c:v>
                </c:pt>
                <c:pt idx="159">
                  <c:v>1.2102876080377771</c:v>
                </c:pt>
                <c:pt idx="160">
                  <c:v>1.2047213772823102</c:v>
                </c:pt>
                <c:pt idx="161">
                  <c:v>1.2039988564138069</c:v>
                </c:pt>
                <c:pt idx="162">
                  <c:v>1.211042219335164</c:v>
                </c:pt>
                <c:pt idx="163">
                  <c:v>1.213145601082906</c:v>
                </c:pt>
                <c:pt idx="164">
                  <c:v>1.198540566191858</c:v>
                </c:pt>
                <c:pt idx="165">
                  <c:v>1.2073965521265257</c:v>
                </c:pt>
                <c:pt idx="166">
                  <c:v>1.2298676318430408</c:v>
                </c:pt>
                <c:pt idx="167">
                  <c:v>1.2321771702854298</c:v>
                </c:pt>
                <c:pt idx="168">
                  <c:v>1.2418830663668967</c:v>
                </c:pt>
                <c:pt idx="169">
                  <c:v>1.2382442062189305</c:v>
                </c:pt>
                <c:pt idx="170">
                  <c:v>1.2441362034494292</c:v>
                </c:pt>
                <c:pt idx="171">
                  <c:v>1.2422166123398395</c:v>
                </c:pt>
                <c:pt idx="172">
                  <c:v>1.2461579004691037</c:v>
                </c:pt>
                <c:pt idx="173">
                  <c:v>1.2533694950327905</c:v>
                </c:pt>
                <c:pt idx="174">
                  <c:v>1.2401229549644865</c:v>
                </c:pt>
                <c:pt idx="175">
                  <c:v>1.2341988673051041</c:v>
                </c:pt>
                <c:pt idx="176">
                  <c:v>1.2452982659499157</c:v>
                </c:pt>
                <c:pt idx="177">
                  <c:v>1.2413141905821397</c:v>
                </c:pt>
                <c:pt idx="178">
                  <c:v>1.2340656434033748</c:v>
                </c:pt>
                <c:pt idx="179">
                  <c:v>1.2462483371323214</c:v>
                </c:pt>
                <c:pt idx="180">
                  <c:v>1.2363158631741906</c:v>
                </c:pt>
                <c:pt idx="181">
                  <c:v>1.232320118559548</c:v>
                </c:pt>
                <c:pt idx="182">
                  <c:v>1.23403452541173</c:v>
                </c:pt>
                <c:pt idx="183">
                  <c:v>1.2469504368188078</c:v>
                </c:pt>
                <c:pt idx="184">
                  <c:v>1.2315839835697004</c:v>
                </c:pt>
                <c:pt idx="185">
                  <c:v>1.2267354114965419</c:v>
                </c:pt>
                <c:pt idx="186">
                  <c:v>1.2254829123328379</c:v>
                </c:pt>
                <c:pt idx="187">
                  <c:v>1.2273830546976496</c:v>
                </c:pt>
                <c:pt idx="188">
                  <c:v>1.2294397594579245</c:v>
                </c:pt>
                <c:pt idx="189">
                  <c:v>1.2310228872828546</c:v>
                </c:pt>
                <c:pt idx="190">
                  <c:v>1.2271632838816582</c:v>
                </c:pt>
                <c:pt idx="191">
                  <c:v>1.2290332806920641</c:v>
                </c:pt>
                <c:pt idx="192">
                  <c:v>1.2243043183992903</c:v>
                </c:pt>
                <c:pt idx="193">
                  <c:v>1.2283447951269224</c:v>
                </c:pt>
                <c:pt idx="194">
                  <c:v>1.2451601798619918</c:v>
                </c:pt>
                <c:pt idx="195">
                  <c:v>1.2454042616089558</c:v>
                </c:pt>
                <c:pt idx="196">
                  <c:v>1.2418422240028628</c:v>
                </c:pt>
                <c:pt idx="197">
                  <c:v>1.2360708089899877</c:v>
                </c:pt>
                <c:pt idx="198">
                  <c:v>1.2405829177784864</c:v>
                </c:pt>
                <c:pt idx="199">
                  <c:v>1.2397719051212435</c:v>
                </c:pt>
                <c:pt idx="200">
                  <c:v>1.2344653151085627</c:v>
                </c:pt>
                <c:pt idx="201">
                  <c:v>1.2366377399002668</c:v>
                </c:pt>
                <c:pt idx="202">
                  <c:v>1.2299172261422249</c:v>
                </c:pt>
                <c:pt idx="203">
                  <c:v>1.218253813898851</c:v>
                </c:pt>
                <c:pt idx="204">
                  <c:v>1.2163147740444831</c:v>
                </c:pt>
                <c:pt idx="205">
                  <c:v>1.2095184101818068</c:v>
                </c:pt>
                <c:pt idx="206">
                  <c:v>1.2100804789058914</c:v>
                </c:pt>
                <c:pt idx="207">
                  <c:v>1.212901519335942</c:v>
                </c:pt>
                <c:pt idx="208">
                  <c:v>1.2123413954863353</c:v>
                </c:pt>
                <c:pt idx="209">
                  <c:v>1.2111686361762211</c:v>
                </c:pt>
                <c:pt idx="210">
                  <c:v>1.1716478143500617</c:v>
                </c:pt>
                <c:pt idx="211">
                  <c:v>1.169581385217398</c:v>
                </c:pt>
                <c:pt idx="212">
                  <c:v>1.1685243459387131</c:v>
                </c:pt>
                <c:pt idx="213">
                  <c:v>1.1669674739192333</c:v>
                </c:pt>
                <c:pt idx="214">
                  <c:v>1.177524252584738</c:v>
                </c:pt>
                <c:pt idx="215">
                  <c:v>1.1819682907665139</c:v>
                </c:pt>
                <c:pt idx="216">
                  <c:v>1.1804755996048015</c:v>
                </c:pt>
                <c:pt idx="217">
                  <c:v>1.1864239981951565</c:v>
                </c:pt>
                <c:pt idx="218">
                  <c:v>1.1888103591794184</c:v>
                </c:pt>
                <c:pt idx="219">
                  <c:v>1.1893772900896975</c:v>
                </c:pt>
                <c:pt idx="220">
                  <c:v>1.1880790863757653</c:v>
                </c:pt>
                <c:pt idx="221">
                  <c:v>1.1973493305742047</c:v>
                </c:pt>
                <c:pt idx="222">
                  <c:v>1.1918608947978497</c:v>
                </c:pt>
                <c:pt idx="223">
                  <c:v>1.1866651626304037</c:v>
                </c:pt>
                <c:pt idx="224">
                  <c:v>1.1814548439043744</c:v>
                </c:pt>
                <c:pt idx="225">
                  <c:v>1.1665425188458336</c:v>
                </c:pt>
                <c:pt idx="226">
                  <c:v>1.1731745408151357</c:v>
                </c:pt>
                <c:pt idx="227">
                  <c:v>1.1707833176446791</c:v>
                </c:pt>
                <c:pt idx="228">
                  <c:v>1.1576009584341427</c:v>
                </c:pt>
                <c:pt idx="229">
                  <c:v>1.1632420668570049</c:v>
                </c:pt>
                <c:pt idx="230">
                  <c:v>1.1720688796745058</c:v>
                </c:pt>
                <c:pt idx="231">
                  <c:v>1.1761861789440109</c:v>
                </c:pt>
                <c:pt idx="232">
                  <c:v>1.1750134196338968</c:v>
                </c:pt>
                <c:pt idx="233">
                  <c:v>1.1678844822355166</c:v>
                </c:pt>
                <c:pt idx="234">
                  <c:v>1.1658345845359142</c:v>
                </c:pt>
                <c:pt idx="235">
                  <c:v>1.1659551667535377</c:v>
                </c:pt>
                <c:pt idx="236">
                  <c:v>1.1633441727670897</c:v>
                </c:pt>
                <c:pt idx="237">
                  <c:v>1.1648232498074573</c:v>
                </c:pt>
                <c:pt idx="238">
                  <c:v>1.1637457893467555</c:v>
                </c:pt>
                <c:pt idx="239">
                  <c:v>1.163632014189804</c:v>
                </c:pt>
                <c:pt idx="240">
                  <c:v>1.1628793477668951</c:v>
                </c:pt>
                <c:pt idx="241">
                  <c:v>1.1695852749663536</c:v>
                </c:pt>
                <c:pt idx="242">
                  <c:v>1.1727174953128525</c:v>
                </c:pt>
                <c:pt idx="243">
                  <c:v>1.1734584924888947</c:v>
                </c:pt>
                <c:pt idx="244">
                  <c:v>1.1508220984417665</c:v>
                </c:pt>
                <c:pt idx="245">
                  <c:v>1.1496804571232973</c:v>
                </c:pt>
                <c:pt idx="246">
                  <c:v>1.1478678341099866</c:v>
                </c:pt>
                <c:pt idx="247">
                  <c:v>1.1618514816053771</c:v>
                </c:pt>
                <c:pt idx="248">
                  <c:v>1.1667875730300366</c:v>
                </c:pt>
                <c:pt idx="249">
                  <c:v>1.1637632932170556</c:v>
                </c:pt>
                <c:pt idx="250">
                  <c:v>1.1432964066499147</c:v>
                </c:pt>
                <c:pt idx="251">
                  <c:v>1.1433178002691706</c:v>
                </c:pt>
                <c:pt idx="252">
                  <c:v>1.1468856724986969</c:v>
                </c:pt>
                <c:pt idx="253">
                  <c:v>1.1447346413262487</c:v>
                </c:pt>
                <c:pt idx="254">
                  <c:v>1.1449894198828408</c:v>
                </c:pt>
                <c:pt idx="255">
                  <c:v>1.1345396093136149</c:v>
                </c:pt>
                <c:pt idx="256">
                  <c:v>1.1321950631306255</c:v>
                </c:pt>
                <c:pt idx="257">
                  <c:v>1.1225212574780423</c:v>
                </c:pt>
                <c:pt idx="258">
                  <c:v>1.1231105544448161</c:v>
                </c:pt>
                <c:pt idx="259">
                  <c:v>1.1192597029787696</c:v>
                </c:pt>
                <c:pt idx="260">
                  <c:v>1.1330342764677968</c:v>
                </c:pt>
                <c:pt idx="261">
                  <c:v>1.1522049041954832</c:v>
                </c:pt>
                <c:pt idx="262">
                  <c:v>1.1480642664322442</c:v>
                </c:pt>
                <c:pt idx="263">
                  <c:v>1.1275351438818138</c:v>
                </c:pt>
                <c:pt idx="264">
                  <c:v>1.1227517251036618</c:v>
                </c:pt>
                <c:pt idx="265">
                  <c:v>1.1309571505255049</c:v>
                </c:pt>
                <c:pt idx="266">
                  <c:v>1.1277247691433994</c:v>
                </c:pt>
                <c:pt idx="267">
                  <c:v>1.1279678784531246</c:v>
                </c:pt>
                <c:pt idx="268">
                  <c:v>1.1221925736912939</c:v>
                </c:pt>
                <c:pt idx="269">
                  <c:v>1.1308647689878095</c:v>
                </c:pt>
                <c:pt idx="270">
                  <c:v>1.1203488326863384</c:v>
                </c:pt>
                <c:pt idx="271">
                  <c:v>1.1325169398567017</c:v>
                </c:pt>
                <c:pt idx="272">
                  <c:v>1.1264032269357334</c:v>
                </c:pt>
                <c:pt idx="273">
                  <c:v>1.1245254506274165</c:v>
                </c:pt>
                <c:pt idx="274">
                  <c:v>1.1279309258380463</c:v>
                </c:pt>
                <c:pt idx="275">
                  <c:v>1.1265627066429134</c:v>
                </c:pt>
                <c:pt idx="276">
                  <c:v>1.1265014430968625</c:v>
                </c:pt>
                <c:pt idx="277">
                  <c:v>1.12649463603619</c:v>
                </c:pt>
                <c:pt idx="278">
                  <c:v>1.1164610286052137</c:v>
                </c:pt>
                <c:pt idx="279">
                  <c:v>1.1135427444512729</c:v>
                </c:pt>
                <c:pt idx="280">
                  <c:v>1.1158707592012012</c:v>
                </c:pt>
                <c:pt idx="281">
                  <c:v>1.1156033389605033</c:v>
                </c:pt>
                <c:pt idx="282">
                  <c:v>1.1134338314805161</c:v>
                </c:pt>
                <c:pt idx="283">
                  <c:v>1.114033825256918</c:v>
                </c:pt>
                <c:pt idx="284">
                  <c:v>1.1152532615544992</c:v>
                </c:pt>
                <c:pt idx="285">
                  <c:v>1.114874011031328</c:v>
                </c:pt>
                <c:pt idx="286">
                  <c:v>1.1111748597745501</c:v>
                </c:pt>
                <c:pt idx="287">
                  <c:v>1.1089683996794846</c:v>
                </c:pt>
                <c:pt idx="288">
                  <c:v>1.1053110632239795</c:v>
                </c:pt>
                <c:pt idx="289">
                  <c:v>1.0934901161479038</c:v>
                </c:pt>
                <c:pt idx="290">
                  <c:v>1.097361388795967</c:v>
                </c:pt>
                <c:pt idx="291">
                  <c:v>1.0881776915117898</c:v>
                </c:pt>
                <c:pt idx="292">
                  <c:v>1.0894827022863942</c:v>
                </c:pt>
                <c:pt idx="293">
                  <c:v>1.0871284317310161</c:v>
                </c:pt>
                <c:pt idx="294">
                  <c:v>1.0683866488256848</c:v>
                </c:pt>
                <c:pt idx="295">
                  <c:v>1.0478322429070428</c:v>
                </c:pt>
                <c:pt idx="296">
                  <c:v>1.0390326583322311</c:v>
                </c:pt>
                <c:pt idx="297">
                  <c:v>1.0223573045595638</c:v>
                </c:pt>
                <c:pt idx="298">
                  <c:v>1.0243702496440878</c:v>
                </c:pt>
                <c:pt idx="299">
                  <c:v>1.0347023953074068</c:v>
                </c:pt>
                <c:pt idx="300">
                  <c:v>1.0327759971371446</c:v>
                </c:pt>
                <c:pt idx="301">
                  <c:v>1.0290982394996226</c:v>
                </c:pt>
                <c:pt idx="302">
                  <c:v>1.0404368577052037</c:v>
                </c:pt>
                <c:pt idx="303">
                  <c:v>1.0368553713543327</c:v>
                </c:pt>
                <c:pt idx="304">
                  <c:v>1.0418546711995207</c:v>
                </c:pt>
                <c:pt idx="305">
                  <c:v>1.0390618314493982</c:v>
                </c:pt>
                <c:pt idx="306">
                  <c:v>1.0370615280489797</c:v>
                </c:pt>
                <c:pt idx="307">
                  <c:v>1.0391017013761932</c:v>
                </c:pt>
                <c:pt idx="308">
                  <c:v>1.0369944298794955</c:v>
                </c:pt>
                <c:pt idx="309">
                  <c:v>1.04392499008114</c:v>
                </c:pt>
                <c:pt idx="310">
                  <c:v>1.0398942377258971</c:v>
                </c:pt>
                <c:pt idx="311">
                  <c:v>1.0373911842729671</c:v>
                </c:pt>
                <c:pt idx="312">
                  <c:v>1.0337124541982061</c:v>
                </c:pt>
                <c:pt idx="313">
                  <c:v>1.0352576569708192</c:v>
                </c:pt>
                <c:pt idx="314">
                  <c:v>1.0193398318072551</c:v>
                </c:pt>
                <c:pt idx="315">
                  <c:v>1.0168727585321644</c:v>
                </c:pt>
                <c:pt idx="316">
                  <c:v>0.99763600507223249</c:v>
                </c:pt>
                <c:pt idx="317">
                  <c:v>1.004127023641894</c:v>
                </c:pt>
                <c:pt idx="318">
                  <c:v>1.0085078534031413</c:v>
                </c:pt>
                <c:pt idx="319">
                  <c:v>1.0236029966625952</c:v>
                </c:pt>
                <c:pt idx="320">
                  <c:v>1.0371052877247302</c:v>
                </c:pt>
                <c:pt idx="321">
                  <c:v>1.0401373470356223</c:v>
                </c:pt>
                <c:pt idx="322">
                  <c:v>1.0421687684276857</c:v>
                </c:pt>
                <c:pt idx="323">
                  <c:v>1.0414491648708992</c:v>
                </c:pt>
                <c:pt idx="324">
                  <c:v>1.0460808834397828</c:v>
                </c:pt>
                <c:pt idx="325">
                  <c:v>1.0464562442139984</c:v>
                </c:pt>
                <c:pt idx="326">
                  <c:v>1.0415512707809838</c:v>
                </c:pt>
                <c:pt idx="327">
                  <c:v>1.0406430143998506</c:v>
                </c:pt>
                <c:pt idx="328">
                  <c:v>1.0352255665419354</c:v>
                </c:pt>
                <c:pt idx="329">
                  <c:v>1.0338515127233687</c:v>
                </c:pt>
                <c:pt idx="330">
                  <c:v>1.0214062609399188</c:v>
                </c:pt>
                <c:pt idx="331">
                  <c:v>1.0288755513719143</c:v>
                </c:pt>
                <c:pt idx="332">
                  <c:v>1.0127029476517584</c:v>
                </c:pt>
                <c:pt idx="333">
                  <c:v>1.023302513555775</c:v>
                </c:pt>
                <c:pt idx="334">
                  <c:v>1.0285624265809883</c:v>
                </c:pt>
                <c:pt idx="335">
                  <c:v>1.03312510210591</c:v>
                </c:pt>
                <c:pt idx="336">
                  <c:v>1.0221307266828998</c:v>
                </c:pt>
                <c:pt idx="337">
                  <c:v>1.0118734586869764</c:v>
                </c:pt>
                <c:pt idx="338">
                  <c:v>1.0150630528305702</c:v>
                </c:pt>
                <c:pt idx="339">
                  <c:v>1.0075889002123801</c:v>
                </c:pt>
                <c:pt idx="340">
                  <c:v>1.0107230654333568</c:v>
                </c:pt>
                <c:pt idx="341">
                  <c:v>1.0334061364679523</c:v>
                </c:pt>
                <c:pt idx="342">
                  <c:v>1.037997012672802</c:v>
                </c:pt>
                <c:pt idx="343">
                  <c:v>1.0148831519413737</c:v>
                </c:pt>
                <c:pt idx="344">
                  <c:v>1.0107376519919404</c:v>
                </c:pt>
                <c:pt idx="345">
                  <c:v>1.0087937499513782</c:v>
                </c:pt>
                <c:pt idx="346">
                  <c:v>1.0092342640206</c:v>
                </c:pt>
                <c:pt idx="347">
                  <c:v>1.0100316625564987</c:v>
                </c:pt>
                <c:pt idx="348">
                  <c:v>1.0144241615646126</c:v>
                </c:pt>
                <c:pt idx="349">
                  <c:v>1.0282006799281174</c:v>
                </c:pt>
                <c:pt idx="350">
                  <c:v>1.03810495320632</c:v>
                </c:pt>
                <c:pt idx="351">
                  <c:v>1.0456598181153387</c:v>
                </c:pt>
                <c:pt idx="352">
                  <c:v>1.0392572913344171</c:v>
                </c:pt>
                <c:pt idx="353">
                  <c:v>1.0389344421711022</c:v>
                </c:pt>
                <c:pt idx="354">
                  <c:v>1.0243955330122994</c:v>
                </c:pt>
                <c:pt idx="355">
                  <c:v>1.0300726216130012</c:v>
                </c:pt>
                <c:pt idx="356">
                  <c:v>1.0363886014796604</c:v>
                </c:pt>
                <c:pt idx="357">
                  <c:v>1.0253806119353057</c:v>
                </c:pt>
                <c:pt idx="358">
                  <c:v>1.0295941824914621</c:v>
                </c:pt>
                <c:pt idx="359">
                  <c:v>1.0239365426355382</c:v>
                </c:pt>
                <c:pt idx="360">
                  <c:v>1.033017161572392</c:v>
                </c:pt>
                <c:pt idx="361">
                  <c:v>1.03009109792054</c:v>
                </c:pt>
                <c:pt idx="362">
                  <c:v>1.0205096738056525</c:v>
                </c:pt>
                <c:pt idx="363">
                  <c:v>1.0253728324373945</c:v>
                </c:pt>
                <c:pt idx="364">
                  <c:v>1.0310781217180243</c:v>
                </c:pt>
                <c:pt idx="365">
                  <c:v>1.0247222719245699</c:v>
                </c:pt>
                <c:pt idx="366">
                  <c:v>1.0382372046708104</c:v>
                </c:pt>
                <c:pt idx="367">
                  <c:v>1.0443207720373726</c:v>
                </c:pt>
                <c:pt idx="368">
                  <c:v>1.041813828835487</c:v>
                </c:pt>
                <c:pt idx="369">
                  <c:v>1.0446737667550936</c:v>
                </c:pt>
                <c:pt idx="370">
                  <c:v>1.0357322063434025</c:v>
                </c:pt>
                <c:pt idx="371">
                  <c:v>1.039817415184024</c:v>
                </c:pt>
                <c:pt idx="372">
                  <c:v>1.0144815353617078</c:v>
                </c:pt>
                <c:pt idx="373">
                  <c:v>1.0081461067502702</c:v>
                </c:pt>
                <c:pt idx="374">
                  <c:v>0.99459519382619044</c:v>
                </c:pt>
                <c:pt idx="375">
                  <c:v>0.98898909314392836</c:v>
                </c:pt>
                <c:pt idx="376">
                  <c:v>0.9864733980068926</c:v>
                </c:pt>
                <c:pt idx="377">
                  <c:v>1.0045782345207441</c:v>
                </c:pt>
                <c:pt idx="378">
                  <c:v>1.0052569957134967</c:v>
                </c:pt>
                <c:pt idx="379">
                  <c:v>0.99917245590969561</c:v>
                </c:pt>
                <c:pt idx="380">
                  <c:v>1.00351147086967</c:v>
                </c:pt>
                <c:pt idx="381">
                  <c:v>0.99653034393160267</c:v>
                </c:pt>
                <c:pt idx="382">
                  <c:v>0.99171483472456678</c:v>
                </c:pt>
                <c:pt idx="383">
                  <c:v>0.98677679842542954</c:v>
                </c:pt>
                <c:pt idx="384">
                  <c:v>0.98762768100946752</c:v>
                </c:pt>
                <c:pt idx="385">
                  <c:v>0.9862468201302288</c:v>
                </c:pt>
                <c:pt idx="386">
                  <c:v>0.97061294664042375</c:v>
                </c:pt>
                <c:pt idx="387">
                  <c:v>0.97857623518978076</c:v>
                </c:pt>
                <c:pt idx="388">
                  <c:v>0.97894284402884635</c:v>
                </c:pt>
                <c:pt idx="389">
                  <c:v>0.97907898524229231</c:v>
                </c:pt>
                <c:pt idx="390">
                  <c:v>0.96569922127225893</c:v>
                </c:pt>
                <c:pt idx="391">
                  <c:v>0.96894327190123142</c:v>
                </c:pt>
                <c:pt idx="392">
                  <c:v>0.95623740693775616</c:v>
                </c:pt>
                <c:pt idx="393">
                  <c:v>0.93642399819515643</c:v>
                </c:pt>
                <c:pt idx="394">
                  <c:v>0.91591724170122057</c:v>
                </c:pt>
                <c:pt idx="395">
                  <c:v>0.91149070738974503</c:v>
                </c:pt>
                <c:pt idx="396">
                  <c:v>0.9269864947916262</c:v>
                </c:pt>
                <c:pt idx="397">
                  <c:v>0.95066631399609469</c:v>
                </c:pt>
                <c:pt idx="398">
                  <c:v>0.94132799919093213</c:v>
                </c:pt>
                <c:pt idx="399">
                  <c:v>0.9347329298367083</c:v>
                </c:pt>
                <c:pt idx="400">
                  <c:v>0.91868868783208735</c:v>
                </c:pt>
                <c:pt idx="401">
                  <c:v>0.90131901387084468</c:v>
                </c:pt>
                <c:pt idx="402">
                  <c:v>0.92937382821312708</c:v>
                </c:pt>
                <c:pt idx="403">
                  <c:v>0.99743179325206355</c:v>
                </c:pt>
                <c:pt idx="404">
                  <c:v>0.97934737792022897</c:v>
                </c:pt>
                <c:pt idx="405">
                  <c:v>0.97394840636985291</c:v>
                </c:pt>
                <c:pt idx="406">
                  <c:v>0.96874392226725692</c:v>
                </c:pt>
                <c:pt idx="407">
                  <c:v>0.9365893125257696</c:v>
                </c:pt>
                <c:pt idx="408">
                  <c:v>0.92872326770030256</c:v>
                </c:pt>
                <c:pt idx="409">
                  <c:v>0.9341922547318795</c:v>
                </c:pt>
                <c:pt idx="410">
                  <c:v>0.9256824564542605</c:v>
                </c:pt>
                <c:pt idx="411">
                  <c:v>0.93912542884482231</c:v>
                </c:pt>
                <c:pt idx="412">
                  <c:v>0.99354204429646109</c:v>
                </c:pt>
                <c:pt idx="413">
                  <c:v>1.0004123133892939</c:v>
                </c:pt>
                <c:pt idx="414">
                  <c:v>0.98421150898920973</c:v>
                </c:pt>
                <c:pt idx="415">
                  <c:v>0.98247862582948897</c:v>
                </c:pt>
                <c:pt idx="416">
                  <c:v>0.99266393346973381</c:v>
                </c:pt>
                <c:pt idx="417">
                  <c:v>0.99231774581268528</c:v>
                </c:pt>
                <c:pt idx="418">
                  <c:v>0.99798705491547568</c:v>
                </c:pt>
                <c:pt idx="419">
                  <c:v>1.0002790894875644</c:v>
                </c:pt>
                <c:pt idx="420">
                  <c:v>0.99895657484265954</c:v>
                </c:pt>
                <c:pt idx="421">
                  <c:v>0.9923926234800805</c:v>
                </c:pt>
                <c:pt idx="422">
                  <c:v>0.97801027671674057</c:v>
                </c:pt>
                <c:pt idx="423">
                  <c:v>0.95710093120590001</c:v>
                </c:pt>
                <c:pt idx="424">
                  <c:v>0.96427071096831407</c:v>
                </c:pt>
                <c:pt idx="425">
                  <c:v>0.95258882241740106</c:v>
                </c:pt>
                <c:pt idx="426">
                  <c:v>0.9669167126953625</c:v>
                </c:pt>
                <c:pt idx="427">
                  <c:v>0.9617589055802338</c:v>
                </c:pt>
                <c:pt idx="428">
                  <c:v>0.96785705950537948</c:v>
                </c:pt>
                <c:pt idx="429">
                  <c:v>0.95902927425063988</c:v>
                </c:pt>
                <c:pt idx="430">
                  <c:v>0.97003726379499455</c:v>
                </c:pt>
                <c:pt idx="431">
                  <c:v>0.97685599371416565</c:v>
                </c:pt>
                <c:pt idx="432">
                  <c:v>0.97054001384750621</c:v>
                </c:pt>
                <c:pt idx="433">
                  <c:v>0.95979069260869909</c:v>
                </c:pt>
                <c:pt idx="434">
                  <c:v>0.95803155364352788</c:v>
                </c:pt>
                <c:pt idx="435">
                  <c:v>0.95573562932248346</c:v>
                </c:pt>
                <c:pt idx="436">
                  <c:v>0.96531608100013222</c:v>
                </c:pt>
                <c:pt idx="437">
                  <c:v>0.97622682682059692</c:v>
                </c:pt>
                <c:pt idx="438">
                  <c:v>1.0036670608278941</c:v>
                </c:pt>
                <c:pt idx="439">
                  <c:v>1.0015938246345579</c:v>
                </c:pt>
                <c:pt idx="440">
                  <c:v>0.99768073718522199</c:v>
                </c:pt>
                <c:pt idx="441">
                  <c:v>1.0010609290276404</c:v>
                </c:pt>
                <c:pt idx="442">
                  <c:v>1.0087567973362999</c:v>
                </c:pt>
                <c:pt idx="443">
                  <c:v>1.0148092467112171</c:v>
                </c:pt>
                <c:pt idx="444">
                  <c:v>1.0134050473382448</c:v>
                </c:pt>
                <c:pt idx="445">
                  <c:v>1.0064326723353274</c:v>
                </c:pt>
                <c:pt idx="446">
                  <c:v>0.98413663132181439</c:v>
                </c:pt>
                <c:pt idx="447">
                  <c:v>0.97745209774161168</c:v>
                </c:pt>
                <c:pt idx="448">
                  <c:v>0.98154411364290539</c:v>
                </c:pt>
                <c:pt idx="449">
                  <c:v>0.97497530009413191</c:v>
                </c:pt>
                <c:pt idx="450">
                  <c:v>0.94924169344110521</c:v>
                </c:pt>
                <c:pt idx="451">
                  <c:v>0.94161000599021327</c:v>
                </c:pt>
                <c:pt idx="452">
                  <c:v>0.93570439463836996</c:v>
                </c:pt>
                <c:pt idx="453">
                  <c:v>0.92679297978108499</c:v>
                </c:pt>
                <c:pt idx="454">
                  <c:v>0.93592319301712268</c:v>
                </c:pt>
                <c:pt idx="455">
                  <c:v>0.92997673930124547</c:v>
                </c:pt>
                <c:pt idx="456">
                  <c:v>0.95246726776253854</c:v>
                </c:pt>
                <c:pt idx="457">
                  <c:v>0.9690833028636332</c:v>
                </c:pt>
                <c:pt idx="458">
                  <c:v>0.97696976887111708</c:v>
                </c:pt>
                <c:pt idx="459">
                  <c:v>0.9615401072014812</c:v>
                </c:pt>
                <c:pt idx="460">
                  <c:v>0.95798195934434394</c:v>
                </c:pt>
                <c:pt idx="461">
                  <c:v>0.97466703748940042</c:v>
                </c:pt>
                <c:pt idx="462">
                  <c:v>0.97146480166170068</c:v>
                </c:pt>
                <c:pt idx="463">
                  <c:v>0.96744280124160775</c:v>
                </c:pt>
                <c:pt idx="464">
                  <c:v>0.96765284768521032</c:v>
                </c:pt>
                <c:pt idx="465">
                  <c:v>0.96195436546525293</c:v>
                </c:pt>
                <c:pt idx="466">
                  <c:v>0.97082396552126515</c:v>
                </c:pt>
                <c:pt idx="467">
                  <c:v>0.96600456656527389</c:v>
                </c:pt>
                <c:pt idx="468">
                  <c:v>0.97149008502991219</c:v>
                </c:pt>
                <c:pt idx="469">
                  <c:v>0.9560156912472868</c:v>
                </c:pt>
                <c:pt idx="470">
                  <c:v>0.92363547606637464</c:v>
                </c:pt>
                <c:pt idx="471">
                  <c:v>0.94550947931820473</c:v>
                </c:pt>
                <c:pt idx="472">
                  <c:v>0.94256591179605265</c:v>
                </c:pt>
                <c:pt idx="473">
                  <c:v>0.95093956886022579</c:v>
                </c:pt>
                <c:pt idx="474">
                  <c:v>0.95533887492901204</c:v>
                </c:pt>
                <c:pt idx="475">
                  <c:v>0.94831301587795525</c:v>
                </c:pt>
                <c:pt idx="476">
                  <c:v>0.95071493585803979</c:v>
                </c:pt>
                <c:pt idx="477">
                  <c:v>0.94493282403553669</c:v>
                </c:pt>
                <c:pt idx="478">
                  <c:v>0.92336805582567694</c:v>
                </c:pt>
                <c:pt idx="479">
                  <c:v>0.925108718483309</c:v>
                </c:pt>
                <c:pt idx="480">
                  <c:v>0.90742786460561831</c:v>
                </c:pt>
                <c:pt idx="481">
                  <c:v>0.89151101187929316</c:v>
                </c:pt>
                <c:pt idx="482">
                  <c:v>0.91572178181620156</c:v>
                </c:pt>
                <c:pt idx="483">
                  <c:v>0.93097154259664083</c:v>
                </c:pt>
                <c:pt idx="484">
                  <c:v>0.91292894206607889</c:v>
                </c:pt>
                <c:pt idx="485">
                  <c:v>0.92027959515492863</c:v>
                </c:pt>
                <c:pt idx="486">
                  <c:v>0.91187482009911069</c:v>
                </c:pt>
                <c:pt idx="487">
                  <c:v>0.88833211454532723</c:v>
                </c:pt>
                <c:pt idx="488">
                  <c:v>0.90302758609959299</c:v>
                </c:pt>
                <c:pt idx="489">
                  <c:v>0.91344530623993525</c:v>
                </c:pt>
                <c:pt idx="490">
                  <c:v>0.91747703103241707</c:v>
                </c:pt>
                <c:pt idx="491">
                  <c:v>0.93169600833962185</c:v>
                </c:pt>
                <c:pt idx="492">
                  <c:v>0.94889258847233982</c:v>
                </c:pt>
                <c:pt idx="493">
                  <c:v>0.95280470348443713</c:v>
                </c:pt>
                <c:pt idx="494">
                  <c:v>0.9373896283733848</c:v>
                </c:pt>
                <c:pt idx="495">
                  <c:v>0.96084773188738393</c:v>
                </c:pt>
                <c:pt idx="496">
                  <c:v>0.95520078884108817</c:v>
                </c:pt>
                <c:pt idx="497">
                  <c:v>0.94677948235220888</c:v>
                </c:pt>
                <c:pt idx="498">
                  <c:v>0.94957329453957029</c:v>
                </c:pt>
                <c:pt idx="499">
                  <c:v>0.93102697151925806</c:v>
                </c:pt>
                <c:pt idx="500">
                  <c:v>0.91327804703484428</c:v>
                </c:pt>
                <c:pt idx="501">
                  <c:v>0.93978376885555792</c:v>
                </c:pt>
                <c:pt idx="502">
                  <c:v>0.92821760033607426</c:v>
                </c:pt>
                <c:pt idx="503">
                  <c:v>0.95242448052402695</c:v>
                </c:pt>
                <c:pt idx="504">
                  <c:v>0.96864084391993333</c:v>
                </c:pt>
                <c:pt idx="505">
                  <c:v>0.97102039784352312</c:v>
                </c:pt>
                <c:pt idx="506">
                  <c:v>0.95542639428051301</c:v>
                </c:pt>
                <c:pt idx="507">
                  <c:v>0.95778649945932481</c:v>
                </c:pt>
                <c:pt idx="508">
                  <c:v>0.97047777786421663</c:v>
                </c:pt>
                <c:pt idx="509">
                  <c:v>0.993249340687552</c:v>
                </c:pt>
                <c:pt idx="510">
                  <c:v>1.002592517678909</c:v>
                </c:pt>
                <c:pt idx="51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0BA-47AA-9693-95EFE73BDF9C}"/>
            </c:ext>
          </c:extLst>
        </c:ser>
        <c:ser>
          <c:idx val="3"/>
          <c:order val="3"/>
          <c:tx>
            <c:strRef>
              <c:f>'Graf 3+4'!$P$2</c:f>
              <c:strCache>
                <c:ptCount val="1"/>
                <c:pt idx="0">
                  <c:v>Shanghai Composite</c:v>
                </c:pt>
              </c:strCache>
            </c:strRef>
          </c:tx>
          <c:spPr>
            <a:ln w="19050" cap="rnd">
              <a:solidFill>
                <a:srgbClr val="555555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43172</c:v>
                </c:pt>
                <c:pt idx="1">
                  <c:v>43171</c:v>
                </c:pt>
                <c:pt idx="2">
                  <c:v>43168</c:v>
                </c:pt>
                <c:pt idx="3">
                  <c:v>43167</c:v>
                </c:pt>
                <c:pt idx="4">
                  <c:v>43166</c:v>
                </c:pt>
                <c:pt idx="5">
                  <c:v>43165</c:v>
                </c:pt>
                <c:pt idx="6">
                  <c:v>43164</c:v>
                </c:pt>
                <c:pt idx="7">
                  <c:v>43161</c:v>
                </c:pt>
                <c:pt idx="8">
                  <c:v>43160</c:v>
                </c:pt>
                <c:pt idx="9">
                  <c:v>43159</c:v>
                </c:pt>
                <c:pt idx="10">
                  <c:v>43158</c:v>
                </c:pt>
                <c:pt idx="11">
                  <c:v>43157</c:v>
                </c:pt>
                <c:pt idx="12">
                  <c:v>43154</c:v>
                </c:pt>
                <c:pt idx="13">
                  <c:v>43153</c:v>
                </c:pt>
                <c:pt idx="14">
                  <c:v>43145</c:v>
                </c:pt>
                <c:pt idx="15">
                  <c:v>43144</c:v>
                </c:pt>
                <c:pt idx="16">
                  <c:v>43143</c:v>
                </c:pt>
                <c:pt idx="17">
                  <c:v>43140</c:v>
                </c:pt>
                <c:pt idx="18">
                  <c:v>43139</c:v>
                </c:pt>
                <c:pt idx="19">
                  <c:v>43138</c:v>
                </c:pt>
                <c:pt idx="20">
                  <c:v>43137</c:v>
                </c:pt>
                <c:pt idx="21">
                  <c:v>43136</c:v>
                </c:pt>
                <c:pt idx="22">
                  <c:v>43133</c:v>
                </c:pt>
                <c:pt idx="23">
                  <c:v>43132</c:v>
                </c:pt>
                <c:pt idx="24">
                  <c:v>43131</c:v>
                </c:pt>
                <c:pt idx="25">
                  <c:v>43130</c:v>
                </c:pt>
                <c:pt idx="26">
                  <c:v>43129</c:v>
                </c:pt>
                <c:pt idx="27">
                  <c:v>43126</c:v>
                </c:pt>
                <c:pt idx="28">
                  <c:v>43125</c:v>
                </c:pt>
                <c:pt idx="29">
                  <c:v>43124</c:v>
                </c:pt>
                <c:pt idx="30">
                  <c:v>43123</c:v>
                </c:pt>
                <c:pt idx="31">
                  <c:v>43122</c:v>
                </c:pt>
                <c:pt idx="32">
                  <c:v>43119</c:v>
                </c:pt>
                <c:pt idx="33">
                  <c:v>43118</c:v>
                </c:pt>
                <c:pt idx="34">
                  <c:v>43117</c:v>
                </c:pt>
                <c:pt idx="35">
                  <c:v>43116</c:v>
                </c:pt>
                <c:pt idx="36">
                  <c:v>43112</c:v>
                </c:pt>
                <c:pt idx="37">
                  <c:v>43111</c:v>
                </c:pt>
                <c:pt idx="38">
                  <c:v>43110</c:v>
                </c:pt>
                <c:pt idx="39">
                  <c:v>43109</c:v>
                </c:pt>
                <c:pt idx="40">
                  <c:v>43108</c:v>
                </c:pt>
                <c:pt idx="41">
                  <c:v>43105</c:v>
                </c:pt>
                <c:pt idx="42">
                  <c:v>43104</c:v>
                </c:pt>
                <c:pt idx="43">
                  <c:v>43103</c:v>
                </c:pt>
                <c:pt idx="44">
                  <c:v>43102</c:v>
                </c:pt>
                <c:pt idx="45">
                  <c:v>43098</c:v>
                </c:pt>
                <c:pt idx="46">
                  <c:v>43097</c:v>
                </c:pt>
                <c:pt idx="47">
                  <c:v>43096</c:v>
                </c:pt>
                <c:pt idx="48">
                  <c:v>43091</c:v>
                </c:pt>
                <c:pt idx="49">
                  <c:v>43090</c:v>
                </c:pt>
                <c:pt idx="50">
                  <c:v>43089</c:v>
                </c:pt>
                <c:pt idx="51">
                  <c:v>43088</c:v>
                </c:pt>
                <c:pt idx="52">
                  <c:v>43087</c:v>
                </c:pt>
                <c:pt idx="53">
                  <c:v>43084</c:v>
                </c:pt>
                <c:pt idx="54">
                  <c:v>43083</c:v>
                </c:pt>
                <c:pt idx="55">
                  <c:v>43082</c:v>
                </c:pt>
                <c:pt idx="56">
                  <c:v>43081</c:v>
                </c:pt>
                <c:pt idx="57">
                  <c:v>43080</c:v>
                </c:pt>
                <c:pt idx="58">
                  <c:v>43077</c:v>
                </c:pt>
                <c:pt idx="59">
                  <c:v>43076</c:v>
                </c:pt>
                <c:pt idx="60">
                  <c:v>43075</c:v>
                </c:pt>
                <c:pt idx="61">
                  <c:v>43074</c:v>
                </c:pt>
                <c:pt idx="62">
                  <c:v>43073</c:v>
                </c:pt>
                <c:pt idx="63">
                  <c:v>43070</c:v>
                </c:pt>
                <c:pt idx="64">
                  <c:v>43069</c:v>
                </c:pt>
                <c:pt idx="65">
                  <c:v>43068</c:v>
                </c:pt>
                <c:pt idx="66">
                  <c:v>43067</c:v>
                </c:pt>
                <c:pt idx="67">
                  <c:v>43066</c:v>
                </c:pt>
                <c:pt idx="68">
                  <c:v>43063</c:v>
                </c:pt>
                <c:pt idx="69">
                  <c:v>43061</c:v>
                </c:pt>
                <c:pt idx="70">
                  <c:v>43060</c:v>
                </c:pt>
                <c:pt idx="71">
                  <c:v>43059</c:v>
                </c:pt>
                <c:pt idx="72">
                  <c:v>43056</c:v>
                </c:pt>
                <c:pt idx="73">
                  <c:v>43055</c:v>
                </c:pt>
                <c:pt idx="74">
                  <c:v>43054</c:v>
                </c:pt>
                <c:pt idx="75">
                  <c:v>43053</c:v>
                </c:pt>
                <c:pt idx="76">
                  <c:v>43052</c:v>
                </c:pt>
                <c:pt idx="77">
                  <c:v>43049</c:v>
                </c:pt>
                <c:pt idx="78">
                  <c:v>43048</c:v>
                </c:pt>
                <c:pt idx="79">
                  <c:v>43047</c:v>
                </c:pt>
                <c:pt idx="80">
                  <c:v>43046</c:v>
                </c:pt>
                <c:pt idx="81">
                  <c:v>43045</c:v>
                </c:pt>
                <c:pt idx="82">
                  <c:v>43042</c:v>
                </c:pt>
                <c:pt idx="83">
                  <c:v>43041</c:v>
                </c:pt>
                <c:pt idx="84">
                  <c:v>43040</c:v>
                </c:pt>
                <c:pt idx="85">
                  <c:v>43038</c:v>
                </c:pt>
                <c:pt idx="86">
                  <c:v>43035</c:v>
                </c:pt>
                <c:pt idx="87">
                  <c:v>43034</c:v>
                </c:pt>
                <c:pt idx="88">
                  <c:v>43033</c:v>
                </c:pt>
                <c:pt idx="89">
                  <c:v>43032</c:v>
                </c:pt>
                <c:pt idx="90">
                  <c:v>43031</c:v>
                </c:pt>
                <c:pt idx="91">
                  <c:v>43028</c:v>
                </c:pt>
                <c:pt idx="92">
                  <c:v>43027</c:v>
                </c:pt>
                <c:pt idx="93">
                  <c:v>43026</c:v>
                </c:pt>
                <c:pt idx="94">
                  <c:v>43025</c:v>
                </c:pt>
                <c:pt idx="95">
                  <c:v>43024</c:v>
                </c:pt>
                <c:pt idx="96">
                  <c:v>43021</c:v>
                </c:pt>
                <c:pt idx="97">
                  <c:v>43020</c:v>
                </c:pt>
                <c:pt idx="98">
                  <c:v>43019</c:v>
                </c:pt>
                <c:pt idx="99">
                  <c:v>43018</c:v>
                </c:pt>
                <c:pt idx="100">
                  <c:v>43017</c:v>
                </c:pt>
                <c:pt idx="101">
                  <c:v>43007</c:v>
                </c:pt>
                <c:pt idx="102">
                  <c:v>43006</c:v>
                </c:pt>
                <c:pt idx="103">
                  <c:v>43005</c:v>
                </c:pt>
                <c:pt idx="104">
                  <c:v>43004</c:v>
                </c:pt>
                <c:pt idx="105">
                  <c:v>43003</c:v>
                </c:pt>
                <c:pt idx="106">
                  <c:v>43000</c:v>
                </c:pt>
                <c:pt idx="107">
                  <c:v>42999</c:v>
                </c:pt>
                <c:pt idx="108">
                  <c:v>42998</c:v>
                </c:pt>
                <c:pt idx="109">
                  <c:v>42997</c:v>
                </c:pt>
                <c:pt idx="110">
                  <c:v>42996</c:v>
                </c:pt>
                <c:pt idx="111">
                  <c:v>42993</c:v>
                </c:pt>
                <c:pt idx="112">
                  <c:v>42992</c:v>
                </c:pt>
                <c:pt idx="113">
                  <c:v>42991</c:v>
                </c:pt>
                <c:pt idx="114">
                  <c:v>42990</c:v>
                </c:pt>
                <c:pt idx="115">
                  <c:v>42989</c:v>
                </c:pt>
                <c:pt idx="116">
                  <c:v>42986</c:v>
                </c:pt>
                <c:pt idx="117">
                  <c:v>42985</c:v>
                </c:pt>
                <c:pt idx="118">
                  <c:v>42984</c:v>
                </c:pt>
                <c:pt idx="119">
                  <c:v>42983</c:v>
                </c:pt>
                <c:pt idx="120">
                  <c:v>42979</c:v>
                </c:pt>
                <c:pt idx="121">
                  <c:v>42978</c:v>
                </c:pt>
                <c:pt idx="122">
                  <c:v>42977</c:v>
                </c:pt>
                <c:pt idx="123">
                  <c:v>42976</c:v>
                </c:pt>
                <c:pt idx="124">
                  <c:v>42975</c:v>
                </c:pt>
                <c:pt idx="125">
                  <c:v>42972</c:v>
                </c:pt>
                <c:pt idx="126">
                  <c:v>42971</c:v>
                </c:pt>
                <c:pt idx="127">
                  <c:v>42970</c:v>
                </c:pt>
                <c:pt idx="128">
                  <c:v>42969</c:v>
                </c:pt>
                <c:pt idx="129">
                  <c:v>42968</c:v>
                </c:pt>
                <c:pt idx="130">
                  <c:v>42965</c:v>
                </c:pt>
                <c:pt idx="131">
                  <c:v>42964</c:v>
                </c:pt>
                <c:pt idx="132">
                  <c:v>42963</c:v>
                </c:pt>
                <c:pt idx="133">
                  <c:v>42962</c:v>
                </c:pt>
                <c:pt idx="134">
                  <c:v>42961</c:v>
                </c:pt>
                <c:pt idx="135">
                  <c:v>42958</c:v>
                </c:pt>
                <c:pt idx="136">
                  <c:v>42957</c:v>
                </c:pt>
                <c:pt idx="137">
                  <c:v>42956</c:v>
                </c:pt>
                <c:pt idx="138">
                  <c:v>42955</c:v>
                </c:pt>
                <c:pt idx="139">
                  <c:v>42954</c:v>
                </c:pt>
                <c:pt idx="140">
                  <c:v>42951</c:v>
                </c:pt>
                <c:pt idx="141">
                  <c:v>42950</c:v>
                </c:pt>
                <c:pt idx="142">
                  <c:v>42949</c:v>
                </c:pt>
                <c:pt idx="143">
                  <c:v>42948</c:v>
                </c:pt>
                <c:pt idx="144">
                  <c:v>42947</c:v>
                </c:pt>
                <c:pt idx="145">
                  <c:v>42944</c:v>
                </c:pt>
                <c:pt idx="146">
                  <c:v>42943</c:v>
                </c:pt>
                <c:pt idx="147">
                  <c:v>42942</c:v>
                </c:pt>
                <c:pt idx="148">
                  <c:v>42941</c:v>
                </c:pt>
                <c:pt idx="149">
                  <c:v>42940</c:v>
                </c:pt>
                <c:pt idx="150">
                  <c:v>42937</c:v>
                </c:pt>
                <c:pt idx="151">
                  <c:v>42936</c:v>
                </c:pt>
                <c:pt idx="152">
                  <c:v>42935</c:v>
                </c:pt>
                <c:pt idx="153">
                  <c:v>42934</c:v>
                </c:pt>
                <c:pt idx="154">
                  <c:v>42933</c:v>
                </c:pt>
                <c:pt idx="155">
                  <c:v>42930</c:v>
                </c:pt>
                <c:pt idx="156">
                  <c:v>42929</c:v>
                </c:pt>
                <c:pt idx="157">
                  <c:v>42928</c:v>
                </c:pt>
                <c:pt idx="158">
                  <c:v>42927</c:v>
                </c:pt>
                <c:pt idx="159">
                  <c:v>42926</c:v>
                </c:pt>
                <c:pt idx="160">
                  <c:v>42923</c:v>
                </c:pt>
                <c:pt idx="161">
                  <c:v>42922</c:v>
                </c:pt>
                <c:pt idx="162">
                  <c:v>42921</c:v>
                </c:pt>
                <c:pt idx="163">
                  <c:v>42919</c:v>
                </c:pt>
                <c:pt idx="164">
                  <c:v>42916</c:v>
                </c:pt>
                <c:pt idx="165">
                  <c:v>42915</c:v>
                </c:pt>
                <c:pt idx="166">
                  <c:v>42914</c:v>
                </c:pt>
                <c:pt idx="167">
                  <c:v>42913</c:v>
                </c:pt>
                <c:pt idx="168">
                  <c:v>42912</c:v>
                </c:pt>
                <c:pt idx="169">
                  <c:v>42909</c:v>
                </c:pt>
                <c:pt idx="170">
                  <c:v>42908</c:v>
                </c:pt>
                <c:pt idx="171">
                  <c:v>42907</c:v>
                </c:pt>
                <c:pt idx="172">
                  <c:v>42906</c:v>
                </c:pt>
                <c:pt idx="173">
                  <c:v>42905</c:v>
                </c:pt>
                <c:pt idx="174">
                  <c:v>42902</c:v>
                </c:pt>
                <c:pt idx="175">
                  <c:v>42901</c:v>
                </c:pt>
                <c:pt idx="176">
                  <c:v>42900</c:v>
                </c:pt>
                <c:pt idx="177">
                  <c:v>42899</c:v>
                </c:pt>
                <c:pt idx="178">
                  <c:v>42898</c:v>
                </c:pt>
                <c:pt idx="179">
                  <c:v>42895</c:v>
                </c:pt>
                <c:pt idx="180">
                  <c:v>42894</c:v>
                </c:pt>
                <c:pt idx="181">
                  <c:v>42893</c:v>
                </c:pt>
                <c:pt idx="182">
                  <c:v>42892</c:v>
                </c:pt>
                <c:pt idx="183">
                  <c:v>42888</c:v>
                </c:pt>
                <c:pt idx="184">
                  <c:v>42887</c:v>
                </c:pt>
                <c:pt idx="185">
                  <c:v>42886</c:v>
                </c:pt>
                <c:pt idx="186">
                  <c:v>42881</c:v>
                </c:pt>
                <c:pt idx="187">
                  <c:v>42880</c:v>
                </c:pt>
                <c:pt idx="188">
                  <c:v>42879</c:v>
                </c:pt>
                <c:pt idx="189">
                  <c:v>42878</c:v>
                </c:pt>
                <c:pt idx="190">
                  <c:v>42877</c:v>
                </c:pt>
                <c:pt idx="191">
                  <c:v>42874</c:v>
                </c:pt>
                <c:pt idx="192">
                  <c:v>42873</c:v>
                </c:pt>
                <c:pt idx="193">
                  <c:v>42872</c:v>
                </c:pt>
                <c:pt idx="194">
                  <c:v>42871</c:v>
                </c:pt>
                <c:pt idx="195">
                  <c:v>42870</c:v>
                </c:pt>
                <c:pt idx="196">
                  <c:v>42867</c:v>
                </c:pt>
                <c:pt idx="197">
                  <c:v>42866</c:v>
                </c:pt>
                <c:pt idx="198">
                  <c:v>42865</c:v>
                </c:pt>
                <c:pt idx="199">
                  <c:v>42864</c:v>
                </c:pt>
                <c:pt idx="200">
                  <c:v>42863</c:v>
                </c:pt>
                <c:pt idx="201">
                  <c:v>42860</c:v>
                </c:pt>
                <c:pt idx="202">
                  <c:v>42859</c:v>
                </c:pt>
                <c:pt idx="203">
                  <c:v>42858</c:v>
                </c:pt>
                <c:pt idx="204">
                  <c:v>42857</c:v>
                </c:pt>
                <c:pt idx="205">
                  <c:v>42853</c:v>
                </c:pt>
                <c:pt idx="206">
                  <c:v>42852</c:v>
                </c:pt>
                <c:pt idx="207">
                  <c:v>42851</c:v>
                </c:pt>
                <c:pt idx="208">
                  <c:v>42850</c:v>
                </c:pt>
                <c:pt idx="209">
                  <c:v>42849</c:v>
                </c:pt>
                <c:pt idx="210">
                  <c:v>42846</c:v>
                </c:pt>
                <c:pt idx="211">
                  <c:v>42845</c:v>
                </c:pt>
                <c:pt idx="212">
                  <c:v>42844</c:v>
                </c:pt>
                <c:pt idx="213">
                  <c:v>42843</c:v>
                </c:pt>
                <c:pt idx="214">
                  <c:v>42838</c:v>
                </c:pt>
                <c:pt idx="215">
                  <c:v>42837</c:v>
                </c:pt>
                <c:pt idx="216">
                  <c:v>42836</c:v>
                </c:pt>
                <c:pt idx="217">
                  <c:v>42835</c:v>
                </c:pt>
                <c:pt idx="218">
                  <c:v>42832</c:v>
                </c:pt>
                <c:pt idx="219">
                  <c:v>42831</c:v>
                </c:pt>
                <c:pt idx="220">
                  <c:v>42830</c:v>
                </c:pt>
                <c:pt idx="221">
                  <c:v>42825</c:v>
                </c:pt>
                <c:pt idx="222">
                  <c:v>42824</c:v>
                </c:pt>
                <c:pt idx="223">
                  <c:v>42823</c:v>
                </c:pt>
                <c:pt idx="224">
                  <c:v>42822</c:v>
                </c:pt>
                <c:pt idx="225">
                  <c:v>42821</c:v>
                </c:pt>
                <c:pt idx="226">
                  <c:v>42818</c:v>
                </c:pt>
                <c:pt idx="227">
                  <c:v>42817</c:v>
                </c:pt>
                <c:pt idx="228">
                  <c:v>42816</c:v>
                </c:pt>
                <c:pt idx="229">
                  <c:v>42815</c:v>
                </c:pt>
                <c:pt idx="230">
                  <c:v>42814</c:v>
                </c:pt>
                <c:pt idx="231">
                  <c:v>42811</c:v>
                </c:pt>
                <c:pt idx="232">
                  <c:v>42810</c:v>
                </c:pt>
                <c:pt idx="233">
                  <c:v>42809</c:v>
                </c:pt>
                <c:pt idx="234">
                  <c:v>42808</c:v>
                </c:pt>
                <c:pt idx="235">
                  <c:v>42807</c:v>
                </c:pt>
                <c:pt idx="236">
                  <c:v>42804</c:v>
                </c:pt>
                <c:pt idx="237">
                  <c:v>42803</c:v>
                </c:pt>
                <c:pt idx="238">
                  <c:v>42802</c:v>
                </c:pt>
                <c:pt idx="239">
                  <c:v>42801</c:v>
                </c:pt>
                <c:pt idx="240">
                  <c:v>42800</c:v>
                </c:pt>
                <c:pt idx="241">
                  <c:v>42797</c:v>
                </c:pt>
                <c:pt idx="242">
                  <c:v>42796</c:v>
                </c:pt>
                <c:pt idx="243">
                  <c:v>42795</c:v>
                </c:pt>
                <c:pt idx="244">
                  <c:v>42794</c:v>
                </c:pt>
                <c:pt idx="245">
                  <c:v>42793</c:v>
                </c:pt>
                <c:pt idx="246">
                  <c:v>42790</c:v>
                </c:pt>
                <c:pt idx="247">
                  <c:v>42789</c:v>
                </c:pt>
                <c:pt idx="248">
                  <c:v>42788</c:v>
                </c:pt>
                <c:pt idx="249">
                  <c:v>42787</c:v>
                </c:pt>
                <c:pt idx="250">
                  <c:v>42783</c:v>
                </c:pt>
                <c:pt idx="251">
                  <c:v>42782</c:v>
                </c:pt>
                <c:pt idx="252">
                  <c:v>42781</c:v>
                </c:pt>
                <c:pt idx="253">
                  <c:v>42780</c:v>
                </c:pt>
                <c:pt idx="254">
                  <c:v>42779</c:v>
                </c:pt>
                <c:pt idx="255">
                  <c:v>42776</c:v>
                </c:pt>
                <c:pt idx="256">
                  <c:v>42775</c:v>
                </c:pt>
                <c:pt idx="257">
                  <c:v>42774</c:v>
                </c:pt>
                <c:pt idx="258">
                  <c:v>42773</c:v>
                </c:pt>
                <c:pt idx="259">
                  <c:v>42772</c:v>
                </c:pt>
                <c:pt idx="260">
                  <c:v>42769</c:v>
                </c:pt>
                <c:pt idx="261">
                  <c:v>42761</c:v>
                </c:pt>
                <c:pt idx="262">
                  <c:v>42760</c:v>
                </c:pt>
                <c:pt idx="263">
                  <c:v>42759</c:v>
                </c:pt>
                <c:pt idx="264">
                  <c:v>42758</c:v>
                </c:pt>
                <c:pt idx="265">
                  <c:v>42755</c:v>
                </c:pt>
                <c:pt idx="266">
                  <c:v>42754</c:v>
                </c:pt>
                <c:pt idx="267">
                  <c:v>42753</c:v>
                </c:pt>
                <c:pt idx="268">
                  <c:v>42752</c:v>
                </c:pt>
                <c:pt idx="269">
                  <c:v>42748</c:v>
                </c:pt>
                <c:pt idx="270">
                  <c:v>42747</c:v>
                </c:pt>
                <c:pt idx="271">
                  <c:v>42746</c:v>
                </c:pt>
                <c:pt idx="272">
                  <c:v>42745</c:v>
                </c:pt>
                <c:pt idx="273">
                  <c:v>42744</c:v>
                </c:pt>
                <c:pt idx="274">
                  <c:v>42741</c:v>
                </c:pt>
                <c:pt idx="275">
                  <c:v>42740</c:v>
                </c:pt>
                <c:pt idx="276">
                  <c:v>42739</c:v>
                </c:pt>
                <c:pt idx="277">
                  <c:v>42738</c:v>
                </c:pt>
                <c:pt idx="278">
                  <c:v>42734</c:v>
                </c:pt>
                <c:pt idx="279">
                  <c:v>42733</c:v>
                </c:pt>
                <c:pt idx="280">
                  <c:v>42732</c:v>
                </c:pt>
                <c:pt idx="281">
                  <c:v>42731</c:v>
                </c:pt>
                <c:pt idx="282">
                  <c:v>42727</c:v>
                </c:pt>
                <c:pt idx="283">
                  <c:v>42726</c:v>
                </c:pt>
                <c:pt idx="284">
                  <c:v>42725</c:v>
                </c:pt>
                <c:pt idx="285">
                  <c:v>42724</c:v>
                </c:pt>
                <c:pt idx="286">
                  <c:v>42723</c:v>
                </c:pt>
                <c:pt idx="287">
                  <c:v>42720</c:v>
                </c:pt>
                <c:pt idx="288">
                  <c:v>42719</c:v>
                </c:pt>
                <c:pt idx="289">
                  <c:v>42718</c:v>
                </c:pt>
                <c:pt idx="290">
                  <c:v>42717</c:v>
                </c:pt>
                <c:pt idx="291">
                  <c:v>42716</c:v>
                </c:pt>
                <c:pt idx="292">
                  <c:v>42713</c:v>
                </c:pt>
                <c:pt idx="293">
                  <c:v>42712</c:v>
                </c:pt>
                <c:pt idx="294">
                  <c:v>42711</c:v>
                </c:pt>
                <c:pt idx="295">
                  <c:v>42710</c:v>
                </c:pt>
                <c:pt idx="296">
                  <c:v>42709</c:v>
                </c:pt>
                <c:pt idx="297">
                  <c:v>42706</c:v>
                </c:pt>
                <c:pt idx="298">
                  <c:v>42705</c:v>
                </c:pt>
                <c:pt idx="299">
                  <c:v>42704</c:v>
                </c:pt>
                <c:pt idx="300">
                  <c:v>42703</c:v>
                </c:pt>
                <c:pt idx="301">
                  <c:v>42702</c:v>
                </c:pt>
                <c:pt idx="302">
                  <c:v>42699</c:v>
                </c:pt>
                <c:pt idx="303">
                  <c:v>42697</c:v>
                </c:pt>
                <c:pt idx="304">
                  <c:v>42696</c:v>
                </c:pt>
                <c:pt idx="305">
                  <c:v>42695</c:v>
                </c:pt>
                <c:pt idx="306">
                  <c:v>42692</c:v>
                </c:pt>
                <c:pt idx="307">
                  <c:v>42691</c:v>
                </c:pt>
                <c:pt idx="308">
                  <c:v>42690</c:v>
                </c:pt>
                <c:pt idx="309">
                  <c:v>42689</c:v>
                </c:pt>
                <c:pt idx="310">
                  <c:v>42688</c:v>
                </c:pt>
                <c:pt idx="311">
                  <c:v>42685</c:v>
                </c:pt>
                <c:pt idx="312">
                  <c:v>42684</c:v>
                </c:pt>
                <c:pt idx="313">
                  <c:v>42683</c:v>
                </c:pt>
                <c:pt idx="314">
                  <c:v>42682</c:v>
                </c:pt>
                <c:pt idx="315">
                  <c:v>42681</c:v>
                </c:pt>
                <c:pt idx="316">
                  <c:v>42678</c:v>
                </c:pt>
                <c:pt idx="317">
                  <c:v>42677</c:v>
                </c:pt>
                <c:pt idx="318">
                  <c:v>42676</c:v>
                </c:pt>
                <c:pt idx="319">
                  <c:v>42675</c:v>
                </c:pt>
                <c:pt idx="320">
                  <c:v>42674</c:v>
                </c:pt>
                <c:pt idx="321">
                  <c:v>42671</c:v>
                </c:pt>
                <c:pt idx="322">
                  <c:v>42670</c:v>
                </c:pt>
                <c:pt idx="323">
                  <c:v>42669</c:v>
                </c:pt>
                <c:pt idx="324">
                  <c:v>42668</c:v>
                </c:pt>
                <c:pt idx="325">
                  <c:v>42667</c:v>
                </c:pt>
                <c:pt idx="326">
                  <c:v>42664</c:v>
                </c:pt>
                <c:pt idx="327">
                  <c:v>42663</c:v>
                </c:pt>
                <c:pt idx="328">
                  <c:v>42662</c:v>
                </c:pt>
                <c:pt idx="329">
                  <c:v>42661</c:v>
                </c:pt>
                <c:pt idx="330">
                  <c:v>42660</c:v>
                </c:pt>
                <c:pt idx="331">
                  <c:v>42657</c:v>
                </c:pt>
                <c:pt idx="332">
                  <c:v>42656</c:v>
                </c:pt>
                <c:pt idx="333">
                  <c:v>42655</c:v>
                </c:pt>
                <c:pt idx="334">
                  <c:v>42654</c:v>
                </c:pt>
                <c:pt idx="335">
                  <c:v>42653</c:v>
                </c:pt>
                <c:pt idx="336">
                  <c:v>42643</c:v>
                </c:pt>
                <c:pt idx="337">
                  <c:v>42642</c:v>
                </c:pt>
                <c:pt idx="338">
                  <c:v>42641</c:v>
                </c:pt>
                <c:pt idx="339">
                  <c:v>42640</c:v>
                </c:pt>
                <c:pt idx="340">
                  <c:v>42639</c:v>
                </c:pt>
                <c:pt idx="341">
                  <c:v>42636</c:v>
                </c:pt>
                <c:pt idx="342">
                  <c:v>42635</c:v>
                </c:pt>
                <c:pt idx="343">
                  <c:v>42634</c:v>
                </c:pt>
                <c:pt idx="344">
                  <c:v>42633</c:v>
                </c:pt>
                <c:pt idx="345">
                  <c:v>42632</c:v>
                </c:pt>
                <c:pt idx="346">
                  <c:v>42627</c:v>
                </c:pt>
                <c:pt idx="347">
                  <c:v>42626</c:v>
                </c:pt>
                <c:pt idx="348">
                  <c:v>42625</c:v>
                </c:pt>
                <c:pt idx="349">
                  <c:v>42622</c:v>
                </c:pt>
                <c:pt idx="350">
                  <c:v>42621</c:v>
                </c:pt>
                <c:pt idx="351">
                  <c:v>42620</c:v>
                </c:pt>
                <c:pt idx="352">
                  <c:v>42619</c:v>
                </c:pt>
                <c:pt idx="353">
                  <c:v>42615</c:v>
                </c:pt>
                <c:pt idx="354">
                  <c:v>42614</c:v>
                </c:pt>
                <c:pt idx="355">
                  <c:v>42613</c:v>
                </c:pt>
                <c:pt idx="356">
                  <c:v>42612</c:v>
                </c:pt>
                <c:pt idx="357">
                  <c:v>42611</c:v>
                </c:pt>
                <c:pt idx="358">
                  <c:v>42608</c:v>
                </c:pt>
                <c:pt idx="359">
                  <c:v>42607</c:v>
                </c:pt>
                <c:pt idx="360">
                  <c:v>42606</c:v>
                </c:pt>
                <c:pt idx="361">
                  <c:v>42605</c:v>
                </c:pt>
                <c:pt idx="362">
                  <c:v>42604</c:v>
                </c:pt>
                <c:pt idx="363">
                  <c:v>42601</c:v>
                </c:pt>
                <c:pt idx="364">
                  <c:v>42600</c:v>
                </c:pt>
                <c:pt idx="365">
                  <c:v>42599</c:v>
                </c:pt>
                <c:pt idx="366">
                  <c:v>42598</c:v>
                </c:pt>
                <c:pt idx="367">
                  <c:v>42597</c:v>
                </c:pt>
                <c:pt idx="368">
                  <c:v>42594</c:v>
                </c:pt>
                <c:pt idx="369">
                  <c:v>42593</c:v>
                </c:pt>
                <c:pt idx="370">
                  <c:v>42592</c:v>
                </c:pt>
                <c:pt idx="371">
                  <c:v>42591</c:v>
                </c:pt>
                <c:pt idx="372">
                  <c:v>42590</c:v>
                </c:pt>
                <c:pt idx="373">
                  <c:v>42587</c:v>
                </c:pt>
                <c:pt idx="374">
                  <c:v>42586</c:v>
                </c:pt>
                <c:pt idx="375">
                  <c:v>42585</c:v>
                </c:pt>
                <c:pt idx="376">
                  <c:v>42584</c:v>
                </c:pt>
                <c:pt idx="377">
                  <c:v>42583</c:v>
                </c:pt>
                <c:pt idx="378">
                  <c:v>42580</c:v>
                </c:pt>
                <c:pt idx="379">
                  <c:v>42579</c:v>
                </c:pt>
                <c:pt idx="380">
                  <c:v>42578</c:v>
                </c:pt>
                <c:pt idx="381">
                  <c:v>42577</c:v>
                </c:pt>
                <c:pt idx="382">
                  <c:v>42576</c:v>
                </c:pt>
                <c:pt idx="383">
                  <c:v>42573</c:v>
                </c:pt>
                <c:pt idx="384">
                  <c:v>42572</c:v>
                </c:pt>
                <c:pt idx="385">
                  <c:v>42571</c:v>
                </c:pt>
                <c:pt idx="386">
                  <c:v>42570</c:v>
                </c:pt>
                <c:pt idx="387">
                  <c:v>42569</c:v>
                </c:pt>
                <c:pt idx="388">
                  <c:v>42566</c:v>
                </c:pt>
                <c:pt idx="389">
                  <c:v>42565</c:v>
                </c:pt>
                <c:pt idx="390">
                  <c:v>42564</c:v>
                </c:pt>
                <c:pt idx="391">
                  <c:v>42563</c:v>
                </c:pt>
                <c:pt idx="392">
                  <c:v>42562</c:v>
                </c:pt>
                <c:pt idx="393">
                  <c:v>42559</c:v>
                </c:pt>
                <c:pt idx="394">
                  <c:v>42558</c:v>
                </c:pt>
                <c:pt idx="395">
                  <c:v>42557</c:v>
                </c:pt>
                <c:pt idx="396">
                  <c:v>42556</c:v>
                </c:pt>
                <c:pt idx="397">
                  <c:v>42552</c:v>
                </c:pt>
                <c:pt idx="398">
                  <c:v>42551</c:v>
                </c:pt>
                <c:pt idx="399">
                  <c:v>42550</c:v>
                </c:pt>
                <c:pt idx="400">
                  <c:v>42549</c:v>
                </c:pt>
                <c:pt idx="401">
                  <c:v>42548</c:v>
                </c:pt>
                <c:pt idx="402">
                  <c:v>42545</c:v>
                </c:pt>
                <c:pt idx="403">
                  <c:v>42544</c:v>
                </c:pt>
                <c:pt idx="404">
                  <c:v>42543</c:v>
                </c:pt>
                <c:pt idx="405">
                  <c:v>42542</c:v>
                </c:pt>
                <c:pt idx="406">
                  <c:v>42541</c:v>
                </c:pt>
                <c:pt idx="407">
                  <c:v>42538</c:v>
                </c:pt>
                <c:pt idx="408">
                  <c:v>42537</c:v>
                </c:pt>
                <c:pt idx="409">
                  <c:v>42536</c:v>
                </c:pt>
                <c:pt idx="410">
                  <c:v>42535</c:v>
                </c:pt>
                <c:pt idx="411">
                  <c:v>42534</c:v>
                </c:pt>
                <c:pt idx="412">
                  <c:v>42529</c:v>
                </c:pt>
                <c:pt idx="413">
                  <c:v>42528</c:v>
                </c:pt>
                <c:pt idx="414">
                  <c:v>42527</c:v>
                </c:pt>
                <c:pt idx="415">
                  <c:v>42524</c:v>
                </c:pt>
                <c:pt idx="416">
                  <c:v>42523</c:v>
                </c:pt>
                <c:pt idx="417">
                  <c:v>42522</c:v>
                </c:pt>
                <c:pt idx="418">
                  <c:v>42521</c:v>
                </c:pt>
                <c:pt idx="419">
                  <c:v>42517</c:v>
                </c:pt>
                <c:pt idx="420">
                  <c:v>42516</c:v>
                </c:pt>
                <c:pt idx="421">
                  <c:v>42515</c:v>
                </c:pt>
                <c:pt idx="422">
                  <c:v>42514</c:v>
                </c:pt>
                <c:pt idx="423">
                  <c:v>42513</c:v>
                </c:pt>
                <c:pt idx="424">
                  <c:v>42510</c:v>
                </c:pt>
                <c:pt idx="425">
                  <c:v>42509</c:v>
                </c:pt>
                <c:pt idx="426">
                  <c:v>42508</c:v>
                </c:pt>
                <c:pt idx="427">
                  <c:v>42507</c:v>
                </c:pt>
                <c:pt idx="428">
                  <c:v>42503</c:v>
                </c:pt>
                <c:pt idx="429">
                  <c:v>42502</c:v>
                </c:pt>
                <c:pt idx="430">
                  <c:v>42501</c:v>
                </c:pt>
                <c:pt idx="431">
                  <c:v>42500</c:v>
                </c:pt>
                <c:pt idx="432">
                  <c:v>42499</c:v>
                </c:pt>
                <c:pt idx="433">
                  <c:v>42496</c:v>
                </c:pt>
                <c:pt idx="434">
                  <c:v>42495</c:v>
                </c:pt>
                <c:pt idx="435">
                  <c:v>42494</c:v>
                </c:pt>
                <c:pt idx="436">
                  <c:v>42493</c:v>
                </c:pt>
                <c:pt idx="437">
                  <c:v>42489</c:v>
                </c:pt>
                <c:pt idx="438">
                  <c:v>42488</c:v>
                </c:pt>
                <c:pt idx="439">
                  <c:v>42487</c:v>
                </c:pt>
                <c:pt idx="440">
                  <c:v>42486</c:v>
                </c:pt>
                <c:pt idx="441">
                  <c:v>42485</c:v>
                </c:pt>
                <c:pt idx="442">
                  <c:v>42482</c:v>
                </c:pt>
                <c:pt idx="443">
                  <c:v>42481</c:v>
                </c:pt>
                <c:pt idx="444">
                  <c:v>42480</c:v>
                </c:pt>
                <c:pt idx="445">
                  <c:v>42479</c:v>
                </c:pt>
                <c:pt idx="446">
                  <c:v>42478</c:v>
                </c:pt>
                <c:pt idx="447">
                  <c:v>42475</c:v>
                </c:pt>
                <c:pt idx="448">
                  <c:v>42474</c:v>
                </c:pt>
                <c:pt idx="449">
                  <c:v>42473</c:v>
                </c:pt>
                <c:pt idx="450">
                  <c:v>42472</c:v>
                </c:pt>
                <c:pt idx="451">
                  <c:v>42471</c:v>
                </c:pt>
                <c:pt idx="452">
                  <c:v>42468</c:v>
                </c:pt>
                <c:pt idx="453">
                  <c:v>42467</c:v>
                </c:pt>
                <c:pt idx="454">
                  <c:v>42466</c:v>
                </c:pt>
                <c:pt idx="455">
                  <c:v>42465</c:v>
                </c:pt>
                <c:pt idx="456">
                  <c:v>42461</c:v>
                </c:pt>
                <c:pt idx="457">
                  <c:v>42460</c:v>
                </c:pt>
                <c:pt idx="458">
                  <c:v>42459</c:v>
                </c:pt>
                <c:pt idx="459">
                  <c:v>42458</c:v>
                </c:pt>
                <c:pt idx="460">
                  <c:v>42453</c:v>
                </c:pt>
                <c:pt idx="461">
                  <c:v>42452</c:v>
                </c:pt>
                <c:pt idx="462">
                  <c:v>42451</c:v>
                </c:pt>
                <c:pt idx="463">
                  <c:v>42450</c:v>
                </c:pt>
                <c:pt idx="464">
                  <c:v>42447</c:v>
                </c:pt>
                <c:pt idx="465">
                  <c:v>42446</c:v>
                </c:pt>
                <c:pt idx="466">
                  <c:v>42445</c:v>
                </c:pt>
                <c:pt idx="467">
                  <c:v>42444</c:v>
                </c:pt>
                <c:pt idx="468">
                  <c:v>42443</c:v>
                </c:pt>
                <c:pt idx="469">
                  <c:v>42440</c:v>
                </c:pt>
                <c:pt idx="470">
                  <c:v>42439</c:v>
                </c:pt>
                <c:pt idx="471">
                  <c:v>42438</c:v>
                </c:pt>
                <c:pt idx="472">
                  <c:v>42437</c:v>
                </c:pt>
                <c:pt idx="473">
                  <c:v>42436</c:v>
                </c:pt>
                <c:pt idx="474">
                  <c:v>42433</c:v>
                </c:pt>
                <c:pt idx="475">
                  <c:v>42432</c:v>
                </c:pt>
                <c:pt idx="476">
                  <c:v>42431</c:v>
                </c:pt>
                <c:pt idx="477">
                  <c:v>42430</c:v>
                </c:pt>
                <c:pt idx="478">
                  <c:v>42429</c:v>
                </c:pt>
                <c:pt idx="479">
                  <c:v>42426</c:v>
                </c:pt>
                <c:pt idx="480">
                  <c:v>42425</c:v>
                </c:pt>
                <c:pt idx="481">
                  <c:v>42424</c:v>
                </c:pt>
                <c:pt idx="482">
                  <c:v>42423</c:v>
                </c:pt>
                <c:pt idx="483">
                  <c:v>42422</c:v>
                </c:pt>
                <c:pt idx="484">
                  <c:v>42419</c:v>
                </c:pt>
                <c:pt idx="485">
                  <c:v>42418</c:v>
                </c:pt>
                <c:pt idx="486">
                  <c:v>42417</c:v>
                </c:pt>
                <c:pt idx="487">
                  <c:v>42416</c:v>
                </c:pt>
                <c:pt idx="488">
                  <c:v>42405</c:v>
                </c:pt>
                <c:pt idx="489">
                  <c:v>42404</c:v>
                </c:pt>
                <c:pt idx="490">
                  <c:v>42403</c:v>
                </c:pt>
                <c:pt idx="491">
                  <c:v>42402</c:v>
                </c:pt>
                <c:pt idx="492">
                  <c:v>42401</c:v>
                </c:pt>
                <c:pt idx="493">
                  <c:v>42398</c:v>
                </c:pt>
                <c:pt idx="494">
                  <c:v>42397</c:v>
                </c:pt>
                <c:pt idx="495">
                  <c:v>42396</c:v>
                </c:pt>
                <c:pt idx="496">
                  <c:v>42395</c:v>
                </c:pt>
                <c:pt idx="497">
                  <c:v>42394</c:v>
                </c:pt>
                <c:pt idx="498">
                  <c:v>42391</c:v>
                </c:pt>
                <c:pt idx="499">
                  <c:v>42390</c:v>
                </c:pt>
                <c:pt idx="500">
                  <c:v>42389</c:v>
                </c:pt>
                <c:pt idx="501">
                  <c:v>42388</c:v>
                </c:pt>
                <c:pt idx="502">
                  <c:v>42384</c:v>
                </c:pt>
                <c:pt idx="503">
                  <c:v>42383</c:v>
                </c:pt>
                <c:pt idx="504">
                  <c:v>42382</c:v>
                </c:pt>
                <c:pt idx="505">
                  <c:v>42381</c:v>
                </c:pt>
                <c:pt idx="506">
                  <c:v>42380</c:v>
                </c:pt>
                <c:pt idx="507">
                  <c:v>42377</c:v>
                </c:pt>
                <c:pt idx="508">
                  <c:v>42376</c:v>
                </c:pt>
                <c:pt idx="509">
                  <c:v>42375</c:v>
                </c:pt>
                <c:pt idx="510">
                  <c:v>42374</c:v>
                </c:pt>
                <c:pt idx="511">
                  <c:v>42373</c:v>
                </c:pt>
              </c:numCache>
            </c:numRef>
          </c:cat>
          <c:val>
            <c:numRef>
              <c:f>'Graf 3+4'!$P$3:$P$567</c:f>
              <c:numCache>
                <c:formatCode>General</c:formatCode>
                <c:ptCount val="565"/>
                <c:pt idx="0">
                  <c:v>1.004241476243668</c:v>
                </c:pt>
                <c:pt idx="1">
                  <c:v>1.0092350174045843</c:v>
                </c:pt>
                <c:pt idx="2">
                  <c:v>1.0033092069856184</c:v>
                </c:pt>
                <c:pt idx="3">
                  <c:v>0.99761790490914248</c:v>
                </c:pt>
                <c:pt idx="4">
                  <c:v>0.99254002568973676</c:v>
                </c:pt>
                <c:pt idx="5">
                  <c:v>0.99799287555767779</c:v>
                </c:pt>
                <c:pt idx="6">
                  <c:v>0.98806768159531211</c:v>
                </c:pt>
                <c:pt idx="7">
                  <c:v>0.98734018999726358</c:v>
                </c:pt>
                <c:pt idx="8">
                  <c:v>0.99317316787702914</c:v>
                </c:pt>
                <c:pt idx="9">
                  <c:v>0.98882065663549401</c:v>
                </c:pt>
                <c:pt idx="10">
                  <c:v>0.99872886163643759</c:v>
                </c:pt>
                <c:pt idx="11">
                  <c:v>1.0101072185490336</c:v>
                </c:pt>
                <c:pt idx="12">
                  <c:v>0.99780539023341019</c:v>
                </c:pt>
                <c:pt idx="13">
                  <c:v>0.99159683495648709</c:v>
                </c:pt>
                <c:pt idx="14">
                  <c:v>0.97054265776525994</c:v>
                </c:pt>
                <c:pt idx="15">
                  <c:v>0.96623474254745834</c:v>
                </c:pt>
                <c:pt idx="16">
                  <c:v>0.95688049903860684</c:v>
                </c:pt>
                <c:pt idx="17">
                  <c:v>0.94951639101065521</c:v>
                </c:pt>
                <c:pt idx="18">
                  <c:v>0.98962217156545407</c:v>
                </c:pt>
                <c:pt idx="19">
                  <c:v>1.0039444727930886</c:v>
                </c:pt>
                <c:pt idx="20">
                  <c:v>1.0225692285009245</c:v>
                </c:pt>
                <c:pt idx="21">
                  <c:v>1.0580169998828974</c:v>
                </c:pt>
                <c:pt idx="22">
                  <c:v>1.0503064383916552</c:v>
                </c:pt>
                <c:pt idx="23">
                  <c:v>1.0457251829195409</c:v>
                </c:pt>
                <c:pt idx="24">
                  <c:v>1.0559953134736419</c:v>
                </c:pt>
                <c:pt idx="25">
                  <c:v>1.0581723275301873</c:v>
                </c:pt>
                <c:pt idx="26">
                  <c:v>1.0687880014246458</c:v>
                </c:pt>
                <c:pt idx="27">
                  <c:v>1.0794449342254155</c:v>
                </c:pt>
                <c:pt idx="28">
                  <c:v>1.0764651917416659</c:v>
                </c:pt>
                <c:pt idx="29">
                  <c:v>1.0798502423050624</c:v>
                </c:pt>
                <c:pt idx="30">
                  <c:v>1.0759185112330407</c:v>
                </c:pt>
                <c:pt idx="31">
                  <c:v>1.0622232847064763</c:v>
                </c:pt>
                <c:pt idx="32">
                  <c:v>1.0581283382550759</c:v>
                </c:pt>
                <c:pt idx="33">
                  <c:v>1.0541511010363873</c:v>
                </c:pt>
                <c:pt idx="34">
                  <c:v>1.0450246916351815</c:v>
                </c:pt>
                <c:pt idx="35">
                  <c:v>1.0425743373243237</c:v>
                </c:pt>
                <c:pt idx="36">
                  <c:v>1.0402526137213775</c:v>
                </c:pt>
                <c:pt idx="37">
                  <c:v>1.0391616796986158</c:v>
                </c:pt>
                <c:pt idx="38">
                  <c:v>1.0380965324922988</c:v>
                </c:pt>
                <c:pt idx="39">
                  <c:v>1.0356892573336189</c:v>
                </c:pt>
                <c:pt idx="40">
                  <c:v>1.0343483428785003</c:v>
                </c:pt>
                <c:pt idx="41">
                  <c:v>1.028969819716782</c:v>
                </c:pt>
                <c:pt idx="42">
                  <c:v>1.0271374388776608</c:v>
                </c:pt>
                <c:pt idx="43">
                  <c:v>1.0221008185645664</c:v>
                </c:pt>
                <c:pt idx="44">
                  <c:v>1.0157960936310204</c:v>
                </c:pt>
                <c:pt idx="45">
                  <c:v>1.0033110272314849</c:v>
                </c:pt>
                <c:pt idx="46">
                  <c:v>1.0000385285375115</c:v>
                </c:pt>
                <c:pt idx="47">
                  <c:v>0.99378841097996584</c:v>
                </c:pt>
                <c:pt idx="48">
                  <c:v>1.0002442163204459</c:v>
                </c:pt>
                <c:pt idx="49">
                  <c:v>1.0011531257565398</c:v>
                </c:pt>
                <c:pt idx="50">
                  <c:v>0.99737520546025238</c:v>
                </c:pt>
                <c:pt idx="51">
                  <c:v>1.0000849448071116</c:v>
                </c:pt>
                <c:pt idx="52">
                  <c:v>0.99140388889461928</c:v>
                </c:pt>
                <c:pt idx="53">
                  <c:v>0.99086206237497199</c:v>
                </c:pt>
                <c:pt idx="54">
                  <c:v>0.9988411101315493</c:v>
                </c:pt>
                <c:pt idx="55">
                  <c:v>1.0020565744550336</c:v>
                </c:pt>
                <c:pt idx="56">
                  <c:v>0.99531438376486314</c:v>
                </c:pt>
                <c:pt idx="57">
                  <c:v>1.0078689228816433</c:v>
                </c:pt>
                <c:pt idx="58">
                  <c:v>0.99809905656656739</c:v>
                </c:pt>
                <c:pt idx="59">
                  <c:v>0.99265712817382623</c:v>
                </c:pt>
                <c:pt idx="60">
                  <c:v>0.99930436270461853</c:v>
                </c:pt>
                <c:pt idx="61">
                  <c:v>1.0022501272655235</c:v>
                </c:pt>
                <c:pt idx="62">
                  <c:v>1.0040530807964667</c:v>
                </c:pt>
                <c:pt idx="63">
                  <c:v>1.0064797719110581</c:v>
                </c:pt>
                <c:pt idx="64">
                  <c:v>1.0063496243315906</c:v>
                </c:pt>
                <c:pt idx="65">
                  <c:v>1.0126215848395363</c:v>
                </c:pt>
                <c:pt idx="66">
                  <c:v>1.0113458958613071</c:v>
                </c:pt>
                <c:pt idx="67">
                  <c:v>1.0078792376082213</c:v>
                </c:pt>
                <c:pt idx="68">
                  <c:v>1.0174631354705852</c:v>
                </c:pt>
                <c:pt idx="69">
                  <c:v>1.0407146527972022</c:v>
                </c:pt>
                <c:pt idx="70">
                  <c:v>1.0346574813015244</c:v>
                </c:pt>
                <c:pt idx="71">
                  <c:v>1.0291667096446941</c:v>
                </c:pt>
                <c:pt idx="72">
                  <c:v>1.0262870806836117</c:v>
                </c:pt>
                <c:pt idx="73">
                  <c:v>1.0312451270501277</c:v>
                </c:pt>
                <c:pt idx="74">
                  <c:v>1.032238374544711</c:v>
                </c:pt>
                <c:pt idx="75">
                  <c:v>1.0404367619282229</c:v>
                </c:pt>
                <c:pt idx="76">
                  <c:v>1.0459848713298534</c:v>
                </c:pt>
                <c:pt idx="77">
                  <c:v>1.0413848066504503</c:v>
                </c:pt>
                <c:pt idx="78">
                  <c:v>1.0399049467608423</c:v>
                </c:pt>
                <c:pt idx="79">
                  <c:v>1.0361628246332661</c:v>
                </c:pt>
                <c:pt idx="80">
                  <c:v>1.0355909640568184</c:v>
                </c:pt>
                <c:pt idx="81">
                  <c:v>1.0278849531802425</c:v>
                </c:pt>
                <c:pt idx="82">
                  <c:v>1.0229005132486597</c:v>
                </c:pt>
                <c:pt idx="83">
                  <c:v>1.026409037156679</c:v>
                </c:pt>
                <c:pt idx="84">
                  <c:v>1.0302327669739444</c:v>
                </c:pt>
                <c:pt idx="85">
                  <c:v>1.0285411518151795</c:v>
                </c:pt>
                <c:pt idx="86">
                  <c:v>1.0365732900762017</c:v>
                </c:pt>
                <c:pt idx="87">
                  <c:v>1.0337682911956527</c:v>
                </c:pt>
                <c:pt idx="88">
                  <c:v>1.0305315906703907</c:v>
                </c:pt>
                <c:pt idx="89">
                  <c:v>1.027907402879265</c:v>
                </c:pt>
                <c:pt idx="90">
                  <c:v>1.0256172302046747</c:v>
                </c:pt>
                <c:pt idx="91">
                  <c:v>1.0249950094925824</c:v>
                </c:pt>
                <c:pt idx="92">
                  <c:v>1.0224236088315903</c:v>
                </c:pt>
                <c:pt idx="93">
                  <c:v>1.0259494250753429</c:v>
                </c:pt>
                <c:pt idx="94">
                  <c:v>1.0229906154190602</c:v>
                </c:pt>
                <c:pt idx="95">
                  <c:v>1.0249410088652042</c:v>
                </c:pt>
                <c:pt idx="96">
                  <c:v>1.0285975794370465</c:v>
                </c:pt>
                <c:pt idx="97">
                  <c:v>1.0272557548589947</c:v>
                </c:pt>
                <c:pt idx="98">
                  <c:v>1.0279183243544652</c:v>
                </c:pt>
                <c:pt idx="99">
                  <c:v>1.0263116540028117</c:v>
                </c:pt>
                <c:pt idx="100">
                  <c:v>1.0236996011841306</c:v>
                </c:pt>
                <c:pt idx="101">
                  <c:v>1.015983275580977</c:v>
                </c:pt>
                <c:pt idx="102">
                  <c:v>1.0131615911133169</c:v>
                </c:pt>
                <c:pt idx="103">
                  <c:v>1.014869588484882</c:v>
                </c:pt>
                <c:pt idx="104">
                  <c:v>1.0143571892734125</c:v>
                </c:pt>
                <c:pt idx="105">
                  <c:v>1.013740125924609</c:v>
                </c:pt>
                <c:pt idx="106">
                  <c:v>1.0170711758606275</c:v>
                </c:pt>
                <c:pt idx="107">
                  <c:v>1.0186739023462363</c:v>
                </c:pt>
                <c:pt idx="108">
                  <c:v>1.0211567177083833</c:v>
                </c:pt>
                <c:pt idx="109">
                  <c:v>1.0183802360130791</c:v>
                </c:pt>
                <c:pt idx="110">
                  <c:v>1.0202050324944225</c:v>
                </c:pt>
                <c:pt idx="111">
                  <c:v>1.0174018538597405</c:v>
                </c:pt>
                <c:pt idx="112">
                  <c:v>1.0228040402177256</c:v>
                </c:pt>
                <c:pt idx="113">
                  <c:v>1.0266632648293914</c:v>
                </c:pt>
                <c:pt idx="114">
                  <c:v>1.025249843913917</c:v>
                </c:pt>
                <c:pt idx="115">
                  <c:v>1.0243187881531117</c:v>
                </c:pt>
                <c:pt idx="116">
                  <c:v>1.0209282768521153</c:v>
                </c:pt>
                <c:pt idx="117">
                  <c:v>1.0210053339271381</c:v>
                </c:pt>
                <c:pt idx="118">
                  <c:v>1.0270400557237935</c:v>
                </c:pt>
                <c:pt idx="119">
                  <c:v>1.0267148384622806</c:v>
                </c:pt>
                <c:pt idx="120">
                  <c:v>1.0214974070597631</c:v>
                </c:pt>
                <c:pt idx="121">
                  <c:v>1.0195834185309525</c:v>
                </c:pt>
                <c:pt idx="122">
                  <c:v>1.020437720591046</c:v>
                </c:pt>
                <c:pt idx="123">
                  <c:v>1.0209231194888264</c:v>
                </c:pt>
                <c:pt idx="124">
                  <c:v>1.0201422340120221</c:v>
                </c:pt>
                <c:pt idx="125">
                  <c:v>1.0106981917070812</c:v>
                </c:pt>
                <c:pt idx="126">
                  <c:v>0.99249269929720318</c:v>
                </c:pt>
                <c:pt idx="127">
                  <c:v>0.9974052395170524</c:v>
                </c:pt>
                <c:pt idx="128">
                  <c:v>0.99817004615536775</c:v>
                </c:pt>
                <c:pt idx="129">
                  <c:v>0.9971628434424733</c:v>
                </c:pt>
                <c:pt idx="130">
                  <c:v>0.99164689171782072</c:v>
                </c:pt>
                <c:pt idx="131">
                  <c:v>0.99155769967035345</c:v>
                </c:pt>
                <c:pt idx="132">
                  <c:v>0.98488983568640565</c:v>
                </c:pt>
                <c:pt idx="133">
                  <c:v>0.98634936949716934</c:v>
                </c:pt>
                <c:pt idx="134">
                  <c:v>0.98213185982407936</c:v>
                </c:pt>
                <c:pt idx="135">
                  <c:v>0.97338921892643115</c:v>
                </c:pt>
                <c:pt idx="136">
                  <c:v>0.9895311592721201</c:v>
                </c:pt>
                <c:pt idx="137">
                  <c:v>0.99372470237463206</c:v>
                </c:pt>
                <c:pt idx="138">
                  <c:v>0.99563596053464265</c:v>
                </c:pt>
                <c:pt idx="139">
                  <c:v>0.99490300819899413</c:v>
                </c:pt>
                <c:pt idx="140">
                  <c:v>0.98963157616909847</c:v>
                </c:pt>
                <c:pt idx="141">
                  <c:v>0.99292258069604999</c:v>
                </c:pt>
                <c:pt idx="142">
                  <c:v>0.99660190434122575</c:v>
                </c:pt>
                <c:pt idx="143">
                  <c:v>0.9989017849937718</c:v>
                </c:pt>
                <c:pt idx="144">
                  <c:v>0.99295261475285002</c:v>
                </c:pt>
                <c:pt idx="145">
                  <c:v>0.9869494438845503</c:v>
                </c:pt>
                <c:pt idx="146">
                  <c:v>0.98590007214241127</c:v>
                </c:pt>
                <c:pt idx="147">
                  <c:v>0.98526116584320778</c:v>
                </c:pt>
                <c:pt idx="148">
                  <c:v>0.98405191583911211</c:v>
                </c:pt>
                <c:pt idx="149">
                  <c:v>0.98614823232890159</c:v>
                </c:pt>
                <c:pt idx="150">
                  <c:v>0.98232055864559154</c:v>
                </c:pt>
                <c:pt idx="151">
                  <c:v>0.98440868402898074</c:v>
                </c:pt>
                <c:pt idx="152">
                  <c:v>0.98019511822193539</c:v>
                </c:pt>
                <c:pt idx="153">
                  <c:v>0.96702594275084053</c:v>
                </c:pt>
                <c:pt idx="154">
                  <c:v>0.96365788114886652</c:v>
                </c:pt>
                <c:pt idx="155">
                  <c:v>0.97759853749312098</c:v>
                </c:pt>
                <c:pt idx="156">
                  <c:v>0.97630798317364731</c:v>
                </c:pt>
                <c:pt idx="157">
                  <c:v>0.97005270825281276</c:v>
                </c:pt>
                <c:pt idx="158">
                  <c:v>0.9717191433437552</c:v>
                </c:pt>
                <c:pt idx="159">
                  <c:v>0.97463001985888253</c:v>
                </c:pt>
                <c:pt idx="160">
                  <c:v>0.976245488065558</c:v>
                </c:pt>
                <c:pt idx="161">
                  <c:v>0.97457298548839322</c:v>
                </c:pt>
                <c:pt idx="162">
                  <c:v>0.9729620678963844</c:v>
                </c:pt>
                <c:pt idx="163">
                  <c:v>0.96955760137707669</c:v>
                </c:pt>
                <c:pt idx="164">
                  <c:v>0.96850034190284873</c:v>
                </c:pt>
                <c:pt idx="165">
                  <c:v>0.96717641640915253</c:v>
                </c:pt>
                <c:pt idx="166">
                  <c:v>0.96266766739739429</c:v>
                </c:pt>
                <c:pt idx="167">
                  <c:v>0.96812719150018001</c:v>
                </c:pt>
                <c:pt idx="168">
                  <c:v>0.96638187908834805</c:v>
                </c:pt>
                <c:pt idx="169">
                  <c:v>0.95801754595665756</c:v>
                </c:pt>
                <c:pt idx="170">
                  <c:v>0.95485638563486241</c:v>
                </c:pt>
                <c:pt idx="171">
                  <c:v>0.95751364122589921</c:v>
                </c:pt>
                <c:pt idx="172">
                  <c:v>0.9525992807601833</c:v>
                </c:pt>
                <c:pt idx="173">
                  <c:v>0.95392229613094603</c:v>
                </c:pt>
                <c:pt idx="174">
                  <c:v>0.94748833374086627</c:v>
                </c:pt>
                <c:pt idx="175">
                  <c:v>0.95031578232043734</c:v>
                </c:pt>
                <c:pt idx="176">
                  <c:v>0.94976606806870101</c:v>
                </c:pt>
                <c:pt idx="177">
                  <c:v>0.95676461005176172</c:v>
                </c:pt>
                <c:pt idx="178">
                  <c:v>0.95255771847956083</c:v>
                </c:pt>
                <c:pt idx="179">
                  <c:v>0.95817742421861407</c:v>
                </c:pt>
                <c:pt idx="180">
                  <c:v>0.95573010365086719</c:v>
                </c:pt>
                <c:pt idx="181">
                  <c:v>0.95269393354525045</c:v>
                </c:pt>
                <c:pt idx="182">
                  <c:v>0.94110533823505327</c:v>
                </c:pt>
                <c:pt idx="183">
                  <c:v>0.94214105813319227</c:v>
                </c:pt>
                <c:pt idx="184">
                  <c:v>0.94125611526767627</c:v>
                </c:pt>
                <c:pt idx="185">
                  <c:v>0.94567172836592284</c:v>
                </c:pt>
                <c:pt idx="186">
                  <c:v>0.94351200664511103</c:v>
                </c:pt>
                <c:pt idx="187">
                  <c:v>0.94283608867995172</c:v>
                </c:pt>
                <c:pt idx="188">
                  <c:v>0.92956194569721184</c:v>
                </c:pt>
                <c:pt idx="189">
                  <c:v>0.92891606178885278</c:v>
                </c:pt>
                <c:pt idx="190">
                  <c:v>0.93308108770612008</c:v>
                </c:pt>
                <c:pt idx="191">
                  <c:v>0.93761805052881175</c:v>
                </c:pt>
                <c:pt idx="192">
                  <c:v>0.93746879036774433</c:v>
                </c:pt>
                <c:pt idx="193">
                  <c:v>0.94180795313959043</c:v>
                </c:pt>
                <c:pt idx="194">
                  <c:v>0.94439330901889362</c:v>
                </c:pt>
                <c:pt idx="195">
                  <c:v>0.93749609405574441</c:v>
                </c:pt>
                <c:pt idx="196">
                  <c:v>0.93545863218231096</c:v>
                </c:pt>
                <c:pt idx="197">
                  <c:v>0.92878045347178528</c:v>
                </c:pt>
                <c:pt idx="198">
                  <c:v>0.92613654635043741</c:v>
                </c:pt>
                <c:pt idx="199">
                  <c:v>0.93455275648932823</c:v>
                </c:pt>
                <c:pt idx="200">
                  <c:v>0.9339720980578583</c:v>
                </c:pt>
                <c:pt idx="201">
                  <c:v>0.94138201560678814</c:v>
                </c:pt>
                <c:pt idx="202">
                  <c:v>0.94876341597047331</c:v>
                </c:pt>
                <c:pt idx="203">
                  <c:v>0.95118343285021989</c:v>
                </c:pt>
                <c:pt idx="204">
                  <c:v>0.9537214623369894</c:v>
                </c:pt>
                <c:pt idx="205">
                  <c:v>0.95704219754642994</c:v>
                </c:pt>
                <c:pt idx="206">
                  <c:v>0.95629255962367021</c:v>
                </c:pt>
                <c:pt idx="207">
                  <c:v>0.95285229493565138</c:v>
                </c:pt>
                <c:pt idx="208">
                  <c:v>0.95094710426186302</c:v>
                </c:pt>
                <c:pt idx="209">
                  <c:v>0.94941931123109902</c:v>
                </c:pt>
                <c:pt idx="210">
                  <c:v>0.96265249868183866</c:v>
                </c:pt>
                <c:pt idx="211">
                  <c:v>0.9623336522808591</c:v>
                </c:pt>
                <c:pt idx="212">
                  <c:v>0.96190498437925676</c:v>
                </c:pt>
                <c:pt idx="213">
                  <c:v>0.96980060420027814</c:v>
                </c:pt>
                <c:pt idx="214">
                  <c:v>0.99384210823303276</c:v>
                </c:pt>
                <c:pt idx="215">
                  <c:v>0.99319592095036258</c:v>
                </c:pt>
                <c:pt idx="216">
                  <c:v>0.99778779452336563</c:v>
                </c:pt>
                <c:pt idx="217">
                  <c:v>0.99184984913195517</c:v>
                </c:pt>
                <c:pt idx="218">
                  <c:v>0.99707486489225061</c:v>
                </c:pt>
                <c:pt idx="219">
                  <c:v>0.99537263163259682</c:v>
                </c:pt>
                <c:pt idx="220">
                  <c:v>0.99212652650368993</c:v>
                </c:pt>
                <c:pt idx="221">
                  <c:v>0.97762796480129899</c:v>
                </c:pt>
                <c:pt idx="222">
                  <c:v>0.97390343838376736</c:v>
                </c:pt>
                <c:pt idx="223">
                  <c:v>0.98333140185021928</c:v>
                </c:pt>
                <c:pt idx="224">
                  <c:v>0.98686085858570538</c:v>
                </c:pt>
                <c:pt idx="225">
                  <c:v>0.9911102225614622</c:v>
                </c:pt>
                <c:pt idx="226">
                  <c:v>0.99186562459613303</c:v>
                </c:pt>
                <c:pt idx="227">
                  <c:v>0.98552661836543143</c:v>
                </c:pt>
                <c:pt idx="228">
                  <c:v>0.98451638190942581</c:v>
                </c:pt>
                <c:pt idx="229">
                  <c:v>0.9894889902428754</c:v>
                </c:pt>
                <c:pt idx="230">
                  <c:v>0.98621163755992403</c:v>
                </c:pt>
                <c:pt idx="231">
                  <c:v>0.9821582533891462</c:v>
                </c:pt>
                <c:pt idx="232">
                  <c:v>0.99171090369746551</c:v>
                </c:pt>
                <c:pt idx="233">
                  <c:v>0.98346670679297565</c:v>
                </c:pt>
                <c:pt idx="234">
                  <c:v>0.98272890046834926</c:v>
                </c:pt>
                <c:pt idx="235">
                  <c:v>0.9820299260555454</c:v>
                </c:pt>
                <c:pt idx="236">
                  <c:v>0.97466885177070495</c:v>
                </c:pt>
                <c:pt idx="237">
                  <c:v>0.9758781017748005</c:v>
                </c:pt>
                <c:pt idx="238">
                  <c:v>0.98313451192230705</c:v>
                </c:pt>
                <c:pt idx="239">
                  <c:v>0.98366268659795442</c:v>
                </c:pt>
                <c:pt idx="240">
                  <c:v>0.98107156660674011</c:v>
                </c:pt>
                <c:pt idx="241">
                  <c:v>0.97635318594600307</c:v>
                </c:pt>
                <c:pt idx="242">
                  <c:v>0.97990751937500042</c:v>
                </c:pt>
                <c:pt idx="243">
                  <c:v>0.98503606210436201</c:v>
                </c:pt>
                <c:pt idx="244">
                  <c:v>0.98345851568657561</c:v>
                </c:pt>
                <c:pt idx="245">
                  <c:v>0.97949250331739812</c:v>
                </c:pt>
                <c:pt idx="246">
                  <c:v>0.98700799512659509</c:v>
                </c:pt>
                <c:pt idx="247">
                  <c:v>0.986383650794325</c:v>
                </c:pt>
                <c:pt idx="248">
                  <c:v>0.98937006751291923</c:v>
                </c:pt>
                <c:pt idx="249">
                  <c:v>0.98697553407530603</c:v>
                </c:pt>
                <c:pt idx="250">
                  <c:v>0.97142729725646471</c:v>
                </c:pt>
                <c:pt idx="251">
                  <c:v>0.97978343928175538</c:v>
                </c:pt>
                <c:pt idx="252">
                  <c:v>0.97473741436501637</c:v>
                </c:pt>
                <c:pt idx="253">
                  <c:v>0.97623669021053572</c:v>
                </c:pt>
                <c:pt idx="254">
                  <c:v>0.97590631558573393</c:v>
                </c:pt>
                <c:pt idx="255">
                  <c:v>0.9697963569599225</c:v>
                </c:pt>
                <c:pt idx="256">
                  <c:v>0.96569473627367763</c:v>
                </c:pt>
                <c:pt idx="257">
                  <c:v>0.96078098255658395</c:v>
                </c:pt>
                <c:pt idx="258">
                  <c:v>0.95656589987798302</c:v>
                </c:pt>
                <c:pt idx="259">
                  <c:v>0.95774784619407827</c:v>
                </c:pt>
                <c:pt idx="260">
                  <c:v>0.95264691052702799</c:v>
                </c:pt>
                <c:pt idx="261">
                  <c:v>0.95840980894092642</c:v>
                </c:pt>
                <c:pt idx="262">
                  <c:v>0.95549377506251032</c:v>
                </c:pt>
                <c:pt idx="263">
                  <c:v>0.95336985151040965</c:v>
                </c:pt>
                <c:pt idx="264">
                  <c:v>0.9516169547408001</c:v>
                </c:pt>
                <c:pt idx="265">
                  <c:v>0.94748014263446623</c:v>
                </c:pt>
                <c:pt idx="266">
                  <c:v>0.94085444767976301</c:v>
                </c:pt>
                <c:pt idx="267">
                  <c:v>0.94440787098582701</c:v>
                </c:pt>
                <c:pt idx="268">
                  <c:v>0.94312247402964222</c:v>
                </c:pt>
                <c:pt idx="269">
                  <c:v>0.94433263415667112</c:v>
                </c:pt>
                <c:pt idx="270">
                  <c:v>0.94631215153668202</c:v>
                </c:pt>
                <c:pt idx="271">
                  <c:v>0.95161058388026665</c:v>
                </c:pt>
                <c:pt idx="272">
                  <c:v>0.9591697615902639</c:v>
                </c:pt>
                <c:pt idx="273">
                  <c:v>0.96207153687605762</c:v>
                </c:pt>
                <c:pt idx="274">
                  <c:v>0.95693996040358498</c:v>
                </c:pt>
                <c:pt idx="275">
                  <c:v>0.9603043815138258</c:v>
                </c:pt>
                <c:pt idx="276">
                  <c:v>0.95829695369719237</c:v>
                </c:pt>
                <c:pt idx="277">
                  <c:v>0.95135787307910968</c:v>
                </c:pt>
                <c:pt idx="278">
                  <c:v>0.94156373681914474</c:v>
                </c:pt>
                <c:pt idx="279">
                  <c:v>0.93927629451335437</c:v>
                </c:pt>
                <c:pt idx="280">
                  <c:v>0.94113870940927558</c:v>
                </c:pt>
                <c:pt idx="281">
                  <c:v>0.94490904534778541</c:v>
                </c:pt>
                <c:pt idx="282">
                  <c:v>0.9435408272046667</c:v>
                </c:pt>
                <c:pt idx="283">
                  <c:v>0.95246124544862698</c:v>
                </c:pt>
                <c:pt idx="284">
                  <c:v>0.95181566491457892</c:v>
                </c:pt>
                <c:pt idx="285">
                  <c:v>0.94133286896838786</c:v>
                </c:pt>
                <c:pt idx="286">
                  <c:v>0.945946585491791</c:v>
                </c:pt>
                <c:pt idx="287">
                  <c:v>0.94743220949331042</c:v>
                </c:pt>
                <c:pt idx="288">
                  <c:v>0.94582311214716819</c:v>
                </c:pt>
                <c:pt idx="289">
                  <c:v>0.95275642865333965</c:v>
                </c:pt>
                <c:pt idx="290">
                  <c:v>0.9571571764103417</c:v>
                </c:pt>
                <c:pt idx="291">
                  <c:v>0.95653010170927155</c:v>
                </c:pt>
                <c:pt idx="292">
                  <c:v>0.98077395640753851</c:v>
                </c:pt>
                <c:pt idx="293">
                  <c:v>0.97545944522546479</c:v>
                </c:pt>
                <c:pt idx="294">
                  <c:v>0.9775454469886764</c:v>
                </c:pt>
                <c:pt idx="295">
                  <c:v>0.97069070442908301</c:v>
                </c:pt>
                <c:pt idx="296">
                  <c:v>0.97222638519193583</c:v>
                </c:pt>
                <c:pt idx="297">
                  <c:v>0.98409863548302345</c:v>
                </c:pt>
                <c:pt idx="298">
                  <c:v>0.99303786293427287</c:v>
                </c:pt>
                <c:pt idx="299">
                  <c:v>0.98597712921743386</c:v>
                </c:pt>
                <c:pt idx="300">
                  <c:v>0.99595480693562222</c:v>
                </c:pt>
                <c:pt idx="301">
                  <c:v>0.99415761751659004</c:v>
                </c:pt>
                <c:pt idx="302">
                  <c:v>0.98958819364260941</c:v>
                </c:pt>
                <c:pt idx="303">
                  <c:v>0.98327770459715236</c:v>
                </c:pt>
                <c:pt idx="304">
                  <c:v>0.98546655025183105</c:v>
                </c:pt>
                <c:pt idx="305">
                  <c:v>0.97630343255898067</c:v>
                </c:pt>
                <c:pt idx="306">
                  <c:v>0.96863048948231611</c:v>
                </c:pt>
                <c:pt idx="307">
                  <c:v>0.97336191523843107</c:v>
                </c:pt>
                <c:pt idx="308">
                  <c:v>0.97233195945220308</c:v>
                </c:pt>
                <c:pt idx="309">
                  <c:v>0.97291716849833965</c:v>
                </c:pt>
                <c:pt idx="310">
                  <c:v>0.97394409054145648</c:v>
                </c:pt>
                <c:pt idx="311">
                  <c:v>0.96959734341183257</c:v>
                </c:pt>
                <c:pt idx="312">
                  <c:v>0.96208549209436889</c:v>
                </c:pt>
                <c:pt idx="313">
                  <c:v>0.94906709365589714</c:v>
                </c:pt>
                <c:pt idx="314">
                  <c:v>0.95498805008588539</c:v>
                </c:pt>
                <c:pt idx="315">
                  <c:v>0.95057274036194994</c:v>
                </c:pt>
                <c:pt idx="316">
                  <c:v>0.9481408918840698</c:v>
                </c:pt>
                <c:pt idx="317">
                  <c:v>0.949238803515987</c:v>
                </c:pt>
                <c:pt idx="318">
                  <c:v>0.94128918306758758</c:v>
                </c:pt>
                <c:pt idx="319">
                  <c:v>0.94726687049375391</c:v>
                </c:pt>
                <c:pt idx="320">
                  <c:v>0.94060962461069497</c:v>
                </c:pt>
                <c:pt idx="321">
                  <c:v>0.94175607613239021</c:v>
                </c:pt>
                <c:pt idx="322">
                  <c:v>0.94420703719187027</c:v>
                </c:pt>
                <c:pt idx="323">
                  <c:v>0.94540900621249913</c:v>
                </c:pt>
                <c:pt idx="324">
                  <c:v>0.95014953319794759</c:v>
                </c:pt>
                <c:pt idx="325">
                  <c:v>0.9490297786156302</c:v>
                </c:pt>
                <c:pt idx="326">
                  <c:v>0.93771209656525667</c:v>
                </c:pt>
                <c:pt idx="327">
                  <c:v>0.93574532090631268</c:v>
                </c:pt>
                <c:pt idx="328">
                  <c:v>0.93582450160151309</c:v>
                </c:pt>
                <c:pt idx="329">
                  <c:v>0.93556845368293384</c:v>
                </c:pt>
                <c:pt idx="330">
                  <c:v>0.92261194360392906</c:v>
                </c:pt>
                <c:pt idx="331">
                  <c:v>0.92948094475614484</c:v>
                </c:pt>
                <c:pt idx="332">
                  <c:v>0.92873373382787394</c:v>
                </c:pt>
                <c:pt idx="333">
                  <c:v>0.9278697237898248</c:v>
                </c:pt>
                <c:pt idx="334">
                  <c:v>0.92991810713845824</c:v>
                </c:pt>
                <c:pt idx="335">
                  <c:v>0.92472828279825192</c:v>
                </c:pt>
                <c:pt idx="336">
                  <c:v>0.91154970272351254</c:v>
                </c:pt>
                <c:pt idx="337">
                  <c:v>0.90966271450839109</c:v>
                </c:pt>
                <c:pt idx="338">
                  <c:v>0.90643936245281787</c:v>
                </c:pt>
                <c:pt idx="339">
                  <c:v>0.90956836509763506</c:v>
                </c:pt>
                <c:pt idx="340">
                  <c:v>0.90418559469556092</c:v>
                </c:pt>
                <c:pt idx="341">
                  <c:v>0.92040610898782815</c:v>
                </c:pt>
                <c:pt idx="342">
                  <c:v>0.92295961056446441</c:v>
                </c:pt>
                <c:pt idx="343">
                  <c:v>0.91797244026408131</c:v>
                </c:pt>
                <c:pt idx="344">
                  <c:v>0.91710023911963201</c:v>
                </c:pt>
                <c:pt idx="345">
                  <c:v>0.91802613751714823</c:v>
                </c:pt>
                <c:pt idx="346">
                  <c:v>0.91098724675070952</c:v>
                </c:pt>
                <c:pt idx="347">
                  <c:v>0.91725526339261076</c:v>
                </c:pt>
                <c:pt idx="348">
                  <c:v>0.91679019057367472</c:v>
                </c:pt>
                <c:pt idx="349">
                  <c:v>0.93404551464114771</c:v>
                </c:pt>
                <c:pt idx="350">
                  <c:v>0.9392329119868652</c:v>
                </c:pt>
                <c:pt idx="351">
                  <c:v>0.93801152701032509</c:v>
                </c:pt>
                <c:pt idx="352">
                  <c:v>0.93764292722232312</c:v>
                </c:pt>
                <c:pt idx="353">
                  <c:v>0.93055579994041726</c:v>
                </c:pt>
                <c:pt idx="354">
                  <c:v>0.92932804410334391</c:v>
                </c:pt>
                <c:pt idx="355">
                  <c:v>0.93605870656969214</c:v>
                </c:pt>
                <c:pt idx="356">
                  <c:v>0.93277801676931849</c:v>
                </c:pt>
                <c:pt idx="357">
                  <c:v>0.93136732622264407</c:v>
                </c:pt>
                <c:pt idx="358">
                  <c:v>0.93145287777837793</c:v>
                </c:pt>
                <c:pt idx="359">
                  <c:v>0.93085219664237462</c:v>
                </c:pt>
                <c:pt idx="360">
                  <c:v>0.93617671917671497</c:v>
                </c:pt>
                <c:pt idx="361">
                  <c:v>0.93733742929103248</c:v>
                </c:pt>
                <c:pt idx="362">
                  <c:v>0.9358505917922687</c:v>
                </c:pt>
                <c:pt idx="363">
                  <c:v>0.94291830311826319</c:v>
                </c:pt>
                <c:pt idx="364">
                  <c:v>0.94170844636554552</c:v>
                </c:pt>
                <c:pt idx="365">
                  <c:v>0.9433591059923101</c:v>
                </c:pt>
                <c:pt idx="366">
                  <c:v>0.94350533241026646</c:v>
                </c:pt>
                <c:pt idx="367">
                  <c:v>0.94810388021811409</c:v>
                </c:pt>
                <c:pt idx="368">
                  <c:v>0.92549399955950051</c:v>
                </c:pt>
                <c:pt idx="369">
                  <c:v>0.91092293139675362</c:v>
                </c:pt>
                <c:pt idx="370">
                  <c:v>0.91580998817446946</c:v>
                </c:pt>
                <c:pt idx="371">
                  <c:v>0.91791388902203652</c:v>
                </c:pt>
                <c:pt idx="372">
                  <c:v>0.91142046526697851</c:v>
                </c:pt>
                <c:pt idx="373">
                  <c:v>0.90305309839217685</c:v>
                </c:pt>
                <c:pt idx="374">
                  <c:v>0.90479143319485311</c:v>
                </c:pt>
                <c:pt idx="375">
                  <c:v>0.9035885540512909</c:v>
                </c:pt>
                <c:pt idx="376">
                  <c:v>0.90140971974887896</c:v>
                </c:pt>
                <c:pt idx="377">
                  <c:v>0.89598113982582683</c:v>
                </c:pt>
                <c:pt idx="378">
                  <c:v>0.90385491669644791</c:v>
                </c:pt>
                <c:pt idx="379">
                  <c:v>0.90840067737416186</c:v>
                </c:pt>
                <c:pt idx="380">
                  <c:v>0.90769563547513576</c:v>
                </c:pt>
                <c:pt idx="381">
                  <c:v>0.92534200902963315</c:v>
                </c:pt>
                <c:pt idx="382">
                  <c:v>0.91492474193464235</c:v>
                </c:pt>
                <c:pt idx="383">
                  <c:v>0.91401097850957058</c:v>
                </c:pt>
                <c:pt idx="384">
                  <c:v>0.92195726184054771</c:v>
                </c:pt>
                <c:pt idx="385">
                  <c:v>0.91858677324408466</c:v>
                </c:pt>
                <c:pt idx="386">
                  <c:v>0.92122582637645478</c:v>
                </c:pt>
                <c:pt idx="387">
                  <c:v>0.92333913182766636</c:v>
                </c:pt>
                <c:pt idx="388">
                  <c:v>0.92659494493452876</c:v>
                </c:pt>
                <c:pt idx="389">
                  <c:v>0.92651060687603948</c:v>
                </c:pt>
                <c:pt idx="390">
                  <c:v>0.92853441690547278</c:v>
                </c:pt>
                <c:pt idx="391">
                  <c:v>0.92510386019540947</c:v>
                </c:pt>
                <c:pt idx="392">
                  <c:v>0.90858088171496287</c:v>
                </c:pt>
                <c:pt idx="393">
                  <c:v>0.90651095879024035</c:v>
                </c:pt>
                <c:pt idx="394">
                  <c:v>0.91523388035766629</c:v>
                </c:pt>
                <c:pt idx="395">
                  <c:v>0.91536888192611143</c:v>
                </c:pt>
                <c:pt idx="396">
                  <c:v>0.91206210193498205</c:v>
                </c:pt>
                <c:pt idx="397">
                  <c:v>0.88963788635476959</c:v>
                </c:pt>
                <c:pt idx="398">
                  <c:v>0.88876720208187598</c:v>
                </c:pt>
                <c:pt idx="399">
                  <c:v>0.88936970346374589</c:v>
                </c:pt>
                <c:pt idx="400">
                  <c:v>0.88359497345171401</c:v>
                </c:pt>
                <c:pt idx="401">
                  <c:v>0.87848190281221927</c:v>
                </c:pt>
                <c:pt idx="402">
                  <c:v>0.86591704896886112</c:v>
                </c:pt>
                <c:pt idx="403">
                  <c:v>0.87734637276572414</c:v>
                </c:pt>
                <c:pt idx="404">
                  <c:v>0.88146922965374686</c:v>
                </c:pt>
                <c:pt idx="405">
                  <c:v>0.8732802468738794</c:v>
                </c:pt>
                <c:pt idx="406">
                  <c:v>0.87639044031140778</c:v>
                </c:pt>
                <c:pt idx="407">
                  <c:v>0.87526674186304598</c:v>
                </c:pt>
                <c:pt idx="408">
                  <c:v>0.87153887832809207</c:v>
                </c:pt>
                <c:pt idx="409">
                  <c:v>0.87590534478793836</c:v>
                </c:pt>
                <c:pt idx="410">
                  <c:v>0.86224682655301865</c:v>
                </c:pt>
                <c:pt idx="411">
                  <c:v>0.85948096295860343</c:v>
                </c:pt>
                <c:pt idx="412">
                  <c:v>0.88802484514258295</c:v>
                </c:pt>
                <c:pt idx="413">
                  <c:v>0.89072062927113116</c:v>
                </c:pt>
                <c:pt idx="414">
                  <c:v>0.89012995948739448</c:v>
                </c:pt>
                <c:pt idx="415">
                  <c:v>0.89152062732953552</c:v>
                </c:pt>
                <c:pt idx="416">
                  <c:v>0.88743933272213527</c:v>
                </c:pt>
                <c:pt idx="417">
                  <c:v>0.88388348242158232</c:v>
                </c:pt>
                <c:pt idx="418">
                  <c:v>0.88482636978052087</c:v>
                </c:pt>
                <c:pt idx="419">
                  <c:v>0.85583288686747216</c:v>
                </c:pt>
                <c:pt idx="420">
                  <c:v>0.85625670078009686</c:v>
                </c:pt>
                <c:pt idx="421">
                  <c:v>0.85402477597323989</c:v>
                </c:pt>
                <c:pt idx="422">
                  <c:v>0.85602097894036222</c:v>
                </c:pt>
                <c:pt idx="423">
                  <c:v>0.86268884292431003</c:v>
                </c:pt>
                <c:pt idx="424">
                  <c:v>0.85717895868587968</c:v>
                </c:pt>
                <c:pt idx="425">
                  <c:v>0.85154317410833746</c:v>
                </c:pt>
                <c:pt idx="426">
                  <c:v>0.85172762568949401</c:v>
                </c:pt>
                <c:pt idx="427">
                  <c:v>0.86270067452244348</c:v>
                </c:pt>
                <c:pt idx="428">
                  <c:v>0.85767224531574893</c:v>
                </c:pt>
                <c:pt idx="429">
                  <c:v>0.86032768066091925</c:v>
                </c:pt>
                <c:pt idx="430">
                  <c:v>0.86068414547647665</c:v>
                </c:pt>
                <c:pt idx="431">
                  <c:v>0.85933534328926919</c:v>
                </c:pt>
                <c:pt idx="432">
                  <c:v>0.8591903303685573</c:v>
                </c:pt>
                <c:pt idx="433">
                  <c:v>0.88380460510069303</c:v>
                </c:pt>
                <c:pt idx="434">
                  <c:v>0.9094682515749678</c:v>
                </c:pt>
                <c:pt idx="435">
                  <c:v>0.90747508235095675</c:v>
                </c:pt>
                <c:pt idx="436">
                  <c:v>0.9078910085314924</c:v>
                </c:pt>
                <c:pt idx="437">
                  <c:v>0.89141171595184598</c:v>
                </c:pt>
                <c:pt idx="438">
                  <c:v>0.89361573032208053</c:v>
                </c:pt>
                <c:pt idx="439">
                  <c:v>0.89606790487880494</c:v>
                </c:pt>
                <c:pt idx="440">
                  <c:v>0.89941382015606786</c:v>
                </c:pt>
                <c:pt idx="441">
                  <c:v>0.8939439813267045</c:v>
                </c:pt>
                <c:pt idx="442">
                  <c:v>0.89775739641739205</c:v>
                </c:pt>
                <c:pt idx="443">
                  <c:v>0.89583127291613707</c:v>
                </c:pt>
                <c:pt idx="444">
                  <c:v>0.90180562322488111</c:v>
                </c:pt>
                <c:pt idx="445">
                  <c:v>0.92311433146313182</c:v>
                </c:pt>
                <c:pt idx="446">
                  <c:v>0.92033451265040545</c:v>
                </c:pt>
                <c:pt idx="447">
                  <c:v>0.9338213210252353</c:v>
                </c:pt>
                <c:pt idx="448">
                  <c:v>0.93510944835022025</c:v>
                </c:pt>
                <c:pt idx="449">
                  <c:v>0.93033919068228277</c:v>
                </c:pt>
                <c:pt idx="450">
                  <c:v>0.91729652229892211</c:v>
                </c:pt>
                <c:pt idx="451">
                  <c:v>0.92042461482080595</c:v>
                </c:pt>
                <c:pt idx="452">
                  <c:v>0.90555957695059075</c:v>
                </c:pt>
                <c:pt idx="453">
                  <c:v>0.91267734503791886</c:v>
                </c:pt>
                <c:pt idx="454">
                  <c:v>0.92547124648616708</c:v>
                </c:pt>
                <c:pt idx="455">
                  <c:v>0.92622149115754904</c:v>
                </c:pt>
                <c:pt idx="456">
                  <c:v>0.91301409052325411</c:v>
                </c:pt>
                <c:pt idx="457">
                  <c:v>0.91131064376635573</c:v>
                </c:pt>
                <c:pt idx="458">
                  <c:v>0.91031860976901691</c:v>
                </c:pt>
                <c:pt idx="459">
                  <c:v>0.88580202156505949</c:v>
                </c:pt>
                <c:pt idx="460">
                  <c:v>0.89828223397561724</c:v>
                </c:pt>
                <c:pt idx="461">
                  <c:v>0.9131445414770325</c:v>
                </c:pt>
                <c:pt idx="462">
                  <c:v>0.90992968390217033</c:v>
                </c:pt>
                <c:pt idx="463">
                  <c:v>0.91582697713589178</c:v>
                </c:pt>
                <c:pt idx="464">
                  <c:v>0.89651659548494089</c:v>
                </c:pt>
                <c:pt idx="465">
                  <c:v>0.88125140689836778</c:v>
                </c:pt>
                <c:pt idx="466">
                  <c:v>0.87081472384746583</c:v>
                </c:pt>
                <c:pt idx="467">
                  <c:v>0.86897566877350019</c:v>
                </c:pt>
                <c:pt idx="468">
                  <c:v>0.86749853925269194</c:v>
                </c:pt>
                <c:pt idx="469">
                  <c:v>0.85257525351474317</c:v>
                </c:pt>
                <c:pt idx="470">
                  <c:v>0.85088151473580043</c:v>
                </c:pt>
                <c:pt idx="471">
                  <c:v>0.86842595452176385</c:v>
                </c:pt>
                <c:pt idx="472">
                  <c:v>0.88020628239658438</c:v>
                </c:pt>
                <c:pt idx="473">
                  <c:v>0.87897852655951092</c:v>
                </c:pt>
                <c:pt idx="474">
                  <c:v>0.87194236616187204</c:v>
                </c:pt>
                <c:pt idx="475">
                  <c:v>0.86757711319927022</c:v>
                </c:pt>
                <c:pt idx="476">
                  <c:v>0.86452001026618674</c:v>
                </c:pt>
                <c:pt idx="477">
                  <c:v>0.82917356590412528</c:v>
                </c:pt>
                <c:pt idx="478">
                  <c:v>0.81546377741062748</c:v>
                </c:pt>
                <c:pt idx="479">
                  <c:v>0.83950042745440445</c:v>
                </c:pt>
                <c:pt idx="480">
                  <c:v>0.83162331346636098</c:v>
                </c:pt>
                <c:pt idx="481">
                  <c:v>0.88855180632098585</c:v>
                </c:pt>
                <c:pt idx="482">
                  <c:v>0.8807960420573876</c:v>
                </c:pt>
                <c:pt idx="483">
                  <c:v>0.88802969913156082</c:v>
                </c:pt>
                <c:pt idx="484">
                  <c:v>0.86765690064309298</c:v>
                </c:pt>
                <c:pt idx="485">
                  <c:v>0.86852819166460882</c:v>
                </c:pt>
                <c:pt idx="486">
                  <c:v>0.86987669047750515</c:v>
                </c:pt>
                <c:pt idx="487">
                  <c:v>0.86054277304749816</c:v>
                </c:pt>
                <c:pt idx="488">
                  <c:v>0.83837248176568713</c:v>
                </c:pt>
                <c:pt idx="489">
                  <c:v>0.84369093681380536</c:v>
                </c:pt>
                <c:pt idx="490">
                  <c:v>0.83101717159275756</c:v>
                </c:pt>
                <c:pt idx="491">
                  <c:v>0.83414890460637492</c:v>
                </c:pt>
                <c:pt idx="492">
                  <c:v>0.81572922993285113</c:v>
                </c:pt>
                <c:pt idx="493">
                  <c:v>0.83051751410235486</c:v>
                </c:pt>
                <c:pt idx="494">
                  <c:v>0.80565932642408455</c:v>
                </c:pt>
                <c:pt idx="495">
                  <c:v>0.82989802375906263</c:v>
                </c:pt>
                <c:pt idx="496">
                  <c:v>0.83421413008326417</c:v>
                </c:pt>
                <c:pt idx="497">
                  <c:v>0.89146996381957966</c:v>
                </c:pt>
                <c:pt idx="498">
                  <c:v>0.8848102909420319</c:v>
                </c:pt>
                <c:pt idx="499">
                  <c:v>0.87386424242277161</c:v>
                </c:pt>
                <c:pt idx="500">
                  <c:v>0.90305249164355461</c:v>
                </c:pt>
                <c:pt idx="501">
                  <c:v>0.91247074713205101</c:v>
                </c:pt>
                <c:pt idx="502">
                  <c:v>0.88007977530885018</c:v>
                </c:pt>
                <c:pt idx="503">
                  <c:v>0.91244344344405082</c:v>
                </c:pt>
                <c:pt idx="504">
                  <c:v>0.89483195793533166</c:v>
                </c:pt>
                <c:pt idx="505">
                  <c:v>0.91705837346469843</c:v>
                </c:pt>
                <c:pt idx="506">
                  <c:v>0.91519049783117712</c:v>
                </c:pt>
                <c:pt idx="507">
                  <c:v>0.96667554542150524</c:v>
                </c:pt>
                <c:pt idx="508">
                  <c:v>0.9480453289760693</c:v>
                </c:pt>
                <c:pt idx="509">
                  <c:v>1.0198958940713987</c:v>
                </c:pt>
                <c:pt idx="510">
                  <c:v>0.99740675638860798</c:v>
                </c:pt>
                <c:pt idx="51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0BA-47AA-9693-95EFE73BD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542896"/>
        <c:axId val="320543288"/>
      </c:lineChart>
      <c:dateAx>
        <c:axId val="320542896"/>
        <c:scaling>
          <c:orientation val="minMax"/>
          <c:min val="42369"/>
        </c:scaling>
        <c:delete val="0"/>
        <c:axPos val="b"/>
        <c:numFmt formatCode="[$-41B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543288"/>
        <c:crosses val="autoZero"/>
        <c:auto val="0"/>
        <c:lblOffset val="100"/>
        <c:baseTimeUnit val="days"/>
        <c:majorUnit val="2"/>
        <c:majorTimeUnit val="months"/>
      </c:dateAx>
      <c:valAx>
        <c:axId val="320543288"/>
        <c:scaling>
          <c:orientation val="minMax"/>
          <c:max val="1.5"/>
          <c:min val="0.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54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634488199025946"/>
          <c:y val="5.4666329136290347E-2"/>
          <c:w val="0.40836802376447129"/>
          <c:h val="0.21574386248473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30+31 '!$A$19</c:f>
              <c:strCache>
                <c:ptCount val="1"/>
                <c:pt idx="0">
                  <c:v>PS 2018-2021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8"/>
            <c:spPr>
              <a:ln>
                <a:noFill/>
              </a:ln>
            </c:spPr>
          </c:marker>
          <c:cat>
            <c:numRef>
              <c:f>'Graf 30+31 '!$I$18:$K$18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'Graf 30+31 '!$I$19:$K$19</c:f>
              <c:numCache>
                <c:formatCode>0.00</c:formatCode>
                <c:ptCount val="3"/>
                <c:pt idx="0">
                  <c:v>0.55942141420577529</c:v>
                </c:pt>
                <c:pt idx="1">
                  <c:v>0.33076897071019284</c:v>
                </c:pt>
                <c:pt idx="2">
                  <c:v>9.4573804715569296E-2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F9D-44EE-8A24-2A388B232744}"/>
            </c:ext>
          </c:extLst>
        </c:ser>
        <c:ser>
          <c:idx val="1"/>
          <c:order val="1"/>
          <c:tx>
            <c:strRef>
              <c:f>'Graf 30+31 '!$A$20</c:f>
              <c:strCache>
                <c:ptCount val="1"/>
                <c:pt idx="0">
                  <c:v>PS 2017-2020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ysClr val="window" lastClr="FFFFFF">
                  <a:lumMod val="85000"/>
                </a:sysClr>
              </a:solidFill>
              <a:ln>
                <a:solidFill>
                  <a:sysClr val="window" lastClr="FFFFFF">
                    <a:lumMod val="75000"/>
                  </a:sysClr>
                </a:solidFill>
              </a:ln>
            </c:spPr>
          </c:marker>
          <c:val>
            <c:numRef>
              <c:f>'Graf 30+31 '!$I$20:$J$20</c:f>
              <c:numCache>
                <c:formatCode>0.00</c:formatCode>
                <c:ptCount val="2"/>
                <c:pt idx="0">
                  <c:v>0.63319657685728847</c:v>
                </c:pt>
                <c:pt idx="1">
                  <c:v>0.401348364868858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F9D-44EE-8A24-2A388B232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613384"/>
        <c:axId val="328613776"/>
      </c:lineChart>
      <c:catAx>
        <c:axId val="328613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328613776"/>
        <c:crosses val="autoZero"/>
        <c:auto val="1"/>
        <c:lblAlgn val="ctr"/>
        <c:lblOffset val="100"/>
        <c:noMultiLvlLbl val="0"/>
      </c:catAx>
      <c:valAx>
        <c:axId val="3286137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none"/>
        <c:minorTickMark val="none"/>
        <c:tickLblPos val="nextTo"/>
        <c:spPr>
          <a:ln w="9525">
            <a:noFill/>
          </a:ln>
        </c:spPr>
        <c:crossAx val="328613384"/>
        <c:crosses val="autoZero"/>
        <c:crossBetween val="between"/>
        <c:majorUnit val="0.1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84149895540937E-2"/>
          <c:y val="3.3854042744781626E-2"/>
          <c:w val="0.9361613213526101"/>
          <c:h val="0.75780708661417329"/>
        </c:manualLayout>
      </c:layout>
      <c:lineChart>
        <c:grouping val="standard"/>
        <c:varyColors val="0"/>
        <c:ser>
          <c:idx val="0"/>
          <c:order val="0"/>
          <c:tx>
            <c:strRef>
              <c:f>'Graf 30+31 '!$A$41</c:f>
              <c:strCache>
                <c:ptCount val="1"/>
                <c:pt idx="0">
                  <c:v>SP 2018-2021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8"/>
            <c:spPr>
              <a:ln>
                <a:noFill/>
              </a:ln>
            </c:spPr>
          </c:marker>
          <c:cat>
            <c:numRef>
              <c:f>'Graf 30+31 '!$I$40:$K$40</c:f>
              <c:numCache>
                <c:formatCode>General</c:formatCode>
                <c:ptCount val="3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</c:numCache>
            </c:numRef>
          </c:cat>
          <c:val>
            <c:numRef>
              <c:f>'Graf 30+31 '!$I$41:$K$41</c:f>
              <c:numCache>
                <c:formatCode>0.00</c:formatCode>
                <c:ptCount val="3"/>
                <c:pt idx="0">
                  <c:v>0.55942141420577529</c:v>
                </c:pt>
                <c:pt idx="1">
                  <c:v>0.33076897071019284</c:v>
                </c:pt>
                <c:pt idx="2">
                  <c:v>9.4573804715569296E-2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378-44B0-90C6-1B43A72A9890}"/>
            </c:ext>
          </c:extLst>
        </c:ser>
        <c:ser>
          <c:idx val="1"/>
          <c:order val="1"/>
          <c:tx>
            <c:strRef>
              <c:f>'Graf 30+31 '!$A$42</c:f>
              <c:strCache>
                <c:ptCount val="1"/>
                <c:pt idx="0">
                  <c:v>SP 2017-2020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85000"/>
                </a:sysClr>
              </a:solidFill>
              <a:ln>
                <a:noFill/>
              </a:ln>
            </c:spPr>
          </c:marker>
          <c:val>
            <c:numRef>
              <c:f>'Graf 30+31 '!$I$42:$J$42</c:f>
              <c:numCache>
                <c:formatCode>0.00</c:formatCode>
                <c:ptCount val="2"/>
                <c:pt idx="0">
                  <c:v>0.63319657685728847</c:v>
                </c:pt>
                <c:pt idx="1">
                  <c:v>0.401348364868858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378-44B0-90C6-1B43A72A9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614560"/>
        <c:axId val="328614952"/>
      </c:lineChart>
      <c:catAx>
        <c:axId val="32861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28614952"/>
        <c:crosses val="autoZero"/>
        <c:auto val="1"/>
        <c:lblAlgn val="ctr"/>
        <c:lblOffset val="100"/>
        <c:noMultiLvlLbl val="0"/>
      </c:catAx>
      <c:valAx>
        <c:axId val="3286149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" sourceLinked="0"/>
        <c:majorTickMark val="out"/>
        <c:minorTickMark val="none"/>
        <c:tickLblPos val="nextTo"/>
        <c:crossAx val="328614560"/>
        <c:crosses val="autoZero"/>
        <c:crossBetween val="between"/>
        <c:majorUnit val="0.1"/>
      </c:valAx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04838009110247E-2"/>
          <c:y val="6.4648739246060627E-2"/>
          <c:w val="0.93750478725638531"/>
          <c:h val="0.69606805164950203"/>
        </c:manualLayout>
      </c:layout>
      <c:barChart>
        <c:barDir val="col"/>
        <c:grouping val="stacked"/>
        <c:varyColors val="0"/>
        <c:ser>
          <c:idx val="0"/>
          <c:order val="1"/>
          <c:tx>
            <c:v>Štátny dlh</c:v>
          </c:tx>
          <c:spPr>
            <a:solidFill>
              <a:schemeClr val="accent2"/>
            </a:solidFill>
          </c:spPr>
          <c:invertIfNegative val="0"/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32'!$B$27:$Q$27</c:f>
              <c:numCache>
                <c:formatCode>0.0</c:formatCode>
                <c:ptCount val="16"/>
                <c:pt idx="0">
                  <c:v>29.852167321478003</c:v>
                </c:pt>
                <c:pt idx="1">
                  <c:v>28.865260255413244</c:v>
                </c:pt>
                <c:pt idx="2">
                  <c:v>27.197405055364772</c:v>
                </c:pt>
                <c:pt idx="3">
                  <c:v>33.850863204062279</c:v>
                </c:pt>
                <c:pt idx="4">
                  <c:v>38.066893764622137</c:v>
                </c:pt>
                <c:pt idx="5">
                  <c:v>40.351276820313082</c:v>
                </c:pt>
                <c:pt idx="6">
                  <c:v>47.01117266996124</c:v>
                </c:pt>
                <c:pt idx="7">
                  <c:v>48.834369987393657</c:v>
                </c:pt>
                <c:pt idx="8">
                  <c:v>48.09401920471246</c:v>
                </c:pt>
                <c:pt idx="9">
                  <c:v>47.288723910484819</c:v>
                </c:pt>
                <c:pt idx="10">
                  <c:v>47.022534432221121</c:v>
                </c:pt>
                <c:pt idx="11">
                  <c:v>46.37320145662909</c:v>
                </c:pt>
                <c:pt idx="12">
                  <c:v>45.077743002412419</c:v>
                </c:pt>
                <c:pt idx="13">
                  <c:v>42.697984972972712</c:v>
                </c:pt>
                <c:pt idx="14">
                  <c:v>41.357551763572452</c:v>
                </c:pt>
                <c:pt idx="15">
                  <c:v>40.080418311692021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A4-4255-A189-000C806B559A}"/>
            </c:ext>
          </c:extLst>
        </c:ser>
        <c:ser>
          <c:idx val="3"/>
          <c:order val="2"/>
          <c:tx>
            <c:v>Ostatné subjekty VS</c:v>
          </c:tx>
          <c:spPr>
            <a:ln w="28575">
              <a:noFill/>
            </a:ln>
          </c:spPr>
          <c:invertIfNegative val="0"/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32'!$B$28:$Q$28</c:f>
              <c:numCache>
                <c:formatCode>0.0</c:formatCode>
                <c:ptCount val="16"/>
                <c:pt idx="0">
                  <c:v>1.1228880783872988</c:v>
                </c:pt>
                <c:pt idx="1">
                  <c:v>1.2356534073419556</c:v>
                </c:pt>
                <c:pt idx="2">
                  <c:v>1.2640413117809797</c:v>
                </c:pt>
                <c:pt idx="3">
                  <c:v>2.443536785941324</c:v>
                </c:pt>
                <c:pt idx="4">
                  <c:v>3.1337756909494754</c:v>
                </c:pt>
                <c:pt idx="5">
                  <c:v>3.0799859629161275</c:v>
                </c:pt>
                <c:pt idx="6">
                  <c:v>2.7361071259376408</c:v>
                </c:pt>
                <c:pt idx="7">
                  <c:v>2.6391537706960908</c:v>
                </c:pt>
                <c:pt idx="8">
                  <c:v>1.9387276452467164</c:v>
                </c:pt>
                <c:pt idx="9">
                  <c:v>1.8328063281636158</c:v>
                </c:pt>
                <c:pt idx="10">
                  <c:v>1.6668951213055936</c:v>
                </c:pt>
                <c:pt idx="11">
                  <c:v>1.5017955257428848</c:v>
                </c:pt>
                <c:pt idx="12">
                  <c:v>1.3739169175728749</c:v>
                </c:pt>
                <c:pt idx="13">
                  <c:v>1.1834096240903884</c:v>
                </c:pt>
                <c:pt idx="14">
                  <c:v>1.0106781416316573</c:v>
                </c:pt>
                <c:pt idx="15">
                  <c:v>0.8614217383812165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FA0-421B-A0DB-D52E6CFC4419}"/>
            </c:ext>
          </c:extLst>
        </c:ser>
        <c:ser>
          <c:idx val="2"/>
          <c:order val="3"/>
          <c:tx>
            <c:strRef>
              <c:f>'Graf 32'!$A$26</c:f>
              <c:strCache>
                <c:ptCount val="1"/>
                <c:pt idx="0">
                  <c:v>EFSF a ESM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32'!$B$26:$Q$26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0.24440015713491706</c:v>
                </c:pt>
                <c:pt idx="6">
                  <c:v>2.4176107782333429</c:v>
                </c:pt>
                <c:pt idx="7">
                  <c:v>3.2656963023247996</c:v>
                </c:pt>
                <c:pt idx="8">
                  <c:v>3.4909769107614874</c:v>
                </c:pt>
                <c:pt idx="9">
                  <c:v>3.219207099788993</c:v>
                </c:pt>
                <c:pt idx="10">
                  <c:v>3.1296559117480172</c:v>
                </c:pt>
                <c:pt idx="11">
                  <c:v>2.9885675783811561</c:v>
                </c:pt>
                <c:pt idx="12">
                  <c:v>2.8169951170355376</c:v>
                </c:pt>
                <c:pt idx="13">
                  <c:v>2.643129892969788</c:v>
                </c:pt>
                <c:pt idx="14">
                  <c:v>2.4897829648757033</c:v>
                </c:pt>
                <c:pt idx="15">
                  <c:v>2.3537719126620984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8615736"/>
        <c:axId val="328616128"/>
      </c:barChart>
      <c:lineChart>
        <c:grouping val="standard"/>
        <c:varyColors val="0"/>
        <c:ser>
          <c:idx val="1"/>
          <c:order val="0"/>
          <c:tx>
            <c:v>Hrubý dlh VS (maastrichtský)</c:v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168965892268774E-2"/>
                  <c:y val="5.4680381012318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379813173010254E-2"/>
                  <c:y val="4.7742355607126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379813173010223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379813173010289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419447272965037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208599992223525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6248234092178276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445908137291985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4208599992223657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4208599992223525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2419447272964974E-2"/>
                  <c:y val="9.283952074087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2FA0-421B-A0DB-D52E6CFC4419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5997752711482207E-2"/>
                  <c:y val="0.11712260965904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2FA0-421B-A0DB-D52E6CFC4419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tx1"/>
                    </a:solidFill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32'!$B$25:$Q$25</c:f>
              <c:numCache>
                <c:formatCode>0.0</c:formatCode>
                <c:ptCount val="16"/>
                <c:pt idx="0">
                  <c:v>30.975055399865298</c:v>
                </c:pt>
                <c:pt idx="1">
                  <c:v>30.100913662755197</c:v>
                </c:pt>
                <c:pt idx="2">
                  <c:v>28.461446367145747</c:v>
                </c:pt>
                <c:pt idx="3">
                  <c:v>36.294399990003605</c:v>
                </c:pt>
                <c:pt idx="4">
                  <c:v>41.200669455571614</c:v>
                </c:pt>
                <c:pt idx="5">
                  <c:v>43.675662940364127</c:v>
                </c:pt>
                <c:pt idx="6">
                  <c:v>52.16489057413223</c:v>
                </c:pt>
                <c:pt idx="7">
                  <c:v>54.739220060414539</c:v>
                </c:pt>
                <c:pt idx="8">
                  <c:v>53.523723760720657</c:v>
                </c:pt>
                <c:pt idx="9">
                  <c:v>52.340737338437428</c:v>
                </c:pt>
                <c:pt idx="10">
                  <c:v>51.819085465274739</c:v>
                </c:pt>
                <c:pt idx="11">
                  <c:v>50.863564560753126</c:v>
                </c:pt>
                <c:pt idx="12">
                  <c:v>49.268655037020835</c:v>
                </c:pt>
                <c:pt idx="13">
                  <c:v>46.524524490032888</c:v>
                </c:pt>
                <c:pt idx="14">
                  <c:v>44.858012870079818</c:v>
                </c:pt>
                <c:pt idx="15">
                  <c:v>43.295611962735343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AA4-4255-A189-000C806B559A}"/>
            </c:ext>
          </c:extLst>
        </c:ser>
        <c:ser>
          <c:idx val="7"/>
          <c:order val="4"/>
          <c:tx>
            <c:strRef>
              <c:f>'Graf 32'!$A$32</c:f>
              <c:strCache>
                <c:ptCount val="1"/>
                <c:pt idx="0">
                  <c:v>List ministra financií s opatreniami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32'!$B$32:$Q$32</c:f>
              <c:numCache>
                <c:formatCode>General</c:formatCode>
                <c:ptCount val="16"/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</c:v>
                </c:pt>
                <c:pt idx="13">
                  <c:v>48</c:v>
                </c:pt>
                <c:pt idx="14">
                  <c:v>47</c:v>
                </c:pt>
                <c:pt idx="15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AA4-4255-A189-000C806B559A}"/>
            </c:ext>
          </c:extLst>
        </c:ser>
        <c:ser>
          <c:idx val="4"/>
          <c:order val="5"/>
          <c:tx>
            <c:strRef>
              <c:f>'Graf 32'!$A$31</c:f>
              <c:strCache>
                <c:ptCount val="1"/>
                <c:pt idx="0">
                  <c:v>Zmrazenie výdavkov</c:v>
                </c:pt>
              </c:strCache>
            </c:strRef>
          </c:tx>
          <c:spPr>
            <a:ln w="22225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32'!$B$31:$Q$31</c:f>
              <c:numCache>
                <c:formatCode>General</c:formatCode>
                <c:ptCount val="16"/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54</c:v>
                </c:pt>
                <c:pt idx="13">
                  <c:v>53</c:v>
                </c:pt>
                <c:pt idx="14">
                  <c:v>52</c:v>
                </c:pt>
                <c:pt idx="15">
                  <c:v>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AA4-4255-A189-000C806B559A}"/>
            </c:ext>
          </c:extLst>
        </c:ser>
        <c:ser>
          <c:idx val="5"/>
          <c:order val="6"/>
          <c:tx>
            <c:strRef>
              <c:f>'Graf 32'!$A$30</c:f>
              <c:strCache>
                <c:ptCount val="1"/>
                <c:pt idx="0">
                  <c:v>Požiadavka vyrovnaného rozpočtu</c:v>
                </c:pt>
              </c:strCache>
            </c:strRef>
          </c:tx>
          <c:spPr>
            <a:ln w="22225"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  <c:marker>
            <c:symbol val="none"/>
          </c:marker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32'!$B$30:$Q$30</c:f>
              <c:numCache>
                <c:formatCode>General</c:formatCode>
                <c:ptCount val="16"/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56</c:v>
                </c:pt>
                <c:pt idx="13">
                  <c:v>55</c:v>
                </c:pt>
                <c:pt idx="14">
                  <c:v>54</c:v>
                </c:pt>
                <c:pt idx="15">
                  <c:v>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AA4-4255-A189-000C806B559A}"/>
            </c:ext>
          </c:extLst>
        </c:ser>
        <c:ser>
          <c:idx val="8"/>
          <c:order val="7"/>
          <c:tx>
            <c:strRef>
              <c:f>'Graf 32'!$A$29</c:f>
              <c:strCache>
                <c:ptCount val="1"/>
                <c:pt idx="0">
                  <c:v>Dlhový strop</c:v>
                </c:pt>
              </c:strCache>
            </c:strRef>
          </c:tx>
          <c:spPr>
            <a:ln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32'!$B$29:$Q$29</c:f>
              <c:numCache>
                <c:formatCode>General</c:formatCode>
                <c:ptCount val="16"/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59</c:v>
                </c:pt>
                <c:pt idx="13">
                  <c:v>58</c:v>
                </c:pt>
                <c:pt idx="14">
                  <c:v>57</c:v>
                </c:pt>
                <c:pt idx="15">
                  <c:v>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615736"/>
        <c:axId val="328616128"/>
        <c:extLst xmlns:c16r2="http://schemas.microsoft.com/office/drawing/2015/06/chart"/>
      </c:lineChart>
      <c:catAx>
        <c:axId val="328615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/>
            </a:pPr>
            <a:endParaRPr lang="sk-SK"/>
          </a:p>
        </c:txPr>
        <c:crossAx val="328616128"/>
        <c:crosses val="autoZero"/>
        <c:auto val="1"/>
        <c:lblAlgn val="ctr"/>
        <c:lblOffset val="100"/>
        <c:noMultiLvlLbl val="0"/>
      </c:catAx>
      <c:valAx>
        <c:axId val="328616128"/>
        <c:scaling>
          <c:orientation val="minMax"/>
          <c:max val="61"/>
          <c:min val="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 b="1"/>
            </a:pPr>
            <a:endParaRPr lang="sk-SK"/>
          </a:p>
        </c:txPr>
        <c:crossAx val="328615736"/>
        <c:crosses val="max"/>
        <c:crossBetween val="between"/>
        <c:majorUnit val="10"/>
      </c:valAx>
      <c:spPr>
        <a:noFill/>
      </c:spPr>
    </c:plotArea>
    <c:legend>
      <c:legendPos val="b"/>
      <c:layout>
        <c:manualLayout>
          <c:xMode val="edge"/>
          <c:yMode val="edge"/>
          <c:x val="1.9175154773094224E-2"/>
          <c:y val="0.83701840816567341"/>
          <c:w val="0.98082479095088815"/>
          <c:h val="0.1505832858051278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404838009110247E-2"/>
          <c:y val="6.4648739246060627E-2"/>
          <c:w val="0.93750478725638531"/>
          <c:h val="0.69606805164950203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'Graf 32'!$A$59</c:f>
              <c:strCache>
                <c:ptCount val="1"/>
                <c:pt idx="0">
                  <c:v>State debt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32'!$B$59:$Q$59</c:f>
              <c:numCache>
                <c:formatCode>0.0</c:formatCode>
                <c:ptCount val="16"/>
                <c:pt idx="0">
                  <c:v>29.852167321478003</c:v>
                </c:pt>
                <c:pt idx="1">
                  <c:v>28.865260255413244</c:v>
                </c:pt>
                <c:pt idx="2">
                  <c:v>27.197405055364772</c:v>
                </c:pt>
                <c:pt idx="3">
                  <c:v>33.850863204062279</c:v>
                </c:pt>
                <c:pt idx="4">
                  <c:v>38.066893764622137</c:v>
                </c:pt>
                <c:pt idx="5">
                  <c:v>40.351276820313082</c:v>
                </c:pt>
                <c:pt idx="6">
                  <c:v>47.01117266996124</c:v>
                </c:pt>
                <c:pt idx="7">
                  <c:v>48.834369987393657</c:v>
                </c:pt>
                <c:pt idx="8">
                  <c:v>48.09401920471246</c:v>
                </c:pt>
                <c:pt idx="9">
                  <c:v>47.288723910484819</c:v>
                </c:pt>
                <c:pt idx="10">
                  <c:v>47.022534432221121</c:v>
                </c:pt>
                <c:pt idx="11">
                  <c:v>46.37320145662909</c:v>
                </c:pt>
                <c:pt idx="12">
                  <c:v>45.077743002412419</c:v>
                </c:pt>
                <c:pt idx="13">
                  <c:v>42.697984972972712</c:v>
                </c:pt>
                <c:pt idx="14">
                  <c:v>41.357551763572452</c:v>
                </c:pt>
                <c:pt idx="15">
                  <c:v>40.080418311692021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AA4-4255-A189-000C806B559A}"/>
            </c:ext>
          </c:extLst>
        </c:ser>
        <c:ser>
          <c:idx val="3"/>
          <c:order val="2"/>
          <c:tx>
            <c:strRef>
              <c:f>'Graf 32'!$A$60</c:f>
              <c:strCache>
                <c:ptCount val="1"/>
                <c:pt idx="0">
                  <c:v>Other entities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32'!$B$28:$Q$28</c:f>
              <c:numCache>
                <c:formatCode>0.0</c:formatCode>
                <c:ptCount val="16"/>
                <c:pt idx="0">
                  <c:v>1.1228880783872988</c:v>
                </c:pt>
                <c:pt idx="1">
                  <c:v>1.2356534073419556</c:v>
                </c:pt>
                <c:pt idx="2">
                  <c:v>1.2640413117809797</c:v>
                </c:pt>
                <c:pt idx="3">
                  <c:v>2.443536785941324</c:v>
                </c:pt>
                <c:pt idx="4">
                  <c:v>3.1337756909494754</c:v>
                </c:pt>
                <c:pt idx="5">
                  <c:v>3.0799859629161275</c:v>
                </c:pt>
                <c:pt idx="6">
                  <c:v>2.7361071259376408</c:v>
                </c:pt>
                <c:pt idx="7">
                  <c:v>2.6391537706960908</c:v>
                </c:pt>
                <c:pt idx="8">
                  <c:v>1.9387276452467164</c:v>
                </c:pt>
                <c:pt idx="9">
                  <c:v>1.8328063281636158</c:v>
                </c:pt>
                <c:pt idx="10">
                  <c:v>1.6668951213055936</c:v>
                </c:pt>
                <c:pt idx="11">
                  <c:v>1.5017955257428848</c:v>
                </c:pt>
                <c:pt idx="12">
                  <c:v>1.3739169175728749</c:v>
                </c:pt>
                <c:pt idx="13">
                  <c:v>1.1834096240903884</c:v>
                </c:pt>
                <c:pt idx="14">
                  <c:v>1.0106781416316573</c:v>
                </c:pt>
                <c:pt idx="15">
                  <c:v>0.8614217383812165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9B0-43D6-AD0D-33565B9C0BF4}"/>
            </c:ext>
          </c:extLst>
        </c:ser>
        <c:ser>
          <c:idx val="2"/>
          <c:order val="3"/>
          <c:tx>
            <c:strRef>
              <c:f>'Graf 32'!$A$58</c:f>
              <c:strCache>
                <c:ptCount val="1"/>
                <c:pt idx="0">
                  <c:v>EFSF and ESM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32'!$B$58:$Q$58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0.24440015713491706</c:v>
                </c:pt>
                <c:pt idx="6">
                  <c:v>2.4176107782333429</c:v>
                </c:pt>
                <c:pt idx="7">
                  <c:v>3.2656963023247996</c:v>
                </c:pt>
                <c:pt idx="8">
                  <c:v>3.4909769107614874</c:v>
                </c:pt>
                <c:pt idx="9">
                  <c:v>3.219207099788993</c:v>
                </c:pt>
                <c:pt idx="10">
                  <c:v>3.1296559117480172</c:v>
                </c:pt>
                <c:pt idx="11">
                  <c:v>2.9885675783811561</c:v>
                </c:pt>
                <c:pt idx="12">
                  <c:v>2.8169951170355376</c:v>
                </c:pt>
                <c:pt idx="13">
                  <c:v>2.643129892969788</c:v>
                </c:pt>
                <c:pt idx="14">
                  <c:v>2.4897829648757033</c:v>
                </c:pt>
                <c:pt idx="15">
                  <c:v>2.3537719126620984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120896"/>
        <c:axId val="329121288"/>
      </c:barChart>
      <c:lineChart>
        <c:grouping val="standard"/>
        <c:varyColors val="0"/>
        <c:ser>
          <c:idx val="1"/>
          <c:order val="0"/>
          <c:tx>
            <c:strRef>
              <c:f>'Graf 32'!$A$57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168965892268774E-2"/>
                  <c:y val="5.4680381012318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0379813173010254E-2"/>
                  <c:y val="4.7742355607126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0379813173010223E-2"/>
                  <c:y val="4.7742355607126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379813173010223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379813173010289E-2"/>
                  <c:y val="5.814939371491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2419447272965037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208599992223525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6248234092178276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445908137291985E-2"/>
                  <c:y val="8.937050803827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3.4208599992223657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4208599992223525E-2"/>
                  <c:y val="9.630853344346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3.2419447272964974E-2"/>
                  <c:y val="9.283952074087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3.2419447272964974E-2"/>
                  <c:y val="0.106715571551255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9B0-43D6-AD0D-33565B9C0BF4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5997752711482207E-2"/>
                  <c:y val="0.11712260965904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9B0-43D6-AD0D-33565B9C0BF4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tx1"/>
                    </a:solidFill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32'!$B$57:$Q$57</c:f>
              <c:numCache>
                <c:formatCode>0.0</c:formatCode>
                <c:ptCount val="16"/>
                <c:pt idx="0">
                  <c:v>30.975055399865298</c:v>
                </c:pt>
                <c:pt idx="1">
                  <c:v>30.100913662755197</c:v>
                </c:pt>
                <c:pt idx="2">
                  <c:v>28.461446367145747</c:v>
                </c:pt>
                <c:pt idx="3">
                  <c:v>36.294399990003605</c:v>
                </c:pt>
                <c:pt idx="4">
                  <c:v>41.200669455571614</c:v>
                </c:pt>
                <c:pt idx="5">
                  <c:v>43.675662940364127</c:v>
                </c:pt>
                <c:pt idx="6">
                  <c:v>52.16489057413223</c:v>
                </c:pt>
                <c:pt idx="7">
                  <c:v>54.739220060414539</c:v>
                </c:pt>
                <c:pt idx="8">
                  <c:v>53.523723760720657</c:v>
                </c:pt>
                <c:pt idx="9">
                  <c:v>52.340737338437428</c:v>
                </c:pt>
                <c:pt idx="10">
                  <c:v>51.819085465274739</c:v>
                </c:pt>
                <c:pt idx="11">
                  <c:v>50.863564560753126</c:v>
                </c:pt>
                <c:pt idx="12">
                  <c:v>49.268655037020835</c:v>
                </c:pt>
                <c:pt idx="13">
                  <c:v>46.524524490032888</c:v>
                </c:pt>
                <c:pt idx="14">
                  <c:v>44.858012870079818</c:v>
                </c:pt>
                <c:pt idx="15">
                  <c:v>43.295611962735343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AA4-4255-A189-000C806B559A}"/>
            </c:ext>
          </c:extLst>
        </c:ser>
        <c:ser>
          <c:idx val="7"/>
          <c:order val="4"/>
          <c:tx>
            <c:strRef>
              <c:f>'Graf 32'!$A$64</c:f>
              <c:strCache>
                <c:ptCount val="1"/>
                <c:pt idx="0">
                  <c:v>Letter of the MF minister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32'!$B$64:$Q$64</c:f>
              <c:numCache>
                <c:formatCode>General</c:formatCode>
                <c:ptCount val="16"/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</c:v>
                </c:pt>
                <c:pt idx="13">
                  <c:v>48</c:v>
                </c:pt>
                <c:pt idx="14">
                  <c:v>47</c:v>
                </c:pt>
                <c:pt idx="15">
                  <c:v>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AA4-4255-A189-000C806B559A}"/>
            </c:ext>
          </c:extLst>
        </c:ser>
        <c:ser>
          <c:idx val="4"/>
          <c:order val="5"/>
          <c:tx>
            <c:strRef>
              <c:f>'Graf 32'!$A$63</c:f>
              <c:strCache>
                <c:ptCount val="1"/>
                <c:pt idx="0">
                  <c:v>Expenditure freezing</c:v>
                </c:pt>
              </c:strCache>
            </c:strRef>
          </c:tx>
          <c:spPr>
            <a:ln w="22225">
              <a:solidFill>
                <a:schemeClr val="tx1">
                  <a:lumMod val="50000"/>
                  <a:lumOff val="50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32'!$B$63:$Q$63</c:f>
              <c:numCache>
                <c:formatCode>General</c:formatCode>
                <c:ptCount val="16"/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  <c:pt idx="12">
                  <c:v>54</c:v>
                </c:pt>
                <c:pt idx="13">
                  <c:v>53</c:v>
                </c:pt>
                <c:pt idx="14">
                  <c:v>52</c:v>
                </c:pt>
                <c:pt idx="15">
                  <c:v>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AA4-4255-A189-000C806B559A}"/>
            </c:ext>
          </c:extLst>
        </c:ser>
        <c:ser>
          <c:idx val="5"/>
          <c:order val="6"/>
          <c:tx>
            <c:strRef>
              <c:f>'Graf 32'!$A$62</c:f>
              <c:strCache>
                <c:ptCount val="1"/>
                <c:pt idx="0">
                  <c:v>Budget balance requirement</c:v>
                </c:pt>
              </c:strCache>
            </c:strRef>
          </c:tx>
          <c:spPr>
            <a:ln w="22225"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  <c:marker>
            <c:symbol val="none"/>
          </c:marker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32'!$B$62:$Q$62</c:f>
              <c:numCache>
                <c:formatCode>General</c:formatCode>
                <c:ptCount val="16"/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56</c:v>
                </c:pt>
                <c:pt idx="13">
                  <c:v>55</c:v>
                </c:pt>
                <c:pt idx="14">
                  <c:v>54</c:v>
                </c:pt>
                <c:pt idx="15">
                  <c:v>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AA4-4255-A189-000C806B559A}"/>
            </c:ext>
          </c:extLst>
        </c:ser>
        <c:ser>
          <c:idx val="8"/>
          <c:order val="7"/>
          <c:tx>
            <c:strRef>
              <c:f>'Graf 32'!$A$61</c:f>
              <c:strCache>
                <c:ptCount val="1"/>
                <c:pt idx="0">
                  <c:v>Debt break limit</c:v>
                </c:pt>
              </c:strCache>
            </c:strRef>
          </c:tx>
          <c:spPr>
            <a:ln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'Graf 32'!$B$24:$Q$24</c:f>
              <c:numCache>
                <c:formatCode>General</c:formatCode>
                <c:ptCount val="1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'Graf 32'!$B$61:$Q$61</c:f>
              <c:numCache>
                <c:formatCode>General</c:formatCode>
                <c:ptCount val="16"/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59</c:v>
                </c:pt>
                <c:pt idx="13">
                  <c:v>58</c:v>
                </c:pt>
                <c:pt idx="14">
                  <c:v>57</c:v>
                </c:pt>
                <c:pt idx="15">
                  <c:v>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AA4-4255-A189-000C806B5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120896"/>
        <c:axId val="329121288"/>
        <c:extLst xmlns:c16r2="http://schemas.microsoft.com/office/drawing/2015/06/chart"/>
      </c:lineChart>
      <c:catAx>
        <c:axId val="329120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/>
            </a:pPr>
            <a:endParaRPr lang="sk-SK"/>
          </a:p>
        </c:txPr>
        <c:crossAx val="329121288"/>
        <c:crosses val="autoZero"/>
        <c:auto val="1"/>
        <c:lblAlgn val="ctr"/>
        <c:lblOffset val="100"/>
        <c:noMultiLvlLbl val="0"/>
      </c:catAx>
      <c:valAx>
        <c:axId val="329121288"/>
        <c:scaling>
          <c:orientation val="minMax"/>
          <c:max val="61"/>
          <c:min val="0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 b="1"/>
            </a:pPr>
            <a:endParaRPr lang="sk-SK"/>
          </a:p>
        </c:txPr>
        <c:crossAx val="329120896"/>
        <c:crosses val="max"/>
        <c:crossBetween val="between"/>
        <c:majorUnit val="10"/>
      </c:valAx>
      <c:spPr>
        <a:noFill/>
      </c:spPr>
    </c:plotArea>
    <c:legend>
      <c:legendPos val="b"/>
      <c:layout>
        <c:manualLayout>
          <c:xMode val="edge"/>
          <c:yMode val="edge"/>
          <c:x val="1.9175154773094224E-2"/>
          <c:y val="0.83701840816567341"/>
          <c:w val="0.98082479095088815"/>
          <c:h val="0.15058328580512781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 Narrow" pitchFamily="34" charset="0"/>
        </a:defRPr>
      </a:pPr>
      <a:endParaRPr lang="sk-SK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sk-SK"/>
              <a:t>Gross debt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8.3972067901234584E-2"/>
          <c:y val="0.12627015916093498"/>
          <c:w val="0.83704320987654335"/>
          <c:h val="0.74324382284332291"/>
        </c:manualLayout>
      </c:layout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'!$E$39:$E$58</c15:sqref>
                  </c15:fullRef>
                </c:ext>
              </c:extLst>
              <c:f>'Graf  33 '!$E$40:$E$58</c:f>
              <c:numCache>
                <c:formatCode>0</c:formatCode>
                <c:ptCount val="19"/>
                <c:pt idx="0">
                  <c:v>41.588629367554795</c:v>
                </c:pt>
                <c:pt idx="1">
                  <c:v>40.639217872327734</c:v>
                </c:pt>
                <c:pt idx="2">
                  <c:v>33.817651269980828</c:v>
                </c:pt>
                <c:pt idx="3">
                  <c:v>30.676534834780224</c:v>
                </c:pt>
                <c:pt idx="4">
                  <c:v>29.817355258158408</c:v>
                </c:pt>
                <c:pt idx="5">
                  <c:v>28.14402572997869</c:v>
                </c:pt>
                <c:pt idx="6">
                  <c:v>35.892848047362186</c:v>
                </c:pt>
                <c:pt idx="7">
                  <c:v>40.700508727133297</c:v>
                </c:pt>
                <c:pt idx="8">
                  <c:v>43.156457911650328</c:v>
                </c:pt>
                <c:pt idx="9">
                  <c:v>51.735739372043824</c:v>
                </c:pt>
                <c:pt idx="10">
                  <c:v>54.313562057737364</c:v>
                </c:pt>
                <c:pt idx="11">
                  <c:v>53.523723760720664</c:v>
                </c:pt>
                <c:pt idx="12">
                  <c:v>52.340737338437428</c:v>
                </c:pt>
                <c:pt idx="13">
                  <c:v>51.819085465274739</c:v>
                </c:pt>
                <c:pt idx="14">
                  <c:v>50.863564560753119</c:v>
                </c:pt>
                <c:pt idx="15">
                  <c:v>44.923797949015615</c:v>
                </c:pt>
                <c:pt idx="16">
                  <c:v>39.899273054061858</c:v>
                </c:pt>
                <c:pt idx="17">
                  <c:v>37.044344296310719</c:v>
                </c:pt>
                <c:pt idx="18">
                  <c:v>35.969702703322532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88-474D-9BFA-69AD00F3E5EC}"/>
            </c:ext>
          </c:extLst>
        </c:ser>
        <c:ser>
          <c:idx val="1"/>
          <c:order val="1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'!$F$39:$F$58</c15:sqref>
                  </c15:fullRef>
                </c:ext>
              </c:extLst>
              <c:f>'Graf  33 '!$F$40:$F$58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1.2933595596656033</c:v>
                </c:pt>
                <c:pt idx="16">
                  <c:v>2.4122779963740086</c:v>
                </c:pt>
                <c:pt idx="17">
                  <c:v>2.9070882656216881</c:v>
                </c:pt>
                <c:pt idx="18">
                  <c:v>3.0471362935601292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88-474D-9BFA-69AD00F3E5E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'!$G$39:$G$58</c15:sqref>
                  </c15:fullRef>
                </c:ext>
              </c:extLst>
              <c:f>'Graf  33 '!$G$40:$G$58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0.94526001637430568</c:v>
                </c:pt>
                <c:pt idx="16">
                  <c:v>1.7371759687563042</c:v>
                </c:pt>
                <c:pt idx="17">
                  <c:v>2.2129159389963533</c:v>
                </c:pt>
                <c:pt idx="18">
                  <c:v>2.3536034848689624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188-474D-9BFA-69AD00F3E5EC}"/>
            </c:ext>
          </c:extLst>
        </c:ser>
        <c:ser>
          <c:idx val="3"/>
          <c:order val="3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'!$H$39:$H$58</c15:sqref>
                  </c15:fullRef>
                </c:ext>
              </c:extLst>
              <c:f>'Graf  33 '!$H$40:$H$58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0.8423317950232061</c:v>
                </c:pt>
                <c:pt idx="16">
                  <c:v>1.3622837734365874</c:v>
                </c:pt>
                <c:pt idx="17">
                  <c:v>1.690318461088971</c:v>
                </c:pt>
                <c:pt idx="18">
                  <c:v>2.0281891943375641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188-474D-9BFA-69AD00F3E5EC}"/>
            </c:ext>
          </c:extLst>
        </c:ser>
        <c:ser>
          <c:idx val="4"/>
          <c:order val="4"/>
          <c:spPr>
            <a:solidFill>
              <a:schemeClr val="accent3">
                <a:lumMod val="50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'!$I$39:$I$58</c15:sqref>
                  </c15:fullRef>
                </c:ext>
              </c:extLst>
              <c:f>'Graf  33 '!$I$40:$I$58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0.72960567336352256</c:v>
                </c:pt>
                <c:pt idx="16">
                  <c:v>1.3507586879710018</c:v>
                </c:pt>
                <c:pt idx="17">
                  <c:v>1.7476604144328505</c:v>
                </c:pt>
                <c:pt idx="18">
                  <c:v>1.8240801165106433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188-474D-9BFA-69AD00F3E5EC}"/>
            </c:ext>
          </c:extLst>
        </c:ser>
        <c:ser>
          <c:idx val="5"/>
          <c:order val="5"/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'!$J$39:$J$58</c15:sqref>
                  </c15:fullRef>
                </c:ext>
              </c:extLst>
              <c:f>'Graf  33 '!$J$40:$J$58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0.74258636993927496</c:v>
                </c:pt>
                <c:pt idx="16">
                  <c:v>1.3103928926893715</c:v>
                </c:pt>
                <c:pt idx="17">
                  <c:v>1.8085114912767963</c:v>
                </c:pt>
                <c:pt idx="18">
                  <c:v>2.0313704590043926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188-474D-9BFA-69AD00F3E5EC}"/>
            </c:ext>
          </c:extLst>
        </c:ser>
        <c:ser>
          <c:idx val="6"/>
          <c:order val="6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'!$K$39:$K$58</c15:sqref>
                  </c15:fullRef>
                </c:ext>
              </c:extLst>
              <c:f>'Graf  33 '!$K$40:$K$58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0.85309397508255813</c:v>
                </c:pt>
                <c:pt idx="16">
                  <c:v>1.5588811780066223</c:v>
                </c:pt>
                <c:pt idx="17">
                  <c:v>1.7482407424981901</c:v>
                </c:pt>
                <c:pt idx="18">
                  <c:v>2.0721871402159664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188-474D-9BFA-69AD00F3E5EC}"/>
            </c:ext>
          </c:extLst>
        </c:ser>
        <c:ser>
          <c:idx val="7"/>
          <c:order val="7"/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'!$L$39:$L$58</c15:sqref>
                  </c15:fullRef>
                </c:ext>
              </c:extLst>
              <c:f>'Graf  33 '!$L$40:$L$58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1.0451948087679099</c:v>
                </c:pt>
                <c:pt idx="16">
                  <c:v>2.0046843510383709</c:v>
                </c:pt>
                <c:pt idx="17">
                  <c:v>2.2740699657837169</c:v>
                </c:pt>
                <c:pt idx="18">
                  <c:v>2.3104293230202089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188-474D-9BFA-69AD00F3E5EC}"/>
            </c:ext>
          </c:extLst>
        </c:ser>
        <c:ser>
          <c:idx val="8"/>
          <c:order val="8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'!$M$39:$M$58</c15:sqref>
                  </c15:fullRef>
                </c:ext>
              </c:extLst>
              <c:f>'Graf  33 '!$M$40:$M$58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1.3588812705003122</c:v>
                </c:pt>
                <c:pt idx="16">
                  <c:v>2.5439454770781964</c:v>
                </c:pt>
                <c:pt idx="17">
                  <c:v>3.5363904116990739</c:v>
                </c:pt>
                <c:pt idx="18">
                  <c:v>3.6499307790498037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188-474D-9BFA-69AD00F3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122072"/>
        <c:axId val="329122464"/>
      </c:areaChart>
      <c:lineChart>
        <c:grouping val="standard"/>
        <c:varyColors val="0"/>
        <c:ser>
          <c:idx val="9"/>
          <c:order val="9"/>
          <c:tx>
            <c:strRef>
              <c:f>'Graf  33 '!$B$33:$B$34</c:f>
              <c:strCache>
                <c:ptCount val="2"/>
                <c:pt idx="0">
                  <c:v>official forecast</c:v>
                </c:pt>
                <c:pt idx="1">
                  <c:v>oficiálna prognóza</c:v>
                </c:pt>
              </c:strCache>
            </c:strRef>
          </c:tx>
          <c:spPr>
            <a:ln w="2540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strLit>
              <c:ptCount val="19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  <c:pt idx="15">
                <c:v>2018</c:v>
              </c:pt>
              <c:pt idx="16">
                <c:v>2019</c:v>
              </c:pt>
              <c:pt idx="17">
                <c:v>2020</c:v>
              </c:pt>
              <c:pt idx="18">
                <c:v>2021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'!$B$39:$B$58</c15:sqref>
                  </c15:fullRef>
                </c:ext>
              </c:extLst>
              <c:f>'Graf  33 '!$B$40:$B$58</c:f>
              <c:numCache>
                <c:formatCode>0</c:formatCode>
                <c:ptCount val="19"/>
                <c:pt idx="0">
                  <c:v>41.588629367554795</c:v>
                </c:pt>
                <c:pt idx="1">
                  <c:v>40.639217872327734</c:v>
                </c:pt>
                <c:pt idx="2">
                  <c:v>33.817651269980828</c:v>
                </c:pt>
                <c:pt idx="3">
                  <c:v>30.676534834780224</c:v>
                </c:pt>
                <c:pt idx="4">
                  <c:v>29.817355258158408</c:v>
                </c:pt>
                <c:pt idx="5">
                  <c:v>28.14402572997869</c:v>
                </c:pt>
                <c:pt idx="6">
                  <c:v>35.892848047362186</c:v>
                </c:pt>
                <c:pt idx="7">
                  <c:v>40.700508727133297</c:v>
                </c:pt>
                <c:pt idx="8">
                  <c:v>43.156457911650328</c:v>
                </c:pt>
                <c:pt idx="9">
                  <c:v>51.735739372043824</c:v>
                </c:pt>
                <c:pt idx="10">
                  <c:v>54.313562057737364</c:v>
                </c:pt>
                <c:pt idx="11">
                  <c:v>53.523723760720664</c:v>
                </c:pt>
                <c:pt idx="12">
                  <c:v>52.340737338437428</c:v>
                </c:pt>
                <c:pt idx="13">
                  <c:v>51.819085465274739</c:v>
                </c:pt>
                <c:pt idx="14">
                  <c:v>50.863564560753119</c:v>
                </c:pt>
                <c:pt idx="15">
                  <c:v>49.268653343201116</c:v>
                </c:pt>
                <c:pt idx="16">
                  <c:v>46.524525986890588</c:v>
                </c:pt>
                <c:pt idx="17">
                  <c:v>44.858014497269863</c:v>
                </c:pt>
                <c:pt idx="18">
                  <c:v>43.295611253716935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F188-474D-9BFA-69AD00F3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122072"/>
        <c:axId val="329122464"/>
      </c:lineChart>
      <c:lineChart>
        <c:grouping val="standard"/>
        <c:varyColors val="0"/>
        <c:ser>
          <c:idx val="10"/>
          <c:order val="10"/>
          <c:tx>
            <c:strRef>
              <c:f>'Graf  33 '!$C$33:$C$34</c:f>
              <c:strCache>
                <c:ptCount val="2"/>
                <c:pt idx="0">
                  <c:v>alternative forecast</c:v>
                </c:pt>
                <c:pt idx="1">
                  <c:v>alternatívna prognóza</c:v>
                </c:pt>
              </c:strCache>
            </c:strRef>
          </c:tx>
          <c:spPr>
            <a:ln w="25400" cap="rnd">
              <a:solidFill>
                <a:srgbClr val="2C9ADC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'!$C$39:$C$58</c15:sqref>
                  </c15:fullRef>
                </c:ext>
              </c:extLst>
              <c:f>'Graf  33 '!$C$40:$C$58</c:f>
              <c:numCache>
                <c:formatCode>0</c:formatCode>
                <c:ptCount val="19"/>
                <c:pt idx="0">
                  <c:v>41.588629367554795</c:v>
                </c:pt>
                <c:pt idx="1">
                  <c:v>40.639217872327734</c:v>
                </c:pt>
                <c:pt idx="2">
                  <c:v>33.817651269980828</c:v>
                </c:pt>
                <c:pt idx="3">
                  <c:v>30.676534834780224</c:v>
                </c:pt>
                <c:pt idx="4">
                  <c:v>29.817355258158408</c:v>
                </c:pt>
                <c:pt idx="5">
                  <c:v>28.14402572997869</c:v>
                </c:pt>
                <c:pt idx="6">
                  <c:v>35.892848047362186</c:v>
                </c:pt>
                <c:pt idx="7">
                  <c:v>40.700508727133297</c:v>
                </c:pt>
                <c:pt idx="8">
                  <c:v>43.156457911650328</c:v>
                </c:pt>
                <c:pt idx="9">
                  <c:v>51.735739372043824</c:v>
                </c:pt>
                <c:pt idx="10">
                  <c:v>54.313562057737364</c:v>
                </c:pt>
                <c:pt idx="11">
                  <c:v>53.523723760720664</c:v>
                </c:pt>
                <c:pt idx="12">
                  <c:v>52.340737338437428</c:v>
                </c:pt>
                <c:pt idx="13">
                  <c:v>51.819085465274739</c:v>
                </c:pt>
                <c:pt idx="14">
                  <c:v>50.863564560753119</c:v>
                </c:pt>
                <c:pt idx="15">
                  <c:v>48.734354993442253</c:v>
                </c:pt>
                <c:pt idx="16">
                  <c:v>46.76176948059976</c:v>
                </c:pt>
                <c:pt idx="17">
                  <c:v>45.602327376450582</c:v>
                </c:pt>
                <c:pt idx="18">
                  <c:v>45.222711792599831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F188-474D-9BFA-69AD00F3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123248"/>
        <c:axId val="329122856"/>
      </c:lineChart>
      <c:catAx>
        <c:axId val="329122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9122464"/>
        <c:crosses val="autoZero"/>
        <c:auto val="1"/>
        <c:lblAlgn val="ctr"/>
        <c:lblOffset val="100"/>
        <c:noMultiLvlLbl val="0"/>
      </c:catAx>
      <c:valAx>
        <c:axId val="329122464"/>
        <c:scaling>
          <c:orientation val="minMax"/>
          <c:max val="6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% HDP</a:t>
                </a: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9122072"/>
        <c:crosses val="autoZero"/>
        <c:crossBetween val="midCat"/>
      </c:valAx>
      <c:valAx>
        <c:axId val="329122856"/>
        <c:scaling>
          <c:orientation val="minMax"/>
          <c:max val="60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% HDP</a:t>
                </a: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9123248"/>
        <c:crosses val="max"/>
        <c:crossBetween val="between"/>
      </c:valAx>
      <c:catAx>
        <c:axId val="32912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91228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7.1437654320987656E-2"/>
          <c:y val="0.14937805555555556"/>
          <c:w val="0.27567947530864201"/>
          <c:h val="0.246055000000000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72067901234584E-2"/>
          <c:y val="0.12627015916093498"/>
          <c:w val="0.83704320987654335"/>
          <c:h val="0.74324382284332291"/>
        </c:manualLayout>
      </c:layout>
      <c:areaChart>
        <c:grouping val="stacked"/>
        <c:varyColors val="0"/>
        <c:ser>
          <c:idx val="0"/>
          <c:order val="0"/>
          <c:spPr>
            <a:noFill/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'!$E$39:$E$58</c15:sqref>
                  </c15:fullRef>
                </c:ext>
              </c:extLst>
              <c:f>'Graf  33 '!$E$40:$E$58</c:f>
              <c:numCache>
                <c:formatCode>0</c:formatCode>
                <c:ptCount val="19"/>
                <c:pt idx="0">
                  <c:v>41.588629367554795</c:v>
                </c:pt>
                <c:pt idx="1">
                  <c:v>40.639217872327734</c:v>
                </c:pt>
                <c:pt idx="2">
                  <c:v>33.817651269980828</c:v>
                </c:pt>
                <c:pt idx="3">
                  <c:v>30.676534834780224</c:v>
                </c:pt>
                <c:pt idx="4">
                  <c:v>29.817355258158408</c:v>
                </c:pt>
                <c:pt idx="5">
                  <c:v>28.14402572997869</c:v>
                </c:pt>
                <c:pt idx="6">
                  <c:v>35.892848047362186</c:v>
                </c:pt>
                <c:pt idx="7">
                  <c:v>40.700508727133297</c:v>
                </c:pt>
                <c:pt idx="8">
                  <c:v>43.156457911650328</c:v>
                </c:pt>
                <c:pt idx="9">
                  <c:v>51.735739372043824</c:v>
                </c:pt>
                <c:pt idx="10">
                  <c:v>54.313562057737364</c:v>
                </c:pt>
                <c:pt idx="11">
                  <c:v>53.523723760720664</c:v>
                </c:pt>
                <c:pt idx="12">
                  <c:v>52.340737338437428</c:v>
                </c:pt>
                <c:pt idx="13">
                  <c:v>51.819085465274739</c:v>
                </c:pt>
                <c:pt idx="14">
                  <c:v>50.863564560753119</c:v>
                </c:pt>
                <c:pt idx="15">
                  <c:v>44.923797949015615</c:v>
                </c:pt>
                <c:pt idx="16">
                  <c:v>39.899273054061858</c:v>
                </c:pt>
                <c:pt idx="17">
                  <c:v>37.044344296310719</c:v>
                </c:pt>
                <c:pt idx="18">
                  <c:v>35.969702703322532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88-474D-9BFA-69AD00F3E5EC}"/>
            </c:ext>
          </c:extLst>
        </c:ser>
        <c:ser>
          <c:idx val="1"/>
          <c:order val="1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'!$F$39:$F$58</c15:sqref>
                  </c15:fullRef>
                </c:ext>
              </c:extLst>
              <c:f>'Graf  33 '!$F$40:$F$58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1.2933595596656033</c:v>
                </c:pt>
                <c:pt idx="16">
                  <c:v>2.4122779963740086</c:v>
                </c:pt>
                <c:pt idx="17">
                  <c:v>2.9070882656216881</c:v>
                </c:pt>
                <c:pt idx="18">
                  <c:v>3.0471362935601292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188-474D-9BFA-69AD00F3E5EC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'!$G$39:$G$58</c15:sqref>
                  </c15:fullRef>
                </c:ext>
              </c:extLst>
              <c:f>'Graf  33 '!$G$40:$G$58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0.94526001637430568</c:v>
                </c:pt>
                <c:pt idx="16">
                  <c:v>1.7371759687563042</c:v>
                </c:pt>
                <c:pt idx="17">
                  <c:v>2.2129159389963533</c:v>
                </c:pt>
                <c:pt idx="18">
                  <c:v>2.3536034848689624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188-474D-9BFA-69AD00F3E5EC}"/>
            </c:ext>
          </c:extLst>
        </c:ser>
        <c:ser>
          <c:idx val="3"/>
          <c:order val="3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'!$H$39:$H$58</c15:sqref>
                  </c15:fullRef>
                </c:ext>
              </c:extLst>
              <c:f>'Graf  33 '!$H$40:$H$58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0.8423317950232061</c:v>
                </c:pt>
                <c:pt idx="16">
                  <c:v>1.3622837734365874</c:v>
                </c:pt>
                <c:pt idx="17">
                  <c:v>1.690318461088971</c:v>
                </c:pt>
                <c:pt idx="18">
                  <c:v>2.0281891943375641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188-474D-9BFA-69AD00F3E5EC}"/>
            </c:ext>
          </c:extLst>
        </c:ser>
        <c:ser>
          <c:idx val="4"/>
          <c:order val="4"/>
          <c:spPr>
            <a:solidFill>
              <a:schemeClr val="accent3">
                <a:lumMod val="50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'!$I$39:$I$58</c15:sqref>
                  </c15:fullRef>
                </c:ext>
              </c:extLst>
              <c:f>'Graf  33 '!$I$40:$I$58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0.72960567336352256</c:v>
                </c:pt>
                <c:pt idx="16">
                  <c:v>1.3507586879710018</c:v>
                </c:pt>
                <c:pt idx="17">
                  <c:v>1.7476604144328505</c:v>
                </c:pt>
                <c:pt idx="18">
                  <c:v>1.8240801165106433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188-474D-9BFA-69AD00F3E5EC}"/>
            </c:ext>
          </c:extLst>
        </c:ser>
        <c:ser>
          <c:idx val="5"/>
          <c:order val="5"/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'!$J$39:$J$58</c15:sqref>
                  </c15:fullRef>
                </c:ext>
              </c:extLst>
              <c:f>'Graf  33 '!$J$40:$J$58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0.74258636993927496</c:v>
                </c:pt>
                <c:pt idx="16">
                  <c:v>1.3103928926893715</c:v>
                </c:pt>
                <c:pt idx="17">
                  <c:v>1.8085114912767963</c:v>
                </c:pt>
                <c:pt idx="18">
                  <c:v>2.0313704590043926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F188-474D-9BFA-69AD00F3E5EC}"/>
            </c:ext>
          </c:extLst>
        </c:ser>
        <c:ser>
          <c:idx val="6"/>
          <c:order val="6"/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'!$K$39:$K$58</c15:sqref>
                  </c15:fullRef>
                </c:ext>
              </c:extLst>
              <c:f>'Graf  33 '!$K$40:$K$58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0.85309397508255813</c:v>
                </c:pt>
                <c:pt idx="16">
                  <c:v>1.5588811780066223</c:v>
                </c:pt>
                <c:pt idx="17">
                  <c:v>1.7482407424981901</c:v>
                </c:pt>
                <c:pt idx="18">
                  <c:v>2.0721871402159664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F188-474D-9BFA-69AD00F3E5EC}"/>
            </c:ext>
          </c:extLst>
        </c:ser>
        <c:ser>
          <c:idx val="7"/>
          <c:order val="7"/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'!$L$39:$L$58</c15:sqref>
                  </c15:fullRef>
                </c:ext>
              </c:extLst>
              <c:f>'Graf  33 '!$L$40:$L$58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1.0451948087679099</c:v>
                </c:pt>
                <c:pt idx="16">
                  <c:v>2.0046843510383709</c:v>
                </c:pt>
                <c:pt idx="17">
                  <c:v>2.2740699657837169</c:v>
                </c:pt>
                <c:pt idx="18">
                  <c:v>2.3104293230202089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F188-474D-9BFA-69AD00F3E5EC}"/>
            </c:ext>
          </c:extLst>
        </c:ser>
        <c:ser>
          <c:idx val="8"/>
          <c:order val="8"/>
          <c:spPr>
            <a:solidFill>
              <a:schemeClr val="bg1">
                <a:lumMod val="85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'!$M$39:$M$58</c15:sqref>
                  </c15:fullRef>
                </c:ext>
              </c:extLst>
              <c:f>'Graf  33 '!$M$40:$M$58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1.3588812705003122</c:v>
                </c:pt>
                <c:pt idx="16">
                  <c:v>2.5439454770781964</c:v>
                </c:pt>
                <c:pt idx="17">
                  <c:v>3.5363904116990739</c:v>
                </c:pt>
                <c:pt idx="18">
                  <c:v>3.6499307790498037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188-474D-9BFA-69AD00F3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124032"/>
        <c:axId val="329124424"/>
      </c:areaChart>
      <c:lineChart>
        <c:grouping val="standard"/>
        <c:varyColors val="0"/>
        <c:ser>
          <c:idx val="9"/>
          <c:order val="9"/>
          <c:tx>
            <c:v>Oficiálna prognóza</c:v>
          </c:tx>
          <c:spPr>
            <a:ln w="2540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'!$B$39:$B$58</c15:sqref>
                  </c15:fullRef>
                </c:ext>
              </c:extLst>
              <c:f>'Graf  33 '!$B$40:$B$58</c:f>
              <c:numCache>
                <c:formatCode>0</c:formatCode>
                <c:ptCount val="19"/>
                <c:pt idx="0">
                  <c:v>41.588629367554795</c:v>
                </c:pt>
                <c:pt idx="1">
                  <c:v>40.639217872327734</c:v>
                </c:pt>
                <c:pt idx="2">
                  <c:v>33.817651269980828</c:v>
                </c:pt>
                <c:pt idx="3">
                  <c:v>30.676534834780224</c:v>
                </c:pt>
                <c:pt idx="4">
                  <c:v>29.817355258158408</c:v>
                </c:pt>
                <c:pt idx="5">
                  <c:v>28.14402572997869</c:v>
                </c:pt>
                <c:pt idx="6">
                  <c:v>35.892848047362186</c:v>
                </c:pt>
                <c:pt idx="7">
                  <c:v>40.700508727133297</c:v>
                </c:pt>
                <c:pt idx="8">
                  <c:v>43.156457911650328</c:v>
                </c:pt>
                <c:pt idx="9">
                  <c:v>51.735739372043824</c:v>
                </c:pt>
                <c:pt idx="10">
                  <c:v>54.313562057737364</c:v>
                </c:pt>
                <c:pt idx="11">
                  <c:v>53.523723760720664</c:v>
                </c:pt>
                <c:pt idx="12">
                  <c:v>52.340737338437428</c:v>
                </c:pt>
                <c:pt idx="13">
                  <c:v>51.819085465274739</c:v>
                </c:pt>
                <c:pt idx="14">
                  <c:v>50.863564560753119</c:v>
                </c:pt>
                <c:pt idx="15">
                  <c:v>49.268653343201116</c:v>
                </c:pt>
                <c:pt idx="16">
                  <c:v>46.524525986890588</c:v>
                </c:pt>
                <c:pt idx="17">
                  <c:v>44.858014497269863</c:v>
                </c:pt>
                <c:pt idx="18">
                  <c:v>43.295611253716935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F188-474D-9BFA-69AD00F3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124032"/>
        <c:axId val="329124424"/>
      </c:lineChart>
      <c:lineChart>
        <c:grouping val="standard"/>
        <c:varyColors val="0"/>
        <c:ser>
          <c:idx val="10"/>
          <c:order val="10"/>
          <c:tx>
            <c:v>Alternatívna prognóza</c:v>
          </c:tx>
          <c:spPr>
            <a:ln w="25400" cap="rnd">
              <a:solidFill>
                <a:srgbClr val="2C9ADC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'Graf  33 '!$A$39:$A$58</c15:sqref>
                  </c15:fullRef>
                </c:ext>
              </c:extLst>
              <c:f>'Graf  33 '!$A$40:$A$58</c:f>
              <c:numCache>
                <c:formatCode>General</c:formatCode>
                <c:ptCount val="19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 33 '!$C$39:$C$58</c15:sqref>
                  </c15:fullRef>
                </c:ext>
              </c:extLst>
              <c:f>'Graf  33 '!$C$40:$C$58</c:f>
              <c:numCache>
                <c:formatCode>0</c:formatCode>
                <c:ptCount val="19"/>
                <c:pt idx="0">
                  <c:v>41.588629367554795</c:v>
                </c:pt>
                <c:pt idx="1">
                  <c:v>40.639217872327734</c:v>
                </c:pt>
                <c:pt idx="2">
                  <c:v>33.817651269980828</c:v>
                </c:pt>
                <c:pt idx="3">
                  <c:v>30.676534834780224</c:v>
                </c:pt>
                <c:pt idx="4">
                  <c:v>29.817355258158408</c:v>
                </c:pt>
                <c:pt idx="5">
                  <c:v>28.14402572997869</c:v>
                </c:pt>
                <c:pt idx="6">
                  <c:v>35.892848047362186</c:v>
                </c:pt>
                <c:pt idx="7">
                  <c:v>40.700508727133297</c:v>
                </c:pt>
                <c:pt idx="8">
                  <c:v>43.156457911650328</c:v>
                </c:pt>
                <c:pt idx="9">
                  <c:v>51.735739372043824</c:v>
                </c:pt>
                <c:pt idx="10">
                  <c:v>54.313562057737364</c:v>
                </c:pt>
                <c:pt idx="11">
                  <c:v>53.523723760720664</c:v>
                </c:pt>
                <c:pt idx="12">
                  <c:v>52.340737338437428</c:v>
                </c:pt>
                <c:pt idx="13">
                  <c:v>51.819085465274739</c:v>
                </c:pt>
                <c:pt idx="14">
                  <c:v>50.863564560753119</c:v>
                </c:pt>
                <c:pt idx="15">
                  <c:v>48.734354993442253</c:v>
                </c:pt>
                <c:pt idx="16">
                  <c:v>46.76176948059976</c:v>
                </c:pt>
                <c:pt idx="17">
                  <c:v>45.602327376450582</c:v>
                </c:pt>
                <c:pt idx="18">
                  <c:v>45.222711792599831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F188-474D-9BFA-69AD00F3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125208"/>
        <c:axId val="329124816"/>
      </c:lineChart>
      <c:catAx>
        <c:axId val="32912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9124424"/>
        <c:crosses val="autoZero"/>
        <c:auto val="1"/>
        <c:lblAlgn val="ctr"/>
        <c:lblOffset val="100"/>
        <c:noMultiLvlLbl val="0"/>
      </c:catAx>
      <c:valAx>
        <c:axId val="329124424"/>
        <c:scaling>
          <c:orientation val="minMax"/>
          <c:max val="6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% HDP</a:t>
                </a: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9124032"/>
        <c:crosses val="autoZero"/>
        <c:crossBetween val="midCat"/>
      </c:valAx>
      <c:valAx>
        <c:axId val="329124816"/>
        <c:scaling>
          <c:orientation val="minMax"/>
          <c:max val="60"/>
          <c:min val="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r>
                  <a:rPr lang="en-US"/>
                  <a:t>% HDP</a:t>
                </a:r>
                <a:endParaRPr lang="sk-S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 Narrow" panose="020B0606020202030204" pitchFamily="34" charset="0"/>
                  <a:ea typeface="+mn-ea"/>
                  <a:cs typeface="+mn-cs"/>
                </a:defRPr>
              </a:pPr>
              <a:endParaRPr lang="sk-SK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9125208"/>
        <c:crosses val="max"/>
        <c:crossBetween val="between"/>
      </c:valAx>
      <c:catAx>
        <c:axId val="329125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291248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ayout>
        <c:manualLayout>
          <c:xMode val="edge"/>
          <c:yMode val="edge"/>
          <c:x val="8.5520987654320965E-2"/>
          <c:y val="7.723338193424468E-3"/>
          <c:w val="0.83804382716049386"/>
          <c:h val="0.128030135548508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72412572084403426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'Graf 34'!$A$24</c:f>
              <c:strCache>
                <c:ptCount val="1"/>
                <c:pt idx="0">
                  <c:v>Úroky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f>'Graf 34'!$B$19:$I$19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34'!$B$24:$I$24</c:f>
              <c:numCache>
                <c:formatCode>0.0</c:formatCode>
                <c:ptCount val="8"/>
                <c:pt idx="0">
                  <c:v>1.8972834129797094</c:v>
                </c:pt>
                <c:pt idx="1">
                  <c:v>1.7483766663599778</c:v>
                </c:pt>
                <c:pt idx="2">
                  <c:v>1.6460169056925698</c:v>
                </c:pt>
                <c:pt idx="3">
                  <c:v>1.3956854977747184</c:v>
                </c:pt>
                <c:pt idx="4">
                  <c:v>1.2674870324525316</c:v>
                </c:pt>
                <c:pt idx="5">
                  <c:v>1.1935180988296663</c:v>
                </c:pt>
                <c:pt idx="6">
                  <c:v>1.087798872201877</c:v>
                </c:pt>
                <c:pt idx="7">
                  <c:v>1.0594995220079289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A6C-495B-B5DA-49F78527B21D}"/>
            </c:ext>
          </c:extLst>
        </c:ser>
        <c:ser>
          <c:idx val="6"/>
          <c:order val="2"/>
          <c:tx>
            <c:strRef>
              <c:f>'Graf 34'!$A$28</c:f>
              <c:strCache>
                <c:ptCount val="1"/>
                <c:pt idx="0">
                  <c:v>Zosúladenie deficitu a dlhu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f>'Graf 34'!$B$19:$I$19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34'!$B$28:$I$28</c:f>
              <c:numCache>
                <c:formatCode>0.0</c:formatCode>
                <c:ptCount val="8"/>
                <c:pt idx="0">
                  <c:v>-2.5379998885234922</c:v>
                </c:pt>
                <c:pt idx="1">
                  <c:v>-2.0148284758541033</c:v>
                </c:pt>
                <c:pt idx="2">
                  <c:v>-1.2721448511832449</c:v>
                </c:pt>
                <c:pt idx="3">
                  <c:v>0.33981331712469975</c:v>
                </c:pt>
                <c:pt idx="4">
                  <c:v>0.52604565352413757</c:v>
                </c:pt>
                <c:pt idx="5">
                  <c:v>-1.8440851167983441E-2</c:v>
                </c:pt>
                <c:pt idx="6">
                  <c:v>1.0327098335822504</c:v>
                </c:pt>
                <c:pt idx="7">
                  <c:v>0.88808799740854427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6C-495B-B5DA-49F78527B21D}"/>
            </c:ext>
          </c:extLst>
        </c:ser>
        <c:ser>
          <c:idx val="2"/>
          <c:order val="3"/>
          <c:tx>
            <c:strRef>
              <c:f>'Graf 34'!$A$22</c:f>
              <c:strCache>
                <c:ptCount val="1"/>
                <c:pt idx="0">
                  <c:v>Primárne saldo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f>'Graf 34'!$B$19:$I$19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34'!$B$22:$I$22</c:f>
              <c:numCache>
                <c:formatCode>0.0</c:formatCode>
                <c:ptCount val="8"/>
                <c:pt idx="0">
                  <c:v>0.80501090654638408</c:v>
                </c:pt>
                <c:pt idx="1">
                  <c:v>0.98886967565825468</c:v>
                </c:pt>
                <c:pt idx="2">
                  <c:v>0.56047907751051829</c:v>
                </c:pt>
                <c:pt idx="3">
                  <c:v>-0.35495830850155641</c:v>
                </c:pt>
                <c:pt idx="4">
                  <c:v>-0.46838544819269051</c:v>
                </c:pt>
                <c:pt idx="5">
                  <c:v>-0.87834141343833605</c:v>
                </c:pt>
                <c:pt idx="6">
                  <c:v>-1.087798872201877</c:v>
                </c:pt>
                <c:pt idx="7">
                  <c:v>-1.0594995220079289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6C-495B-B5DA-49F78527B21D}"/>
            </c:ext>
          </c:extLst>
        </c:ser>
        <c:ser>
          <c:idx val="1"/>
          <c:order val="5"/>
          <c:tx>
            <c:strRef>
              <c:f>'Graf 34'!$A$26</c:f>
              <c:strCache>
                <c:ptCount val="1"/>
                <c:pt idx="0">
                  <c:v>Rast reálneho HDP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34'!$B$19:$I$19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34'!$B$26:$I$26</c:f>
              <c:numCache>
                <c:formatCode>0.0</c:formatCode>
                <c:ptCount val="8"/>
                <c:pt idx="0">
                  <c:v>-1.4629306864555198</c:v>
                </c:pt>
                <c:pt idx="1">
                  <c:v>-1.981397591056578</c:v>
                </c:pt>
                <c:pt idx="2">
                  <c:v>-1.6768662006357824</c:v>
                </c:pt>
                <c:pt idx="3">
                  <c:v>-1.7045064074559106</c:v>
                </c:pt>
                <c:pt idx="4">
                  <c:v>-2.091878469358964</c:v>
                </c:pt>
                <c:pt idx="5">
                  <c:v>-2.1655614890736765</c:v>
                </c:pt>
                <c:pt idx="6">
                  <c:v>-1.7719030934240523</c:v>
                </c:pt>
                <c:pt idx="7">
                  <c:v>-1.50430875372881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A6C-495B-B5DA-49F78527B21D}"/>
            </c:ext>
          </c:extLst>
        </c:ser>
        <c:ser>
          <c:idx val="3"/>
          <c:order val="6"/>
          <c:tx>
            <c:strRef>
              <c:f>'Graf 34'!$A$27</c:f>
              <c:strCache>
                <c:ptCount val="1"/>
                <c:pt idx="0">
                  <c:v>Deflátor  HDP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f>'Graf 34'!$B$19:$I$19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34'!$B$27:$I$27</c:f>
              <c:numCache>
                <c:formatCode>0.0</c:formatCode>
                <c:ptCount val="8"/>
                <c:pt idx="0">
                  <c:v>8.3139955759036432E-2</c:v>
                </c:pt>
                <c:pt idx="1">
                  <c:v>7.5993302609220104E-2</c:v>
                </c:pt>
                <c:pt idx="2">
                  <c:v>0.22086319545325006</c:v>
                </c:pt>
                <c:pt idx="3">
                  <c:v>-0.63155500346356419</c:v>
                </c:pt>
                <c:pt idx="4">
                  <c:v>-0.82817829215730532</c:v>
                </c:pt>
                <c:pt idx="5">
                  <c:v>-0.87530489213761697</c:v>
                </c:pt>
                <c:pt idx="6">
                  <c:v>-0.92731836011126823</c:v>
                </c:pt>
                <c:pt idx="7">
                  <c:v>-0.9461801510242096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A6C-495B-B5DA-49F78527B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125992"/>
        <c:axId val="329126384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4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34'!$A$25</c15:sqref>
                        </c15:formulaRef>
                      </c:ext>
                    </c:extLst>
                    <c:strCache>
                      <c:ptCount val="1"/>
                      <c:pt idx="0">
                        <c:v>Rast nominálneho HDP</c:v>
                      </c:pt>
                    </c:strCache>
                  </c:strRef>
                </c:tx>
                <c:spPr>
                  <a:solidFill>
                    <a:srgbClr val="D3BEDE"/>
                  </a:solidFill>
                  <a:ln w="12700">
                    <a:noFill/>
                    <a:prstDash val="solid"/>
                  </a:ln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34'!$B$19:$I$19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34'!$D$25:$I$25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-1.4560030051825323</c:v>
                      </c:pt>
                      <c:pt idx="1">
                        <c:v>-2.3360614109194748</c:v>
                      </c:pt>
                      <c:pt idx="2">
                        <c:v>-2.9200567615162694</c:v>
                      </c:pt>
                      <c:pt idx="3">
                        <c:v>-3.0408663812112935</c:v>
                      </c:pt>
                      <c:pt idx="4">
                        <c:v>-2.6992214535353205</c:v>
                      </c:pt>
                      <c:pt idx="5">
                        <c:v>-2.4504889047530196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B-4A6C-495B-B5DA-49F78527B21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'Graf 34'!$A$20</c:f>
              <c:strCache>
                <c:ptCount val="1"/>
                <c:pt idx="0">
                  <c:v>Zmena hrubého dlhu verejnej správy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6937621603269744E-2"/>
                  <c:y val="3.02171860245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A6C-495B-B5DA-49F78527B21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937621603269744E-2"/>
                  <c:y val="3.0217186024551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A6C-495B-B5DA-49F78527B21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7993453554624241E-2"/>
                  <c:y val="2.644003777148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A6C-495B-B5DA-49F78527B21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359954383811473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A6C-495B-B5DA-49F78527B21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0254371188676044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A6C-495B-B5DA-49F78527B21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34'!$B$19:$I$19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34'!$B$20:$I$20</c:f>
              <c:numCache>
                <c:formatCode>0.0</c:formatCode>
                <c:ptCount val="8"/>
                <c:pt idx="0">
                  <c:v>-1.2154962996938821</c:v>
                </c:pt>
                <c:pt idx="1">
                  <c:v>-1.1829864222832285</c:v>
                </c:pt>
                <c:pt idx="2">
                  <c:v>-0.52165187316268913</c:v>
                </c:pt>
                <c:pt idx="3">
                  <c:v>-0.95552090452161309</c:v>
                </c:pt>
                <c:pt idx="4">
                  <c:v>-1.5949095237322908</c:v>
                </c:pt>
                <c:pt idx="5">
                  <c:v>-2.7441305469879467</c:v>
                </c:pt>
                <c:pt idx="6">
                  <c:v>-1.6665116199530701</c:v>
                </c:pt>
                <c:pt idx="7">
                  <c:v>-1.5624009073444753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4A6C-495B-B5DA-49F78527B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125992"/>
        <c:axId val="329126384"/>
      </c:lineChart>
      <c:catAx>
        <c:axId val="329125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32912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126384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329125992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84897818800019731"/>
          <c:w val="0.96143550394019972"/>
          <c:h val="0.151021928710524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7787773402629306E-2"/>
          <c:y val="3.7486892271914186E-2"/>
          <c:w val="0.93042426363371455"/>
          <c:h val="0.72412572084403426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'Graf 34'!$K$24</c:f>
              <c:strCache>
                <c:ptCount val="1"/>
                <c:pt idx="0">
                  <c:v>Interest</c:v>
                </c:pt>
              </c:strCache>
            </c:strRef>
          </c:tx>
          <c:spPr>
            <a:solidFill>
              <a:srgbClr val="D3BEDE"/>
            </a:solidFill>
            <a:ln w="12700">
              <a:noFill/>
              <a:prstDash val="solid"/>
            </a:ln>
          </c:spPr>
          <c:invertIfNegative val="0"/>
          <c:cat>
            <c:numRef>
              <c:f>'Graf 34'!$L$19:$S$19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34'!$L$24:$S$24</c:f>
              <c:numCache>
                <c:formatCode>0.0</c:formatCode>
                <c:ptCount val="8"/>
                <c:pt idx="0">
                  <c:v>1.8972834129797094</c:v>
                </c:pt>
                <c:pt idx="1">
                  <c:v>1.7483766663599778</c:v>
                </c:pt>
                <c:pt idx="2">
                  <c:v>1.6460169056925698</c:v>
                </c:pt>
                <c:pt idx="3">
                  <c:v>1.3956854977747184</c:v>
                </c:pt>
                <c:pt idx="4">
                  <c:v>1.2674870324525316</c:v>
                </c:pt>
                <c:pt idx="5">
                  <c:v>1.1935180988296663</c:v>
                </c:pt>
                <c:pt idx="6">
                  <c:v>1.087798872201877</c:v>
                </c:pt>
                <c:pt idx="7">
                  <c:v>1.0594995220079289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559-4F62-BE85-064235D4C682}"/>
            </c:ext>
          </c:extLst>
        </c:ser>
        <c:ser>
          <c:idx val="6"/>
          <c:order val="2"/>
          <c:tx>
            <c:strRef>
              <c:f>'Graf 34'!$K$28</c:f>
              <c:strCache>
                <c:ptCount val="1"/>
                <c:pt idx="0">
                  <c:v>Stock-flow adjustment</c:v>
                </c:pt>
              </c:strCache>
            </c:strRef>
          </c:tx>
          <c:spPr>
            <a:solidFill>
              <a:sysClr val="window" lastClr="FFFFFF">
                <a:lumMod val="85000"/>
              </a:sysClr>
            </a:solidFill>
            <a:ln w="12700">
              <a:noFill/>
              <a:prstDash val="solid"/>
            </a:ln>
          </c:spPr>
          <c:invertIfNegative val="0"/>
          <c:cat>
            <c:numRef>
              <c:f>'Graf 34'!$L$19:$S$19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34'!$L$28:$S$28</c:f>
              <c:numCache>
                <c:formatCode>0.0</c:formatCode>
                <c:ptCount val="8"/>
                <c:pt idx="0">
                  <c:v>-2.5379998885234922</c:v>
                </c:pt>
                <c:pt idx="1">
                  <c:v>-2.0148284758541033</c:v>
                </c:pt>
                <c:pt idx="2">
                  <c:v>-1.2721448511832449</c:v>
                </c:pt>
                <c:pt idx="3">
                  <c:v>0.33981331712469975</c:v>
                </c:pt>
                <c:pt idx="4">
                  <c:v>0.52604565352413757</c:v>
                </c:pt>
                <c:pt idx="5">
                  <c:v>-1.8440851167983441E-2</c:v>
                </c:pt>
                <c:pt idx="6">
                  <c:v>1.0327098335822504</c:v>
                </c:pt>
                <c:pt idx="7">
                  <c:v>0.88808799740854427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59-4F62-BE85-064235D4C682}"/>
            </c:ext>
          </c:extLst>
        </c:ser>
        <c:ser>
          <c:idx val="2"/>
          <c:order val="3"/>
          <c:tx>
            <c:strRef>
              <c:f>'Graf 34'!$K$22</c:f>
              <c:strCache>
                <c:ptCount val="1"/>
                <c:pt idx="0">
                  <c:v>Primary balance</c:v>
                </c:pt>
              </c:strCache>
            </c:strRef>
          </c:tx>
          <c:spPr>
            <a:solidFill>
              <a:srgbClr val="D3BEDE">
                <a:lumMod val="75000"/>
              </a:srgbClr>
            </a:solidFill>
            <a:ln w="12700">
              <a:noFill/>
              <a:prstDash val="solid"/>
            </a:ln>
          </c:spPr>
          <c:invertIfNegative val="0"/>
          <c:cat>
            <c:numRef>
              <c:f>'Graf 34'!$L$19:$S$19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34'!$L$22:$S$22</c:f>
              <c:numCache>
                <c:formatCode>0.0</c:formatCode>
                <c:ptCount val="8"/>
                <c:pt idx="0">
                  <c:v>0.80501090654638408</c:v>
                </c:pt>
                <c:pt idx="1">
                  <c:v>0.98886967565825468</c:v>
                </c:pt>
                <c:pt idx="2">
                  <c:v>0.56047907751051829</c:v>
                </c:pt>
                <c:pt idx="3">
                  <c:v>-0.35495830850155641</c:v>
                </c:pt>
                <c:pt idx="4">
                  <c:v>-0.46838544819269051</c:v>
                </c:pt>
                <c:pt idx="5">
                  <c:v>-0.87834141343833605</c:v>
                </c:pt>
                <c:pt idx="6">
                  <c:v>-1.087798872201877</c:v>
                </c:pt>
                <c:pt idx="7">
                  <c:v>-1.0594995220079289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559-4F62-BE85-064235D4C682}"/>
            </c:ext>
          </c:extLst>
        </c:ser>
        <c:ser>
          <c:idx val="1"/>
          <c:order val="5"/>
          <c:tx>
            <c:strRef>
              <c:f>'Graf 34'!$K$26</c:f>
              <c:strCache>
                <c:ptCount val="1"/>
                <c:pt idx="0">
                  <c:v>Real GDP growth</c:v>
                </c:pt>
              </c:strCache>
            </c:strRef>
          </c:tx>
          <c:spPr>
            <a:solidFill>
              <a:srgbClr val="2C9ADC"/>
            </a:solidFill>
          </c:spPr>
          <c:invertIfNegative val="0"/>
          <c:cat>
            <c:numRef>
              <c:f>'Graf 34'!$L$19:$S$19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34'!$L$26:$S$26</c:f>
              <c:numCache>
                <c:formatCode>0.0</c:formatCode>
                <c:ptCount val="8"/>
                <c:pt idx="0">
                  <c:v>-1.4629306864555198</c:v>
                </c:pt>
                <c:pt idx="1">
                  <c:v>-1.981397591056578</c:v>
                </c:pt>
                <c:pt idx="2">
                  <c:v>-1.6768662006357824</c:v>
                </c:pt>
                <c:pt idx="3">
                  <c:v>-1.7045064074559106</c:v>
                </c:pt>
                <c:pt idx="4">
                  <c:v>-2.091878469358964</c:v>
                </c:pt>
                <c:pt idx="5">
                  <c:v>-2.1655614890736765</c:v>
                </c:pt>
                <c:pt idx="6">
                  <c:v>-1.7719030934240523</c:v>
                </c:pt>
                <c:pt idx="7">
                  <c:v>-1.50430875372881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559-4F62-BE85-064235D4C682}"/>
            </c:ext>
          </c:extLst>
        </c:ser>
        <c:ser>
          <c:idx val="3"/>
          <c:order val="6"/>
          <c:tx>
            <c:strRef>
              <c:f>'Graf 34'!$K$27</c:f>
              <c:strCache>
                <c:ptCount val="1"/>
                <c:pt idx="0">
                  <c:v>GDP deflator</c:v>
                </c:pt>
              </c:strCache>
            </c:strRef>
          </c:tx>
          <c:spPr>
            <a:solidFill>
              <a:srgbClr val="2C9ADC">
                <a:lumMod val="40000"/>
                <a:lumOff val="60000"/>
              </a:srgbClr>
            </a:solidFill>
          </c:spPr>
          <c:invertIfNegative val="0"/>
          <c:cat>
            <c:numRef>
              <c:f>'Graf 34'!$L$19:$S$19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34'!$L$27:$S$27</c:f>
              <c:numCache>
                <c:formatCode>0.0</c:formatCode>
                <c:ptCount val="8"/>
                <c:pt idx="0">
                  <c:v>8.3139955759036432E-2</c:v>
                </c:pt>
                <c:pt idx="1">
                  <c:v>7.5993302609220104E-2</c:v>
                </c:pt>
                <c:pt idx="2">
                  <c:v>0.22086319545325006</c:v>
                </c:pt>
                <c:pt idx="3">
                  <c:v>-0.63155500346356419</c:v>
                </c:pt>
                <c:pt idx="4">
                  <c:v>-0.82817829215730532</c:v>
                </c:pt>
                <c:pt idx="5">
                  <c:v>-0.87530489213761697</c:v>
                </c:pt>
                <c:pt idx="6">
                  <c:v>-0.92731836011126823</c:v>
                </c:pt>
                <c:pt idx="7">
                  <c:v>-0.9461801510242096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559-4F62-BE85-064235D4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9127168"/>
        <c:axId val="329127560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5"/>
                <c:order val="4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'Graf 34'!$K$25</c15:sqref>
                        </c15:formulaRef>
                      </c:ext>
                    </c:extLst>
                    <c:strCache>
                      <c:ptCount val="1"/>
                      <c:pt idx="0">
                        <c:v>Nominal GDP growth</c:v>
                      </c:pt>
                    </c:strCache>
                  </c:strRef>
                </c:tx>
                <c:spPr>
                  <a:solidFill>
                    <a:srgbClr val="D3BEDE"/>
                  </a:solidFill>
                  <a:ln w="12700">
                    <a:noFill/>
                    <a:prstDash val="solid"/>
                  </a:ln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34'!$L$19:$S$19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2014</c:v>
                      </c:pt>
                      <c:pt idx="1">
                        <c:v>2015</c:v>
                      </c:pt>
                      <c:pt idx="2">
                        <c:v>2016</c:v>
                      </c:pt>
                      <c:pt idx="3">
                        <c:v>2017</c:v>
                      </c:pt>
                      <c:pt idx="4">
                        <c:v>2018</c:v>
                      </c:pt>
                      <c:pt idx="5">
                        <c:v>2019</c:v>
                      </c:pt>
                      <c:pt idx="6">
                        <c:v>2020</c:v>
                      </c:pt>
                      <c:pt idx="7">
                        <c:v>2021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34'!$N$25:$S$25</c15:sqref>
                        </c15:formulaRef>
                      </c:ext>
                    </c:extLst>
                    <c:numCache>
                      <c:formatCode>0.0</c:formatCode>
                      <c:ptCount val="6"/>
                      <c:pt idx="0">
                        <c:v>-1.4560030051825323</c:v>
                      </c:pt>
                      <c:pt idx="1">
                        <c:v>-2.3360614109194748</c:v>
                      </c:pt>
                      <c:pt idx="2">
                        <c:v>-2.9200567615162694</c:v>
                      </c:pt>
                      <c:pt idx="3">
                        <c:v>-3.0408663812112935</c:v>
                      </c:pt>
                      <c:pt idx="4">
                        <c:v>-2.6992214535353205</c:v>
                      </c:pt>
                      <c:pt idx="5">
                        <c:v>-2.4504889047530196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B-9559-4F62-BE85-064235D4C682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'Graf 34'!$K$20</c:f>
              <c:strCache>
                <c:ptCount val="1"/>
                <c:pt idx="0">
                  <c:v>Y-o-y change of gross debt</c:v>
                </c:pt>
              </c:strCache>
            </c:strRef>
          </c:tx>
          <c:spPr>
            <a:ln w="25400" cmpd="sng">
              <a:solidFill>
                <a:srgbClr val="000000"/>
              </a:solidFill>
              <a:prstDash val="solid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3.6937621603269744E-2"/>
                  <c:y val="3.0217186024551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559-4F62-BE85-064235D4C68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937621603269744E-2"/>
                  <c:y val="3.0217186024551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559-4F62-BE85-064235D4C68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7993453554624241E-2"/>
                  <c:y val="2.644003777148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559-4F62-BE85-064235D4C68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359954383811473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559-4F62-BE85-064235D4C68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0254371188676044E-2"/>
                  <c:y val="3.3994334277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559-4F62-BE85-064235D4C68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latin typeface="Arial Narrow" panose="020B0606020202030204" pitchFamily="34" charset="0"/>
                  </a:defRPr>
                </a:pPr>
                <a:endParaRPr lang="sk-SK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34'!$L$19:$S$19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'Graf 34'!$L$20:$S$20</c:f>
              <c:numCache>
                <c:formatCode>0.0</c:formatCode>
                <c:ptCount val="8"/>
                <c:pt idx="0">
                  <c:v>-1.2154962996938821</c:v>
                </c:pt>
                <c:pt idx="1">
                  <c:v>-1.1829864222832285</c:v>
                </c:pt>
                <c:pt idx="2">
                  <c:v>-0.52165187316268913</c:v>
                </c:pt>
                <c:pt idx="3">
                  <c:v>-0.95552090452161309</c:v>
                </c:pt>
                <c:pt idx="4">
                  <c:v>-1.5949095237322908</c:v>
                </c:pt>
                <c:pt idx="5">
                  <c:v>-2.7441305469879467</c:v>
                </c:pt>
                <c:pt idx="6">
                  <c:v>-1.6665116199530701</c:v>
                </c:pt>
                <c:pt idx="7">
                  <c:v>-1.5624009073444753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9559-4F62-BE85-064235D4C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9127168"/>
        <c:axId val="329127560"/>
      </c:lineChart>
      <c:catAx>
        <c:axId val="32912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329127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9127560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Arial"/>
                <a:cs typeface="Arial"/>
              </a:defRPr>
            </a:pPr>
            <a:endParaRPr lang="sk-SK"/>
          </a:p>
        </c:txPr>
        <c:crossAx val="329127168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2751413805233107E-2"/>
          <c:y val="0.84897818800019731"/>
          <c:w val="0.92010986043255538"/>
          <c:h val="0.151021928710524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 Narrow" panose="020B0606020202030204" pitchFamily="34" charset="0"/>
              <a:ea typeface="Arial"/>
              <a:cs typeface="Arial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portrait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0.13430211026053546"/>
          <c:w val="0.92790373629766865"/>
          <c:h val="0.77509804637520896"/>
        </c:manualLayout>
      </c:layout>
      <c:barChart>
        <c:barDir val="col"/>
        <c:grouping val="stacked"/>
        <c:varyColors val="0"/>
        <c:ser>
          <c:idx val="1"/>
          <c:order val="0"/>
          <c:tx>
            <c:v>Čistý dlh</c:v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35'!$B$21:$G$21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35'!$B$28:$G$28</c:f>
              <c:numCache>
                <c:formatCode>0.0</c:formatCode>
                <c:ptCount val="6"/>
                <c:pt idx="0">
                  <c:v>46.895851029634215</c:v>
                </c:pt>
                <c:pt idx="1">
                  <c:v>45.507185534157529</c:v>
                </c:pt>
                <c:pt idx="2">
                  <c:v>43.93145552362536</c:v>
                </c:pt>
                <c:pt idx="3">
                  <c:v>42.031399329379951</c:v>
                </c:pt>
                <c:pt idx="4">
                  <c:v>40.088206545299599</c:v>
                </c:pt>
                <c:pt idx="5">
                  <c:v>38.493411658087027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502-4D54-80D7-19B55B034101}"/>
            </c:ext>
          </c:extLst>
        </c:ser>
        <c:ser>
          <c:idx val="2"/>
          <c:order val="1"/>
          <c:tx>
            <c:strRef>
              <c:f>'Graf 35'!$A$31</c:f>
              <c:strCache>
                <c:ptCount val="1"/>
                <c:pt idx="0">
                  <c:v>Likvidné finančné aktíva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35'!$B$21:$G$21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35'!$B$31:$G$31</c:f>
              <c:numCache>
                <c:formatCode>0.00</c:formatCode>
                <c:ptCount val="6"/>
                <c:pt idx="0">
                  <c:v>4.9232344356405209</c:v>
                </c:pt>
                <c:pt idx="1">
                  <c:v>5.3563790265955982</c:v>
                </c:pt>
                <c:pt idx="2">
                  <c:v>5.3371995133954835</c:v>
                </c:pt>
                <c:pt idx="3">
                  <c:v>4.4931251606529363</c:v>
                </c:pt>
                <c:pt idx="4">
                  <c:v>4.7698063247802205</c:v>
                </c:pt>
                <c:pt idx="5">
                  <c:v>4.8022003046483084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502-4D54-80D7-19B55B034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0234648"/>
        <c:axId val="330235040"/>
      </c:barChart>
      <c:lineChart>
        <c:grouping val="standard"/>
        <c:varyColors val="0"/>
        <c:ser>
          <c:idx val="0"/>
          <c:order val="2"/>
          <c:tx>
            <c:strRef>
              <c:f>'Graf 35'!$A$22</c:f>
              <c:strCache>
                <c:ptCount val="1"/>
                <c:pt idx="0">
                  <c:v>Hrubý dlh verejnej správy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35'!$B$21:$G$21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35'!$B$22:$G$22</c:f>
              <c:numCache>
                <c:formatCode>0.0</c:formatCode>
                <c:ptCount val="6"/>
                <c:pt idx="0">
                  <c:v>51.818676551160578</c:v>
                </c:pt>
                <c:pt idx="1">
                  <c:v>50.863185134979958</c:v>
                </c:pt>
                <c:pt idx="2">
                  <c:v>49.268297393928535</c:v>
                </c:pt>
                <c:pt idx="3">
                  <c:v>46.52418892070849</c:v>
                </c:pt>
                <c:pt idx="4">
                  <c:v>44.857696769539444</c:v>
                </c:pt>
                <c:pt idx="5">
                  <c:v>43.295313130032255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502-4D54-80D7-19B55B034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234648"/>
        <c:axId val="330235040"/>
      </c:lineChart>
      <c:catAx>
        <c:axId val="330234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30235040"/>
        <c:crosses val="autoZero"/>
        <c:auto val="1"/>
        <c:lblAlgn val="ctr"/>
        <c:lblOffset val="100"/>
        <c:noMultiLvlLbl val="0"/>
      </c:catAx>
      <c:valAx>
        <c:axId val="330235040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302346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988061226859917E-2"/>
          <c:y val="0.15213485106902122"/>
          <c:w val="0.92790373629766865"/>
          <c:h val="0.74117349548080713"/>
        </c:manualLayout>
      </c:layout>
      <c:barChart>
        <c:barDir val="col"/>
        <c:grouping val="stacked"/>
        <c:varyColors val="0"/>
        <c:ser>
          <c:idx val="1"/>
          <c:order val="0"/>
          <c:tx>
            <c:v>Net debt</c:v>
          </c:tx>
          <c:spPr>
            <a:solidFill>
              <a:srgbClr val="2C9ADC"/>
            </a:solidFill>
            <a:ln w="25400">
              <a:noFill/>
            </a:ln>
          </c:spPr>
          <c:invertIfNegative val="0"/>
          <c:dLbls>
            <c:spPr>
              <a:noFill/>
              <a:ln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 35'!$K$21:$P$21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35'!$K$28:$P$28</c:f>
              <c:numCache>
                <c:formatCode>0.0</c:formatCode>
                <c:ptCount val="6"/>
                <c:pt idx="0">
                  <c:v>46.895851029634215</c:v>
                </c:pt>
                <c:pt idx="1">
                  <c:v>45.507185534157529</c:v>
                </c:pt>
                <c:pt idx="2">
                  <c:v>43.93145552362536</c:v>
                </c:pt>
                <c:pt idx="3">
                  <c:v>42.031399329379951</c:v>
                </c:pt>
                <c:pt idx="4">
                  <c:v>40.088206545299599</c:v>
                </c:pt>
                <c:pt idx="5">
                  <c:v>38.493411658087027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76-400C-8B85-1ADAE779BC03}"/>
            </c:ext>
          </c:extLst>
        </c:ser>
        <c:ser>
          <c:idx val="2"/>
          <c:order val="1"/>
          <c:tx>
            <c:strRef>
              <c:f>'Graf 35'!$J$31</c:f>
              <c:strCache>
                <c:ptCount val="1"/>
                <c:pt idx="0">
                  <c:v>Liquid assets</c:v>
                </c:pt>
              </c:strCache>
            </c:strRef>
          </c:tx>
          <c:spPr>
            <a:solidFill>
              <a:srgbClr val="AAD3F2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35'!$K$21:$P$21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35'!$K$31:$P$31</c:f>
              <c:numCache>
                <c:formatCode>0.00</c:formatCode>
                <c:ptCount val="6"/>
                <c:pt idx="0">
                  <c:v>4.9232344356405209</c:v>
                </c:pt>
                <c:pt idx="1">
                  <c:v>5.3563790265955982</c:v>
                </c:pt>
                <c:pt idx="2">
                  <c:v>5.3371995133954835</c:v>
                </c:pt>
                <c:pt idx="3">
                  <c:v>4.4931251606529363</c:v>
                </c:pt>
                <c:pt idx="4">
                  <c:v>4.7698063247802205</c:v>
                </c:pt>
                <c:pt idx="5">
                  <c:v>4.8022003046483084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76-400C-8B85-1ADAE779B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0235824"/>
        <c:axId val="330236216"/>
      </c:barChart>
      <c:lineChart>
        <c:grouping val="standard"/>
        <c:varyColors val="0"/>
        <c:ser>
          <c:idx val="0"/>
          <c:order val="2"/>
          <c:tx>
            <c:strRef>
              <c:f>'Graf 35'!$J$22</c:f>
              <c:strCache>
                <c:ptCount val="1"/>
                <c:pt idx="0">
                  <c:v>Gross debt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'Graf 35'!$K$21:$P$21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35'!$K$22:$P$22</c:f>
              <c:numCache>
                <c:formatCode>0.0</c:formatCode>
                <c:ptCount val="6"/>
                <c:pt idx="0">
                  <c:v>51.818676551160578</c:v>
                </c:pt>
                <c:pt idx="1">
                  <c:v>50.863185134979958</c:v>
                </c:pt>
                <c:pt idx="2">
                  <c:v>49.268297393928535</c:v>
                </c:pt>
                <c:pt idx="3">
                  <c:v>46.52418892070849</c:v>
                </c:pt>
                <c:pt idx="4">
                  <c:v>44.857696769539444</c:v>
                </c:pt>
                <c:pt idx="5">
                  <c:v>43.295313130032255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C76-400C-8B85-1ADAE779B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235824"/>
        <c:axId val="330236216"/>
      </c:lineChart>
      <c:catAx>
        <c:axId val="330235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30236216"/>
        <c:crosses val="autoZero"/>
        <c:auto val="1"/>
        <c:lblAlgn val="ctr"/>
        <c:lblOffset val="100"/>
        <c:noMultiLvlLbl val="0"/>
      </c:catAx>
      <c:valAx>
        <c:axId val="330236216"/>
        <c:scaling>
          <c:orientation val="minMax"/>
          <c:min val="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sk-SK"/>
          </a:p>
        </c:txPr>
        <c:crossAx val="3302358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83465332697746"/>
          <c:y val="7.6488980206485549E-2"/>
          <c:w val="0.76233069334604509"/>
          <c:h val="0.77930936343800405"/>
        </c:manualLayout>
      </c:layout>
      <c:lineChart>
        <c:grouping val="standard"/>
        <c:varyColors val="0"/>
        <c:ser>
          <c:idx val="0"/>
          <c:order val="0"/>
          <c:tx>
            <c:v>Brent oil price (USD/bl) (lhs)</c:v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3+4'!$H$3:$H$554</c:f>
              <c:numCache>
                <c:formatCode>m/d/yyyy</c:formatCode>
                <c:ptCount val="552"/>
                <c:pt idx="0">
                  <c:v>43172</c:v>
                </c:pt>
                <c:pt idx="1">
                  <c:v>43171</c:v>
                </c:pt>
                <c:pt idx="2">
                  <c:v>43168</c:v>
                </c:pt>
                <c:pt idx="3">
                  <c:v>43167</c:v>
                </c:pt>
                <c:pt idx="4">
                  <c:v>43166</c:v>
                </c:pt>
                <c:pt idx="5">
                  <c:v>43165</c:v>
                </c:pt>
                <c:pt idx="6">
                  <c:v>43164</c:v>
                </c:pt>
                <c:pt idx="7">
                  <c:v>43161</c:v>
                </c:pt>
                <c:pt idx="8">
                  <c:v>43160</c:v>
                </c:pt>
                <c:pt idx="9">
                  <c:v>43159</c:v>
                </c:pt>
                <c:pt idx="10">
                  <c:v>43158</c:v>
                </c:pt>
                <c:pt idx="11">
                  <c:v>43157</c:v>
                </c:pt>
                <c:pt idx="12">
                  <c:v>43154</c:v>
                </c:pt>
                <c:pt idx="13">
                  <c:v>43153</c:v>
                </c:pt>
                <c:pt idx="14">
                  <c:v>43152</c:v>
                </c:pt>
                <c:pt idx="15">
                  <c:v>43151</c:v>
                </c:pt>
                <c:pt idx="16">
                  <c:v>43147</c:v>
                </c:pt>
                <c:pt idx="17">
                  <c:v>43146</c:v>
                </c:pt>
                <c:pt idx="18">
                  <c:v>43145</c:v>
                </c:pt>
                <c:pt idx="19">
                  <c:v>43144</c:v>
                </c:pt>
                <c:pt idx="20">
                  <c:v>43143</c:v>
                </c:pt>
                <c:pt idx="21">
                  <c:v>43140</c:v>
                </c:pt>
                <c:pt idx="22">
                  <c:v>43139</c:v>
                </c:pt>
                <c:pt idx="23">
                  <c:v>43138</c:v>
                </c:pt>
                <c:pt idx="24">
                  <c:v>43137</c:v>
                </c:pt>
                <c:pt idx="25">
                  <c:v>43136</c:v>
                </c:pt>
                <c:pt idx="26">
                  <c:v>43133</c:v>
                </c:pt>
                <c:pt idx="27">
                  <c:v>43132</c:v>
                </c:pt>
                <c:pt idx="28">
                  <c:v>43131</c:v>
                </c:pt>
                <c:pt idx="29">
                  <c:v>43130</c:v>
                </c:pt>
                <c:pt idx="30">
                  <c:v>43129</c:v>
                </c:pt>
                <c:pt idx="31">
                  <c:v>43126</c:v>
                </c:pt>
                <c:pt idx="32">
                  <c:v>43125</c:v>
                </c:pt>
                <c:pt idx="33">
                  <c:v>43124</c:v>
                </c:pt>
                <c:pt idx="34">
                  <c:v>43123</c:v>
                </c:pt>
                <c:pt idx="35">
                  <c:v>43122</c:v>
                </c:pt>
                <c:pt idx="36">
                  <c:v>43119</c:v>
                </c:pt>
                <c:pt idx="37">
                  <c:v>43118</c:v>
                </c:pt>
                <c:pt idx="38">
                  <c:v>43117</c:v>
                </c:pt>
                <c:pt idx="39">
                  <c:v>43116</c:v>
                </c:pt>
                <c:pt idx="40">
                  <c:v>43112</c:v>
                </c:pt>
                <c:pt idx="41">
                  <c:v>43111</c:v>
                </c:pt>
                <c:pt idx="42">
                  <c:v>43110</c:v>
                </c:pt>
                <c:pt idx="43">
                  <c:v>43109</c:v>
                </c:pt>
                <c:pt idx="44">
                  <c:v>43108</c:v>
                </c:pt>
                <c:pt idx="45">
                  <c:v>43105</c:v>
                </c:pt>
                <c:pt idx="46">
                  <c:v>43104</c:v>
                </c:pt>
                <c:pt idx="47">
                  <c:v>43103</c:v>
                </c:pt>
                <c:pt idx="48">
                  <c:v>43102</c:v>
                </c:pt>
                <c:pt idx="49">
                  <c:v>43098</c:v>
                </c:pt>
                <c:pt idx="50">
                  <c:v>43097</c:v>
                </c:pt>
                <c:pt idx="51">
                  <c:v>43096</c:v>
                </c:pt>
                <c:pt idx="52">
                  <c:v>43095</c:v>
                </c:pt>
                <c:pt idx="53">
                  <c:v>43091</c:v>
                </c:pt>
                <c:pt idx="54">
                  <c:v>43090</c:v>
                </c:pt>
                <c:pt idx="55">
                  <c:v>43089</c:v>
                </c:pt>
                <c:pt idx="56">
                  <c:v>43088</c:v>
                </c:pt>
                <c:pt idx="57">
                  <c:v>43087</c:v>
                </c:pt>
                <c:pt idx="58">
                  <c:v>43084</c:v>
                </c:pt>
                <c:pt idx="59">
                  <c:v>43083</c:v>
                </c:pt>
                <c:pt idx="60">
                  <c:v>43082</c:v>
                </c:pt>
                <c:pt idx="61">
                  <c:v>43081</c:v>
                </c:pt>
                <c:pt idx="62">
                  <c:v>43080</c:v>
                </c:pt>
                <c:pt idx="63">
                  <c:v>43077</c:v>
                </c:pt>
                <c:pt idx="64">
                  <c:v>43076</c:v>
                </c:pt>
                <c:pt idx="65">
                  <c:v>43075</c:v>
                </c:pt>
                <c:pt idx="66">
                  <c:v>43074</c:v>
                </c:pt>
                <c:pt idx="67">
                  <c:v>43073</c:v>
                </c:pt>
                <c:pt idx="68">
                  <c:v>43070</c:v>
                </c:pt>
                <c:pt idx="69">
                  <c:v>43069</c:v>
                </c:pt>
                <c:pt idx="70">
                  <c:v>43068</c:v>
                </c:pt>
                <c:pt idx="71">
                  <c:v>43067</c:v>
                </c:pt>
                <c:pt idx="72">
                  <c:v>43066</c:v>
                </c:pt>
                <c:pt idx="73">
                  <c:v>43063</c:v>
                </c:pt>
                <c:pt idx="74">
                  <c:v>43061</c:v>
                </c:pt>
                <c:pt idx="75">
                  <c:v>43060</c:v>
                </c:pt>
                <c:pt idx="76">
                  <c:v>43059</c:v>
                </c:pt>
                <c:pt idx="77">
                  <c:v>43056</c:v>
                </c:pt>
                <c:pt idx="78">
                  <c:v>43055</c:v>
                </c:pt>
                <c:pt idx="79">
                  <c:v>43054</c:v>
                </c:pt>
                <c:pt idx="80">
                  <c:v>43053</c:v>
                </c:pt>
                <c:pt idx="81">
                  <c:v>43052</c:v>
                </c:pt>
                <c:pt idx="82">
                  <c:v>43049</c:v>
                </c:pt>
                <c:pt idx="83">
                  <c:v>43048</c:v>
                </c:pt>
                <c:pt idx="84">
                  <c:v>43047</c:v>
                </c:pt>
                <c:pt idx="85">
                  <c:v>43046</c:v>
                </c:pt>
                <c:pt idx="86">
                  <c:v>43045</c:v>
                </c:pt>
                <c:pt idx="87">
                  <c:v>43042</c:v>
                </c:pt>
                <c:pt idx="88">
                  <c:v>43041</c:v>
                </c:pt>
                <c:pt idx="89">
                  <c:v>43040</c:v>
                </c:pt>
                <c:pt idx="90">
                  <c:v>43039</c:v>
                </c:pt>
                <c:pt idx="91">
                  <c:v>43038</c:v>
                </c:pt>
                <c:pt idx="92">
                  <c:v>43035</c:v>
                </c:pt>
                <c:pt idx="93">
                  <c:v>43034</c:v>
                </c:pt>
                <c:pt idx="94">
                  <c:v>43033</c:v>
                </c:pt>
                <c:pt idx="95">
                  <c:v>43032</c:v>
                </c:pt>
                <c:pt idx="96">
                  <c:v>43031</c:v>
                </c:pt>
                <c:pt idx="97">
                  <c:v>43028</c:v>
                </c:pt>
                <c:pt idx="98">
                  <c:v>43027</c:v>
                </c:pt>
                <c:pt idx="99">
                  <c:v>43026</c:v>
                </c:pt>
                <c:pt idx="100">
                  <c:v>43025</c:v>
                </c:pt>
                <c:pt idx="101">
                  <c:v>43024</c:v>
                </c:pt>
                <c:pt idx="102">
                  <c:v>43021</c:v>
                </c:pt>
                <c:pt idx="103">
                  <c:v>43020</c:v>
                </c:pt>
                <c:pt idx="104">
                  <c:v>43019</c:v>
                </c:pt>
                <c:pt idx="105">
                  <c:v>43018</c:v>
                </c:pt>
                <c:pt idx="106">
                  <c:v>43017</c:v>
                </c:pt>
                <c:pt idx="107">
                  <c:v>43014</c:v>
                </c:pt>
                <c:pt idx="108">
                  <c:v>43013</c:v>
                </c:pt>
                <c:pt idx="109">
                  <c:v>43012</c:v>
                </c:pt>
                <c:pt idx="110">
                  <c:v>43011</c:v>
                </c:pt>
                <c:pt idx="111">
                  <c:v>43010</c:v>
                </c:pt>
                <c:pt idx="112">
                  <c:v>43007</c:v>
                </c:pt>
                <c:pt idx="113">
                  <c:v>43006</c:v>
                </c:pt>
                <c:pt idx="114">
                  <c:v>43005</c:v>
                </c:pt>
                <c:pt idx="115">
                  <c:v>43004</c:v>
                </c:pt>
                <c:pt idx="116">
                  <c:v>43003</c:v>
                </c:pt>
                <c:pt idx="117">
                  <c:v>43000</c:v>
                </c:pt>
                <c:pt idx="118">
                  <c:v>42999</c:v>
                </c:pt>
                <c:pt idx="119">
                  <c:v>42998</c:v>
                </c:pt>
                <c:pt idx="120">
                  <c:v>42997</c:v>
                </c:pt>
                <c:pt idx="121">
                  <c:v>42996</c:v>
                </c:pt>
                <c:pt idx="122">
                  <c:v>42993</c:v>
                </c:pt>
                <c:pt idx="123">
                  <c:v>42992</c:v>
                </c:pt>
                <c:pt idx="124">
                  <c:v>42991</c:v>
                </c:pt>
                <c:pt idx="125">
                  <c:v>42990</c:v>
                </c:pt>
                <c:pt idx="126">
                  <c:v>42989</c:v>
                </c:pt>
                <c:pt idx="127">
                  <c:v>42986</c:v>
                </c:pt>
                <c:pt idx="128">
                  <c:v>42985</c:v>
                </c:pt>
                <c:pt idx="129">
                  <c:v>42984</c:v>
                </c:pt>
                <c:pt idx="130">
                  <c:v>42983</c:v>
                </c:pt>
                <c:pt idx="131">
                  <c:v>42979</c:v>
                </c:pt>
                <c:pt idx="132">
                  <c:v>42978</c:v>
                </c:pt>
                <c:pt idx="133">
                  <c:v>42977</c:v>
                </c:pt>
                <c:pt idx="134">
                  <c:v>42976</c:v>
                </c:pt>
                <c:pt idx="135">
                  <c:v>42975</c:v>
                </c:pt>
                <c:pt idx="136">
                  <c:v>42972</c:v>
                </c:pt>
                <c:pt idx="137">
                  <c:v>42971</c:v>
                </c:pt>
                <c:pt idx="138">
                  <c:v>42970</c:v>
                </c:pt>
                <c:pt idx="139">
                  <c:v>42969</c:v>
                </c:pt>
                <c:pt idx="140">
                  <c:v>42968</c:v>
                </c:pt>
                <c:pt idx="141">
                  <c:v>42965</c:v>
                </c:pt>
                <c:pt idx="142">
                  <c:v>42964</c:v>
                </c:pt>
                <c:pt idx="143">
                  <c:v>42963</c:v>
                </c:pt>
                <c:pt idx="144">
                  <c:v>42962</c:v>
                </c:pt>
                <c:pt idx="145">
                  <c:v>42961</c:v>
                </c:pt>
                <c:pt idx="146">
                  <c:v>42958</c:v>
                </c:pt>
                <c:pt idx="147">
                  <c:v>42957</c:v>
                </c:pt>
                <c:pt idx="148">
                  <c:v>42956</c:v>
                </c:pt>
                <c:pt idx="149">
                  <c:v>42955</c:v>
                </c:pt>
                <c:pt idx="150">
                  <c:v>42954</c:v>
                </c:pt>
                <c:pt idx="151">
                  <c:v>42951</c:v>
                </c:pt>
                <c:pt idx="152">
                  <c:v>42950</c:v>
                </c:pt>
                <c:pt idx="153">
                  <c:v>42949</c:v>
                </c:pt>
                <c:pt idx="154">
                  <c:v>42948</c:v>
                </c:pt>
                <c:pt idx="155">
                  <c:v>42947</c:v>
                </c:pt>
                <c:pt idx="156">
                  <c:v>42944</c:v>
                </c:pt>
                <c:pt idx="157">
                  <c:v>42943</c:v>
                </c:pt>
                <c:pt idx="158">
                  <c:v>42942</c:v>
                </c:pt>
                <c:pt idx="159">
                  <c:v>42941</c:v>
                </c:pt>
                <c:pt idx="160">
                  <c:v>42940</c:v>
                </c:pt>
                <c:pt idx="161">
                  <c:v>42937</c:v>
                </c:pt>
                <c:pt idx="162">
                  <c:v>42936</c:v>
                </c:pt>
                <c:pt idx="163">
                  <c:v>42935</c:v>
                </c:pt>
                <c:pt idx="164">
                  <c:v>42934</c:v>
                </c:pt>
                <c:pt idx="165">
                  <c:v>42933</c:v>
                </c:pt>
                <c:pt idx="166">
                  <c:v>42930</c:v>
                </c:pt>
                <c:pt idx="167">
                  <c:v>42929</c:v>
                </c:pt>
                <c:pt idx="168">
                  <c:v>42928</c:v>
                </c:pt>
                <c:pt idx="169">
                  <c:v>42927</c:v>
                </c:pt>
                <c:pt idx="170">
                  <c:v>42926</c:v>
                </c:pt>
                <c:pt idx="171">
                  <c:v>42923</c:v>
                </c:pt>
                <c:pt idx="172">
                  <c:v>42922</c:v>
                </c:pt>
                <c:pt idx="173">
                  <c:v>42921</c:v>
                </c:pt>
                <c:pt idx="174">
                  <c:v>42919</c:v>
                </c:pt>
                <c:pt idx="175">
                  <c:v>42916</c:v>
                </c:pt>
                <c:pt idx="176">
                  <c:v>42915</c:v>
                </c:pt>
                <c:pt idx="177">
                  <c:v>42914</c:v>
                </c:pt>
                <c:pt idx="178">
                  <c:v>42913</c:v>
                </c:pt>
                <c:pt idx="179">
                  <c:v>42912</c:v>
                </c:pt>
                <c:pt idx="180">
                  <c:v>42909</c:v>
                </c:pt>
                <c:pt idx="181">
                  <c:v>42908</c:v>
                </c:pt>
                <c:pt idx="182">
                  <c:v>42907</c:v>
                </c:pt>
                <c:pt idx="183">
                  <c:v>42906</c:v>
                </c:pt>
                <c:pt idx="184">
                  <c:v>42905</c:v>
                </c:pt>
                <c:pt idx="185">
                  <c:v>42902</c:v>
                </c:pt>
                <c:pt idx="186">
                  <c:v>42901</c:v>
                </c:pt>
                <c:pt idx="187">
                  <c:v>42900</c:v>
                </c:pt>
                <c:pt idx="188">
                  <c:v>42899</c:v>
                </c:pt>
                <c:pt idx="189">
                  <c:v>42898</c:v>
                </c:pt>
                <c:pt idx="190">
                  <c:v>42895</c:v>
                </c:pt>
                <c:pt idx="191">
                  <c:v>42894</c:v>
                </c:pt>
                <c:pt idx="192">
                  <c:v>42893</c:v>
                </c:pt>
                <c:pt idx="193">
                  <c:v>42892</c:v>
                </c:pt>
                <c:pt idx="194">
                  <c:v>42891</c:v>
                </c:pt>
                <c:pt idx="195">
                  <c:v>42888</c:v>
                </c:pt>
                <c:pt idx="196">
                  <c:v>42887</c:v>
                </c:pt>
                <c:pt idx="197">
                  <c:v>42886</c:v>
                </c:pt>
                <c:pt idx="198">
                  <c:v>42885</c:v>
                </c:pt>
                <c:pt idx="199">
                  <c:v>42881</c:v>
                </c:pt>
                <c:pt idx="200">
                  <c:v>42880</c:v>
                </c:pt>
                <c:pt idx="201">
                  <c:v>42879</c:v>
                </c:pt>
                <c:pt idx="202">
                  <c:v>42878</c:v>
                </c:pt>
                <c:pt idx="203">
                  <c:v>42877</c:v>
                </c:pt>
                <c:pt idx="204">
                  <c:v>42874</c:v>
                </c:pt>
                <c:pt idx="205">
                  <c:v>42873</c:v>
                </c:pt>
                <c:pt idx="206">
                  <c:v>42872</c:v>
                </c:pt>
                <c:pt idx="207">
                  <c:v>42871</c:v>
                </c:pt>
                <c:pt idx="208">
                  <c:v>42870</c:v>
                </c:pt>
                <c:pt idx="209">
                  <c:v>42867</c:v>
                </c:pt>
                <c:pt idx="210">
                  <c:v>42866</c:v>
                </c:pt>
                <c:pt idx="211">
                  <c:v>42865</c:v>
                </c:pt>
                <c:pt idx="212">
                  <c:v>42864</c:v>
                </c:pt>
                <c:pt idx="213">
                  <c:v>42863</c:v>
                </c:pt>
                <c:pt idx="214">
                  <c:v>42860</c:v>
                </c:pt>
                <c:pt idx="215">
                  <c:v>42859</c:v>
                </c:pt>
                <c:pt idx="216">
                  <c:v>42858</c:v>
                </c:pt>
                <c:pt idx="217">
                  <c:v>42857</c:v>
                </c:pt>
                <c:pt idx="218">
                  <c:v>42856</c:v>
                </c:pt>
                <c:pt idx="219">
                  <c:v>42853</c:v>
                </c:pt>
                <c:pt idx="220">
                  <c:v>42852</c:v>
                </c:pt>
                <c:pt idx="221">
                  <c:v>42851</c:v>
                </c:pt>
                <c:pt idx="222">
                  <c:v>42850</c:v>
                </c:pt>
                <c:pt idx="223">
                  <c:v>42849</c:v>
                </c:pt>
                <c:pt idx="224">
                  <c:v>42846</c:v>
                </c:pt>
                <c:pt idx="225">
                  <c:v>42845</c:v>
                </c:pt>
                <c:pt idx="226">
                  <c:v>42844</c:v>
                </c:pt>
                <c:pt idx="227">
                  <c:v>42843</c:v>
                </c:pt>
                <c:pt idx="228">
                  <c:v>42842</c:v>
                </c:pt>
                <c:pt idx="229">
                  <c:v>42838</c:v>
                </c:pt>
                <c:pt idx="230">
                  <c:v>42837</c:v>
                </c:pt>
                <c:pt idx="231">
                  <c:v>42836</c:v>
                </c:pt>
                <c:pt idx="232">
                  <c:v>42835</c:v>
                </c:pt>
                <c:pt idx="233">
                  <c:v>42832</c:v>
                </c:pt>
                <c:pt idx="234">
                  <c:v>42831</c:v>
                </c:pt>
                <c:pt idx="235">
                  <c:v>42830</c:v>
                </c:pt>
                <c:pt idx="236">
                  <c:v>42829</c:v>
                </c:pt>
                <c:pt idx="237">
                  <c:v>42828</c:v>
                </c:pt>
                <c:pt idx="238">
                  <c:v>42825</c:v>
                </c:pt>
                <c:pt idx="239">
                  <c:v>42824</c:v>
                </c:pt>
                <c:pt idx="240">
                  <c:v>42823</c:v>
                </c:pt>
                <c:pt idx="241">
                  <c:v>42822</c:v>
                </c:pt>
                <c:pt idx="242">
                  <c:v>42821</c:v>
                </c:pt>
                <c:pt idx="243">
                  <c:v>42818</c:v>
                </c:pt>
                <c:pt idx="244">
                  <c:v>42817</c:v>
                </c:pt>
                <c:pt idx="245">
                  <c:v>42816</c:v>
                </c:pt>
                <c:pt idx="246">
                  <c:v>42815</c:v>
                </c:pt>
                <c:pt idx="247">
                  <c:v>42814</c:v>
                </c:pt>
                <c:pt idx="248">
                  <c:v>42811</c:v>
                </c:pt>
                <c:pt idx="249">
                  <c:v>42810</c:v>
                </c:pt>
                <c:pt idx="250">
                  <c:v>42809</c:v>
                </c:pt>
                <c:pt idx="251">
                  <c:v>42808</c:v>
                </c:pt>
                <c:pt idx="252">
                  <c:v>42807</c:v>
                </c:pt>
                <c:pt idx="253">
                  <c:v>42804</c:v>
                </c:pt>
                <c:pt idx="254">
                  <c:v>42803</c:v>
                </c:pt>
                <c:pt idx="255">
                  <c:v>42802</c:v>
                </c:pt>
                <c:pt idx="256">
                  <c:v>42801</c:v>
                </c:pt>
                <c:pt idx="257">
                  <c:v>42800</c:v>
                </c:pt>
                <c:pt idx="258">
                  <c:v>42797</c:v>
                </c:pt>
                <c:pt idx="259">
                  <c:v>42796</c:v>
                </c:pt>
                <c:pt idx="260">
                  <c:v>42795</c:v>
                </c:pt>
                <c:pt idx="261">
                  <c:v>42794</c:v>
                </c:pt>
                <c:pt idx="262">
                  <c:v>42793</c:v>
                </c:pt>
                <c:pt idx="263">
                  <c:v>42790</c:v>
                </c:pt>
                <c:pt idx="264">
                  <c:v>42789</c:v>
                </c:pt>
                <c:pt idx="265">
                  <c:v>42788</c:v>
                </c:pt>
                <c:pt idx="266">
                  <c:v>42787</c:v>
                </c:pt>
                <c:pt idx="267">
                  <c:v>42783</c:v>
                </c:pt>
                <c:pt idx="268">
                  <c:v>42782</c:v>
                </c:pt>
                <c:pt idx="269">
                  <c:v>42781</c:v>
                </c:pt>
                <c:pt idx="270">
                  <c:v>42780</c:v>
                </c:pt>
                <c:pt idx="271">
                  <c:v>42779</c:v>
                </c:pt>
                <c:pt idx="272">
                  <c:v>42776</c:v>
                </c:pt>
                <c:pt idx="273">
                  <c:v>42775</c:v>
                </c:pt>
                <c:pt idx="274">
                  <c:v>42774</c:v>
                </c:pt>
                <c:pt idx="275">
                  <c:v>42773</c:v>
                </c:pt>
                <c:pt idx="276">
                  <c:v>42772</c:v>
                </c:pt>
                <c:pt idx="277">
                  <c:v>42769</c:v>
                </c:pt>
                <c:pt idx="278">
                  <c:v>42768</c:v>
                </c:pt>
                <c:pt idx="279">
                  <c:v>42767</c:v>
                </c:pt>
                <c:pt idx="280">
                  <c:v>42766</c:v>
                </c:pt>
                <c:pt idx="281">
                  <c:v>42765</c:v>
                </c:pt>
                <c:pt idx="282">
                  <c:v>42762</c:v>
                </c:pt>
                <c:pt idx="283">
                  <c:v>42761</c:v>
                </c:pt>
                <c:pt idx="284">
                  <c:v>42760</c:v>
                </c:pt>
                <c:pt idx="285">
                  <c:v>42759</c:v>
                </c:pt>
                <c:pt idx="286">
                  <c:v>42758</c:v>
                </c:pt>
                <c:pt idx="287">
                  <c:v>42755</c:v>
                </c:pt>
                <c:pt idx="288">
                  <c:v>42754</c:v>
                </c:pt>
                <c:pt idx="289">
                  <c:v>42753</c:v>
                </c:pt>
                <c:pt idx="290">
                  <c:v>42752</c:v>
                </c:pt>
                <c:pt idx="291">
                  <c:v>42748</c:v>
                </c:pt>
                <c:pt idx="292">
                  <c:v>42747</c:v>
                </c:pt>
                <c:pt idx="293">
                  <c:v>42746</c:v>
                </c:pt>
                <c:pt idx="294">
                  <c:v>42745</c:v>
                </c:pt>
                <c:pt idx="295">
                  <c:v>42744</c:v>
                </c:pt>
                <c:pt idx="296">
                  <c:v>42741</c:v>
                </c:pt>
                <c:pt idx="297">
                  <c:v>42740</c:v>
                </c:pt>
                <c:pt idx="298">
                  <c:v>42739</c:v>
                </c:pt>
                <c:pt idx="299">
                  <c:v>42738</c:v>
                </c:pt>
                <c:pt idx="300">
                  <c:v>42734</c:v>
                </c:pt>
                <c:pt idx="301">
                  <c:v>42733</c:v>
                </c:pt>
                <c:pt idx="302">
                  <c:v>42732</c:v>
                </c:pt>
                <c:pt idx="303">
                  <c:v>42731</c:v>
                </c:pt>
                <c:pt idx="304">
                  <c:v>42727</c:v>
                </c:pt>
                <c:pt idx="305">
                  <c:v>42726</c:v>
                </c:pt>
                <c:pt idx="306">
                  <c:v>42725</c:v>
                </c:pt>
                <c:pt idx="307">
                  <c:v>42724</c:v>
                </c:pt>
                <c:pt idx="308">
                  <c:v>42723</c:v>
                </c:pt>
                <c:pt idx="309">
                  <c:v>42720</c:v>
                </c:pt>
                <c:pt idx="310">
                  <c:v>42719</c:v>
                </c:pt>
                <c:pt idx="311">
                  <c:v>42718</c:v>
                </c:pt>
                <c:pt idx="312">
                  <c:v>42717</c:v>
                </c:pt>
                <c:pt idx="313">
                  <c:v>42716</c:v>
                </c:pt>
                <c:pt idx="314">
                  <c:v>42713</c:v>
                </c:pt>
                <c:pt idx="315">
                  <c:v>42712</c:v>
                </c:pt>
                <c:pt idx="316">
                  <c:v>42711</c:v>
                </c:pt>
                <c:pt idx="317">
                  <c:v>42710</c:v>
                </c:pt>
                <c:pt idx="318">
                  <c:v>42709</c:v>
                </c:pt>
                <c:pt idx="319">
                  <c:v>42706</c:v>
                </c:pt>
                <c:pt idx="320">
                  <c:v>42705</c:v>
                </c:pt>
                <c:pt idx="321">
                  <c:v>42704</c:v>
                </c:pt>
                <c:pt idx="322">
                  <c:v>42703</c:v>
                </c:pt>
                <c:pt idx="323">
                  <c:v>42702</c:v>
                </c:pt>
                <c:pt idx="324">
                  <c:v>42699</c:v>
                </c:pt>
                <c:pt idx="325">
                  <c:v>42697</c:v>
                </c:pt>
                <c:pt idx="326">
                  <c:v>42696</c:v>
                </c:pt>
                <c:pt idx="327">
                  <c:v>42695</c:v>
                </c:pt>
                <c:pt idx="328">
                  <c:v>42692</c:v>
                </c:pt>
                <c:pt idx="329">
                  <c:v>42691</c:v>
                </c:pt>
                <c:pt idx="330">
                  <c:v>42690</c:v>
                </c:pt>
                <c:pt idx="331">
                  <c:v>42689</c:v>
                </c:pt>
                <c:pt idx="332">
                  <c:v>42688</c:v>
                </c:pt>
                <c:pt idx="333">
                  <c:v>42685</c:v>
                </c:pt>
                <c:pt idx="334">
                  <c:v>42684</c:v>
                </c:pt>
                <c:pt idx="335">
                  <c:v>42683</c:v>
                </c:pt>
                <c:pt idx="336">
                  <c:v>42682</c:v>
                </c:pt>
                <c:pt idx="337">
                  <c:v>42681</c:v>
                </c:pt>
                <c:pt idx="338">
                  <c:v>42678</c:v>
                </c:pt>
                <c:pt idx="339">
                  <c:v>42677</c:v>
                </c:pt>
                <c:pt idx="340">
                  <c:v>42676</c:v>
                </c:pt>
                <c:pt idx="341">
                  <c:v>42675</c:v>
                </c:pt>
                <c:pt idx="342">
                  <c:v>42674</c:v>
                </c:pt>
                <c:pt idx="343">
                  <c:v>42671</c:v>
                </c:pt>
                <c:pt idx="344">
                  <c:v>42670</c:v>
                </c:pt>
                <c:pt idx="345">
                  <c:v>42669</c:v>
                </c:pt>
                <c:pt idx="346">
                  <c:v>42668</c:v>
                </c:pt>
                <c:pt idx="347">
                  <c:v>42667</c:v>
                </c:pt>
                <c:pt idx="348">
                  <c:v>42664</c:v>
                </c:pt>
                <c:pt idx="349">
                  <c:v>42663</c:v>
                </c:pt>
                <c:pt idx="350">
                  <c:v>42662</c:v>
                </c:pt>
                <c:pt idx="351">
                  <c:v>42661</c:v>
                </c:pt>
                <c:pt idx="352">
                  <c:v>42660</c:v>
                </c:pt>
                <c:pt idx="353">
                  <c:v>42657</c:v>
                </c:pt>
                <c:pt idx="354">
                  <c:v>42656</c:v>
                </c:pt>
                <c:pt idx="355">
                  <c:v>42655</c:v>
                </c:pt>
                <c:pt idx="356">
                  <c:v>42654</c:v>
                </c:pt>
                <c:pt idx="357">
                  <c:v>42653</c:v>
                </c:pt>
                <c:pt idx="358">
                  <c:v>42650</c:v>
                </c:pt>
                <c:pt idx="359">
                  <c:v>42649</c:v>
                </c:pt>
                <c:pt idx="360">
                  <c:v>42648</c:v>
                </c:pt>
                <c:pt idx="361">
                  <c:v>42647</c:v>
                </c:pt>
                <c:pt idx="362">
                  <c:v>42646</c:v>
                </c:pt>
                <c:pt idx="363">
                  <c:v>42643</c:v>
                </c:pt>
                <c:pt idx="364">
                  <c:v>42642</c:v>
                </c:pt>
                <c:pt idx="365">
                  <c:v>42641</c:v>
                </c:pt>
                <c:pt idx="366">
                  <c:v>42640</c:v>
                </c:pt>
                <c:pt idx="367">
                  <c:v>42639</c:v>
                </c:pt>
                <c:pt idx="368">
                  <c:v>42636</c:v>
                </c:pt>
                <c:pt idx="369">
                  <c:v>42635</c:v>
                </c:pt>
                <c:pt idx="370">
                  <c:v>42634</c:v>
                </c:pt>
                <c:pt idx="371">
                  <c:v>42633</c:v>
                </c:pt>
                <c:pt idx="372">
                  <c:v>42632</c:v>
                </c:pt>
                <c:pt idx="373">
                  <c:v>42629</c:v>
                </c:pt>
                <c:pt idx="374">
                  <c:v>42628</c:v>
                </c:pt>
                <c:pt idx="375">
                  <c:v>42627</c:v>
                </c:pt>
                <c:pt idx="376">
                  <c:v>42626</c:v>
                </c:pt>
                <c:pt idx="377">
                  <c:v>42625</c:v>
                </c:pt>
                <c:pt idx="378">
                  <c:v>42622</c:v>
                </c:pt>
                <c:pt idx="379">
                  <c:v>42621</c:v>
                </c:pt>
                <c:pt idx="380">
                  <c:v>42620</c:v>
                </c:pt>
                <c:pt idx="381">
                  <c:v>42619</c:v>
                </c:pt>
                <c:pt idx="382">
                  <c:v>42615</c:v>
                </c:pt>
                <c:pt idx="383">
                  <c:v>42614</c:v>
                </c:pt>
                <c:pt idx="384">
                  <c:v>42613</c:v>
                </c:pt>
                <c:pt idx="385">
                  <c:v>42612</c:v>
                </c:pt>
                <c:pt idx="386">
                  <c:v>42611</c:v>
                </c:pt>
                <c:pt idx="387">
                  <c:v>42608</c:v>
                </c:pt>
                <c:pt idx="388">
                  <c:v>42607</c:v>
                </c:pt>
                <c:pt idx="389">
                  <c:v>42606</c:v>
                </c:pt>
                <c:pt idx="390">
                  <c:v>42605</c:v>
                </c:pt>
                <c:pt idx="391">
                  <c:v>42604</c:v>
                </c:pt>
                <c:pt idx="392">
                  <c:v>42601</c:v>
                </c:pt>
                <c:pt idx="393">
                  <c:v>42600</c:v>
                </c:pt>
                <c:pt idx="394">
                  <c:v>42599</c:v>
                </c:pt>
                <c:pt idx="395">
                  <c:v>42598</c:v>
                </c:pt>
                <c:pt idx="396">
                  <c:v>42597</c:v>
                </c:pt>
                <c:pt idx="397">
                  <c:v>42594</c:v>
                </c:pt>
                <c:pt idx="398">
                  <c:v>42593</c:v>
                </c:pt>
                <c:pt idx="399">
                  <c:v>42592</c:v>
                </c:pt>
                <c:pt idx="400">
                  <c:v>42591</c:v>
                </c:pt>
                <c:pt idx="401">
                  <c:v>42590</c:v>
                </c:pt>
                <c:pt idx="402">
                  <c:v>42587</c:v>
                </c:pt>
                <c:pt idx="403">
                  <c:v>42586</c:v>
                </c:pt>
                <c:pt idx="404">
                  <c:v>42585</c:v>
                </c:pt>
                <c:pt idx="405">
                  <c:v>42584</c:v>
                </c:pt>
                <c:pt idx="406">
                  <c:v>42583</c:v>
                </c:pt>
                <c:pt idx="407">
                  <c:v>42580</c:v>
                </c:pt>
                <c:pt idx="408">
                  <c:v>42579</c:v>
                </c:pt>
                <c:pt idx="409">
                  <c:v>42578</c:v>
                </c:pt>
                <c:pt idx="410">
                  <c:v>42577</c:v>
                </c:pt>
                <c:pt idx="411">
                  <c:v>42576</c:v>
                </c:pt>
                <c:pt idx="412">
                  <c:v>42573</c:v>
                </c:pt>
                <c:pt idx="413">
                  <c:v>42572</c:v>
                </c:pt>
                <c:pt idx="414">
                  <c:v>42571</c:v>
                </c:pt>
                <c:pt idx="415">
                  <c:v>42570</c:v>
                </c:pt>
                <c:pt idx="416">
                  <c:v>42569</c:v>
                </c:pt>
                <c:pt idx="417">
                  <c:v>42566</c:v>
                </c:pt>
                <c:pt idx="418">
                  <c:v>42565</c:v>
                </c:pt>
                <c:pt idx="419">
                  <c:v>42564</c:v>
                </c:pt>
                <c:pt idx="420">
                  <c:v>42563</c:v>
                </c:pt>
                <c:pt idx="421">
                  <c:v>42562</c:v>
                </c:pt>
                <c:pt idx="422">
                  <c:v>42559</c:v>
                </c:pt>
                <c:pt idx="423">
                  <c:v>42558</c:v>
                </c:pt>
                <c:pt idx="424">
                  <c:v>42557</c:v>
                </c:pt>
                <c:pt idx="425">
                  <c:v>42556</c:v>
                </c:pt>
                <c:pt idx="426">
                  <c:v>42552</c:v>
                </c:pt>
                <c:pt idx="427">
                  <c:v>42551</c:v>
                </c:pt>
                <c:pt idx="428">
                  <c:v>42550</c:v>
                </c:pt>
                <c:pt idx="429">
                  <c:v>42549</c:v>
                </c:pt>
                <c:pt idx="430">
                  <c:v>42548</c:v>
                </c:pt>
                <c:pt idx="431">
                  <c:v>42545</c:v>
                </c:pt>
                <c:pt idx="432">
                  <c:v>42544</c:v>
                </c:pt>
                <c:pt idx="433">
                  <c:v>42543</c:v>
                </c:pt>
                <c:pt idx="434">
                  <c:v>42542</c:v>
                </c:pt>
                <c:pt idx="435">
                  <c:v>42541</c:v>
                </c:pt>
                <c:pt idx="436">
                  <c:v>42538</c:v>
                </c:pt>
                <c:pt idx="437">
                  <c:v>42537</c:v>
                </c:pt>
                <c:pt idx="438">
                  <c:v>42536</c:v>
                </c:pt>
                <c:pt idx="439">
                  <c:v>42535</c:v>
                </c:pt>
                <c:pt idx="440">
                  <c:v>42534</c:v>
                </c:pt>
                <c:pt idx="441">
                  <c:v>42531</c:v>
                </c:pt>
                <c:pt idx="442">
                  <c:v>42530</c:v>
                </c:pt>
                <c:pt idx="443">
                  <c:v>42529</c:v>
                </c:pt>
                <c:pt idx="444">
                  <c:v>42528</c:v>
                </c:pt>
                <c:pt idx="445">
                  <c:v>42527</c:v>
                </c:pt>
                <c:pt idx="446">
                  <c:v>42524</c:v>
                </c:pt>
                <c:pt idx="447">
                  <c:v>42523</c:v>
                </c:pt>
                <c:pt idx="448">
                  <c:v>42522</c:v>
                </c:pt>
                <c:pt idx="449">
                  <c:v>42521</c:v>
                </c:pt>
                <c:pt idx="450">
                  <c:v>42517</c:v>
                </c:pt>
                <c:pt idx="451">
                  <c:v>42516</c:v>
                </c:pt>
                <c:pt idx="452">
                  <c:v>42515</c:v>
                </c:pt>
                <c:pt idx="453">
                  <c:v>42514</c:v>
                </c:pt>
                <c:pt idx="454">
                  <c:v>42513</c:v>
                </c:pt>
                <c:pt idx="455">
                  <c:v>42510</c:v>
                </c:pt>
                <c:pt idx="456">
                  <c:v>42509</c:v>
                </c:pt>
                <c:pt idx="457">
                  <c:v>42508</c:v>
                </c:pt>
                <c:pt idx="458">
                  <c:v>42507</c:v>
                </c:pt>
                <c:pt idx="459">
                  <c:v>42506</c:v>
                </c:pt>
                <c:pt idx="460">
                  <c:v>42503</c:v>
                </c:pt>
                <c:pt idx="461">
                  <c:v>42502</c:v>
                </c:pt>
                <c:pt idx="462">
                  <c:v>42501</c:v>
                </c:pt>
                <c:pt idx="463">
                  <c:v>42500</c:v>
                </c:pt>
                <c:pt idx="464">
                  <c:v>42499</c:v>
                </c:pt>
                <c:pt idx="465">
                  <c:v>42496</c:v>
                </c:pt>
                <c:pt idx="466">
                  <c:v>42495</c:v>
                </c:pt>
                <c:pt idx="467">
                  <c:v>42494</c:v>
                </c:pt>
                <c:pt idx="468">
                  <c:v>42493</c:v>
                </c:pt>
                <c:pt idx="469">
                  <c:v>42492</c:v>
                </c:pt>
                <c:pt idx="470">
                  <c:v>42489</c:v>
                </c:pt>
                <c:pt idx="471">
                  <c:v>42488</c:v>
                </c:pt>
                <c:pt idx="472">
                  <c:v>42487</c:v>
                </c:pt>
                <c:pt idx="473">
                  <c:v>42486</c:v>
                </c:pt>
                <c:pt idx="474">
                  <c:v>42485</c:v>
                </c:pt>
                <c:pt idx="475">
                  <c:v>42482</c:v>
                </c:pt>
                <c:pt idx="476">
                  <c:v>42481</c:v>
                </c:pt>
                <c:pt idx="477">
                  <c:v>42480</c:v>
                </c:pt>
                <c:pt idx="478">
                  <c:v>42479</c:v>
                </c:pt>
                <c:pt idx="479">
                  <c:v>42478</c:v>
                </c:pt>
                <c:pt idx="480">
                  <c:v>42475</c:v>
                </c:pt>
                <c:pt idx="481">
                  <c:v>42474</c:v>
                </c:pt>
                <c:pt idx="482">
                  <c:v>42473</c:v>
                </c:pt>
                <c:pt idx="483">
                  <c:v>42472</c:v>
                </c:pt>
                <c:pt idx="484">
                  <c:v>42471</c:v>
                </c:pt>
                <c:pt idx="485">
                  <c:v>42468</c:v>
                </c:pt>
                <c:pt idx="486">
                  <c:v>42467</c:v>
                </c:pt>
                <c:pt idx="487">
                  <c:v>42466</c:v>
                </c:pt>
                <c:pt idx="488">
                  <c:v>42465</c:v>
                </c:pt>
                <c:pt idx="489">
                  <c:v>42464</c:v>
                </c:pt>
                <c:pt idx="490">
                  <c:v>42461</c:v>
                </c:pt>
                <c:pt idx="491">
                  <c:v>42460</c:v>
                </c:pt>
                <c:pt idx="492">
                  <c:v>42459</c:v>
                </c:pt>
                <c:pt idx="493">
                  <c:v>42458</c:v>
                </c:pt>
                <c:pt idx="494">
                  <c:v>42457</c:v>
                </c:pt>
                <c:pt idx="495">
                  <c:v>42453</c:v>
                </c:pt>
                <c:pt idx="496">
                  <c:v>42452</c:v>
                </c:pt>
                <c:pt idx="497">
                  <c:v>42451</c:v>
                </c:pt>
                <c:pt idx="498">
                  <c:v>42450</c:v>
                </c:pt>
                <c:pt idx="499">
                  <c:v>42447</c:v>
                </c:pt>
                <c:pt idx="500">
                  <c:v>42446</c:v>
                </c:pt>
                <c:pt idx="501">
                  <c:v>42445</c:v>
                </c:pt>
                <c:pt idx="502">
                  <c:v>42444</c:v>
                </c:pt>
                <c:pt idx="503">
                  <c:v>42443</c:v>
                </c:pt>
                <c:pt idx="504">
                  <c:v>42440</c:v>
                </c:pt>
                <c:pt idx="505">
                  <c:v>42439</c:v>
                </c:pt>
                <c:pt idx="506">
                  <c:v>42438</c:v>
                </c:pt>
                <c:pt idx="507">
                  <c:v>42437</c:v>
                </c:pt>
                <c:pt idx="508">
                  <c:v>42436</c:v>
                </c:pt>
                <c:pt idx="509">
                  <c:v>42433</c:v>
                </c:pt>
                <c:pt idx="510">
                  <c:v>42432</c:v>
                </c:pt>
                <c:pt idx="511">
                  <c:v>42431</c:v>
                </c:pt>
                <c:pt idx="512">
                  <c:v>42430</c:v>
                </c:pt>
                <c:pt idx="513">
                  <c:v>42429</c:v>
                </c:pt>
                <c:pt idx="514">
                  <c:v>42426</c:v>
                </c:pt>
                <c:pt idx="515">
                  <c:v>42425</c:v>
                </c:pt>
                <c:pt idx="516">
                  <c:v>42424</c:v>
                </c:pt>
                <c:pt idx="517">
                  <c:v>42423</c:v>
                </c:pt>
                <c:pt idx="518">
                  <c:v>42422</c:v>
                </c:pt>
                <c:pt idx="519">
                  <c:v>42419</c:v>
                </c:pt>
                <c:pt idx="520">
                  <c:v>42418</c:v>
                </c:pt>
                <c:pt idx="521">
                  <c:v>42417</c:v>
                </c:pt>
                <c:pt idx="522">
                  <c:v>42416</c:v>
                </c:pt>
                <c:pt idx="523">
                  <c:v>42412</c:v>
                </c:pt>
                <c:pt idx="524">
                  <c:v>42411</c:v>
                </c:pt>
                <c:pt idx="525">
                  <c:v>42410</c:v>
                </c:pt>
                <c:pt idx="526">
                  <c:v>42409</c:v>
                </c:pt>
                <c:pt idx="527">
                  <c:v>42408</c:v>
                </c:pt>
                <c:pt idx="528">
                  <c:v>42405</c:v>
                </c:pt>
                <c:pt idx="529">
                  <c:v>42404</c:v>
                </c:pt>
                <c:pt idx="530">
                  <c:v>42403</c:v>
                </c:pt>
                <c:pt idx="531">
                  <c:v>42402</c:v>
                </c:pt>
                <c:pt idx="532">
                  <c:v>42401</c:v>
                </c:pt>
                <c:pt idx="533">
                  <c:v>42398</c:v>
                </c:pt>
                <c:pt idx="534">
                  <c:v>42397</c:v>
                </c:pt>
                <c:pt idx="535">
                  <c:v>42396</c:v>
                </c:pt>
                <c:pt idx="536">
                  <c:v>42395</c:v>
                </c:pt>
                <c:pt idx="537">
                  <c:v>42394</c:v>
                </c:pt>
                <c:pt idx="538">
                  <c:v>42391</c:v>
                </c:pt>
                <c:pt idx="539">
                  <c:v>42390</c:v>
                </c:pt>
                <c:pt idx="540">
                  <c:v>42389</c:v>
                </c:pt>
                <c:pt idx="541">
                  <c:v>42388</c:v>
                </c:pt>
                <c:pt idx="542">
                  <c:v>42384</c:v>
                </c:pt>
                <c:pt idx="543">
                  <c:v>42383</c:v>
                </c:pt>
                <c:pt idx="544">
                  <c:v>42382</c:v>
                </c:pt>
                <c:pt idx="545">
                  <c:v>42381</c:v>
                </c:pt>
                <c:pt idx="546">
                  <c:v>42380</c:v>
                </c:pt>
                <c:pt idx="547">
                  <c:v>42377</c:v>
                </c:pt>
                <c:pt idx="548">
                  <c:v>42376</c:v>
                </c:pt>
                <c:pt idx="549">
                  <c:v>42375</c:v>
                </c:pt>
                <c:pt idx="550">
                  <c:v>42374</c:v>
                </c:pt>
                <c:pt idx="551">
                  <c:v>42373</c:v>
                </c:pt>
              </c:numCache>
            </c:numRef>
          </c:cat>
          <c:val>
            <c:numRef>
              <c:f>'Graf 3+4'!$J$3:$J$554</c:f>
              <c:numCache>
                <c:formatCode>General</c:formatCode>
                <c:ptCount val="552"/>
                <c:pt idx="0">
                  <c:v>65.3</c:v>
                </c:pt>
                <c:pt idx="1">
                  <c:v>64.95</c:v>
                </c:pt>
                <c:pt idx="2">
                  <c:v>65.489999999999995</c:v>
                </c:pt>
                <c:pt idx="3">
                  <c:v>63.61</c:v>
                </c:pt>
                <c:pt idx="4">
                  <c:v>64.34</c:v>
                </c:pt>
                <c:pt idx="5">
                  <c:v>65.790000000000006</c:v>
                </c:pt>
                <c:pt idx="6">
                  <c:v>65.540000000000006</c:v>
                </c:pt>
                <c:pt idx="7">
                  <c:v>64.37</c:v>
                </c:pt>
                <c:pt idx="8">
                  <c:v>63.83</c:v>
                </c:pt>
                <c:pt idx="9">
                  <c:v>65.78</c:v>
                </c:pt>
                <c:pt idx="10">
                  <c:v>66.63</c:v>
                </c:pt>
                <c:pt idx="11">
                  <c:v>67.5</c:v>
                </c:pt>
                <c:pt idx="12">
                  <c:v>67.31</c:v>
                </c:pt>
                <c:pt idx="13">
                  <c:v>66.39</c:v>
                </c:pt>
                <c:pt idx="14">
                  <c:v>65.42</c:v>
                </c:pt>
                <c:pt idx="15">
                  <c:v>65.25</c:v>
                </c:pt>
                <c:pt idx="16">
                  <c:v>64.84</c:v>
                </c:pt>
                <c:pt idx="17">
                  <c:v>64.33</c:v>
                </c:pt>
                <c:pt idx="18">
                  <c:v>64.36</c:v>
                </c:pt>
                <c:pt idx="19">
                  <c:v>62.72</c:v>
                </c:pt>
                <c:pt idx="20">
                  <c:v>62.59</c:v>
                </c:pt>
                <c:pt idx="21">
                  <c:v>62.79</c:v>
                </c:pt>
                <c:pt idx="22">
                  <c:v>64.81</c:v>
                </c:pt>
                <c:pt idx="23">
                  <c:v>65.510000000000005</c:v>
                </c:pt>
                <c:pt idx="24">
                  <c:v>66.86</c:v>
                </c:pt>
                <c:pt idx="25">
                  <c:v>67.62</c:v>
                </c:pt>
                <c:pt idx="26">
                  <c:v>68.58</c:v>
                </c:pt>
                <c:pt idx="27">
                  <c:v>69.650000000000006</c:v>
                </c:pt>
                <c:pt idx="28">
                  <c:v>69.05</c:v>
                </c:pt>
                <c:pt idx="29">
                  <c:v>69.02</c:v>
                </c:pt>
                <c:pt idx="30">
                  <c:v>69.459999999999994</c:v>
                </c:pt>
                <c:pt idx="31">
                  <c:v>70.52</c:v>
                </c:pt>
                <c:pt idx="32">
                  <c:v>70.42</c:v>
                </c:pt>
                <c:pt idx="33">
                  <c:v>70.53</c:v>
                </c:pt>
                <c:pt idx="34">
                  <c:v>69.959999999999994</c:v>
                </c:pt>
                <c:pt idx="35">
                  <c:v>69.03</c:v>
                </c:pt>
                <c:pt idx="36">
                  <c:v>68.61</c:v>
                </c:pt>
                <c:pt idx="37">
                  <c:v>69.31</c:v>
                </c:pt>
                <c:pt idx="38">
                  <c:v>69.38</c:v>
                </c:pt>
                <c:pt idx="39">
                  <c:v>69.150000000000006</c:v>
                </c:pt>
                <c:pt idx="40">
                  <c:v>69.87</c:v>
                </c:pt>
                <c:pt idx="41">
                  <c:v>69.260000000000005</c:v>
                </c:pt>
                <c:pt idx="42">
                  <c:v>69.2</c:v>
                </c:pt>
                <c:pt idx="43">
                  <c:v>68.819999999999993</c:v>
                </c:pt>
                <c:pt idx="44">
                  <c:v>67.78</c:v>
                </c:pt>
                <c:pt idx="45">
                  <c:v>67.62</c:v>
                </c:pt>
                <c:pt idx="46">
                  <c:v>68.069999999999993</c:v>
                </c:pt>
                <c:pt idx="47">
                  <c:v>67.84</c:v>
                </c:pt>
                <c:pt idx="48">
                  <c:v>66.569999999999993</c:v>
                </c:pt>
                <c:pt idx="49">
                  <c:v>66.87</c:v>
                </c:pt>
                <c:pt idx="50">
                  <c:v>66.72</c:v>
                </c:pt>
                <c:pt idx="51">
                  <c:v>66.44</c:v>
                </c:pt>
                <c:pt idx="52">
                  <c:v>67.02</c:v>
                </c:pt>
                <c:pt idx="53">
                  <c:v>65.25</c:v>
                </c:pt>
                <c:pt idx="54">
                  <c:v>64.900000000000006</c:v>
                </c:pt>
                <c:pt idx="55">
                  <c:v>64.56</c:v>
                </c:pt>
                <c:pt idx="56">
                  <c:v>63.8</c:v>
                </c:pt>
                <c:pt idx="57">
                  <c:v>63.41</c:v>
                </c:pt>
                <c:pt idx="58">
                  <c:v>63.23</c:v>
                </c:pt>
                <c:pt idx="59">
                  <c:v>63.31</c:v>
                </c:pt>
                <c:pt idx="60">
                  <c:v>62.44</c:v>
                </c:pt>
                <c:pt idx="61">
                  <c:v>63.34</c:v>
                </c:pt>
                <c:pt idx="62">
                  <c:v>64.69</c:v>
                </c:pt>
                <c:pt idx="63">
                  <c:v>63.4</c:v>
                </c:pt>
                <c:pt idx="64">
                  <c:v>62.2</c:v>
                </c:pt>
                <c:pt idx="65">
                  <c:v>61.22</c:v>
                </c:pt>
                <c:pt idx="66">
                  <c:v>62.86</c:v>
                </c:pt>
                <c:pt idx="67">
                  <c:v>62.45</c:v>
                </c:pt>
                <c:pt idx="68">
                  <c:v>63.73</c:v>
                </c:pt>
                <c:pt idx="69">
                  <c:v>63.57</c:v>
                </c:pt>
                <c:pt idx="70">
                  <c:v>63.11</c:v>
                </c:pt>
                <c:pt idx="71">
                  <c:v>63.61</c:v>
                </c:pt>
                <c:pt idx="72">
                  <c:v>63.84</c:v>
                </c:pt>
                <c:pt idx="73">
                  <c:v>63.86</c:v>
                </c:pt>
                <c:pt idx="74">
                  <c:v>63.32</c:v>
                </c:pt>
                <c:pt idx="75">
                  <c:v>62.57</c:v>
                </c:pt>
                <c:pt idx="76">
                  <c:v>62.22</c:v>
                </c:pt>
                <c:pt idx="77">
                  <c:v>62.72</c:v>
                </c:pt>
                <c:pt idx="78">
                  <c:v>61.36</c:v>
                </c:pt>
                <c:pt idx="79">
                  <c:v>61.87</c:v>
                </c:pt>
                <c:pt idx="80">
                  <c:v>62.21</c:v>
                </c:pt>
                <c:pt idx="81">
                  <c:v>63.16</c:v>
                </c:pt>
                <c:pt idx="82">
                  <c:v>63.52</c:v>
                </c:pt>
                <c:pt idx="83">
                  <c:v>63.93</c:v>
                </c:pt>
                <c:pt idx="84">
                  <c:v>63.49</c:v>
                </c:pt>
                <c:pt idx="85">
                  <c:v>63.69</c:v>
                </c:pt>
                <c:pt idx="86">
                  <c:v>64.27</c:v>
                </c:pt>
                <c:pt idx="87">
                  <c:v>62.07</c:v>
                </c:pt>
                <c:pt idx="88">
                  <c:v>60.62</c:v>
                </c:pt>
                <c:pt idx="89">
                  <c:v>60.49</c:v>
                </c:pt>
                <c:pt idx="90">
                  <c:v>61.37</c:v>
                </c:pt>
                <c:pt idx="91">
                  <c:v>60.9</c:v>
                </c:pt>
                <c:pt idx="92">
                  <c:v>60.44</c:v>
                </c:pt>
                <c:pt idx="93">
                  <c:v>59.3</c:v>
                </c:pt>
                <c:pt idx="94">
                  <c:v>58.44</c:v>
                </c:pt>
                <c:pt idx="95">
                  <c:v>58.33</c:v>
                </c:pt>
                <c:pt idx="96">
                  <c:v>57.37</c:v>
                </c:pt>
                <c:pt idx="97">
                  <c:v>57.75</c:v>
                </c:pt>
                <c:pt idx="98">
                  <c:v>57.23</c:v>
                </c:pt>
                <c:pt idx="99">
                  <c:v>58.15</c:v>
                </c:pt>
                <c:pt idx="100">
                  <c:v>57.88</c:v>
                </c:pt>
                <c:pt idx="101">
                  <c:v>57.82</c:v>
                </c:pt>
                <c:pt idx="102">
                  <c:v>57.17</c:v>
                </c:pt>
                <c:pt idx="103">
                  <c:v>56.25</c:v>
                </c:pt>
                <c:pt idx="104">
                  <c:v>56.94</c:v>
                </c:pt>
                <c:pt idx="105">
                  <c:v>56.61</c:v>
                </c:pt>
                <c:pt idx="106">
                  <c:v>55.79</c:v>
                </c:pt>
                <c:pt idx="107">
                  <c:v>55.62</c:v>
                </c:pt>
                <c:pt idx="108">
                  <c:v>57</c:v>
                </c:pt>
                <c:pt idx="109">
                  <c:v>55.8</c:v>
                </c:pt>
                <c:pt idx="110">
                  <c:v>56</c:v>
                </c:pt>
                <c:pt idx="111">
                  <c:v>56.12</c:v>
                </c:pt>
                <c:pt idx="112">
                  <c:v>57.54</c:v>
                </c:pt>
                <c:pt idx="113">
                  <c:v>57.41</c:v>
                </c:pt>
                <c:pt idx="114">
                  <c:v>57.9</c:v>
                </c:pt>
                <c:pt idx="115">
                  <c:v>58.44</c:v>
                </c:pt>
                <c:pt idx="116">
                  <c:v>59.02</c:v>
                </c:pt>
                <c:pt idx="117">
                  <c:v>56.86</c:v>
                </c:pt>
                <c:pt idx="118">
                  <c:v>56.43</c:v>
                </c:pt>
                <c:pt idx="119">
                  <c:v>56.29</c:v>
                </c:pt>
                <c:pt idx="120">
                  <c:v>55.14</c:v>
                </c:pt>
                <c:pt idx="121">
                  <c:v>55.48</c:v>
                </c:pt>
                <c:pt idx="122">
                  <c:v>55.62</c:v>
                </c:pt>
                <c:pt idx="123">
                  <c:v>55.47</c:v>
                </c:pt>
                <c:pt idx="124">
                  <c:v>55.16</c:v>
                </c:pt>
                <c:pt idx="125">
                  <c:v>54.27</c:v>
                </c:pt>
                <c:pt idx="126">
                  <c:v>53.84</c:v>
                </c:pt>
                <c:pt idx="127">
                  <c:v>53.78</c:v>
                </c:pt>
                <c:pt idx="128">
                  <c:v>54.49</c:v>
                </c:pt>
                <c:pt idx="129">
                  <c:v>54.2</c:v>
                </c:pt>
                <c:pt idx="130">
                  <c:v>53.38</c:v>
                </c:pt>
                <c:pt idx="131">
                  <c:v>52.75</c:v>
                </c:pt>
                <c:pt idx="132">
                  <c:v>52.38</c:v>
                </c:pt>
                <c:pt idx="133">
                  <c:v>50.86</c:v>
                </c:pt>
                <c:pt idx="134">
                  <c:v>52</c:v>
                </c:pt>
                <c:pt idx="135">
                  <c:v>51.89</c:v>
                </c:pt>
                <c:pt idx="136">
                  <c:v>52.41</c:v>
                </c:pt>
                <c:pt idx="137">
                  <c:v>52.04</c:v>
                </c:pt>
                <c:pt idx="138">
                  <c:v>52.57</c:v>
                </c:pt>
                <c:pt idx="139">
                  <c:v>51.87</c:v>
                </c:pt>
                <c:pt idx="140">
                  <c:v>51.66</c:v>
                </c:pt>
                <c:pt idx="141">
                  <c:v>52.72</c:v>
                </c:pt>
                <c:pt idx="142">
                  <c:v>51.03</c:v>
                </c:pt>
                <c:pt idx="143">
                  <c:v>50.27</c:v>
                </c:pt>
                <c:pt idx="144">
                  <c:v>50.8</c:v>
                </c:pt>
                <c:pt idx="145">
                  <c:v>50.73</c:v>
                </c:pt>
                <c:pt idx="146">
                  <c:v>52.1</c:v>
                </c:pt>
                <c:pt idx="147">
                  <c:v>51.9</c:v>
                </c:pt>
                <c:pt idx="148">
                  <c:v>52.7</c:v>
                </c:pt>
                <c:pt idx="149">
                  <c:v>52.14</c:v>
                </c:pt>
                <c:pt idx="150">
                  <c:v>52.37</c:v>
                </c:pt>
                <c:pt idx="151">
                  <c:v>52.42</c:v>
                </c:pt>
                <c:pt idx="152">
                  <c:v>52.01</c:v>
                </c:pt>
                <c:pt idx="153">
                  <c:v>52.36</c:v>
                </c:pt>
                <c:pt idx="154">
                  <c:v>51.78</c:v>
                </c:pt>
                <c:pt idx="155">
                  <c:v>52.65</c:v>
                </c:pt>
                <c:pt idx="156">
                  <c:v>52.52</c:v>
                </c:pt>
                <c:pt idx="157">
                  <c:v>51.49</c:v>
                </c:pt>
                <c:pt idx="158">
                  <c:v>50.97</c:v>
                </c:pt>
                <c:pt idx="159">
                  <c:v>50.2</c:v>
                </c:pt>
                <c:pt idx="160">
                  <c:v>48.6</c:v>
                </c:pt>
                <c:pt idx="161">
                  <c:v>48.06</c:v>
                </c:pt>
                <c:pt idx="162">
                  <c:v>49.3</c:v>
                </c:pt>
                <c:pt idx="163">
                  <c:v>49.7</c:v>
                </c:pt>
                <c:pt idx="164">
                  <c:v>48.84</c:v>
                </c:pt>
                <c:pt idx="165">
                  <c:v>48.42</c:v>
                </c:pt>
                <c:pt idx="166">
                  <c:v>48.91</c:v>
                </c:pt>
                <c:pt idx="167">
                  <c:v>48.42</c:v>
                </c:pt>
                <c:pt idx="168">
                  <c:v>47.74</c:v>
                </c:pt>
                <c:pt idx="169">
                  <c:v>47.52</c:v>
                </c:pt>
                <c:pt idx="170">
                  <c:v>46.88</c:v>
                </c:pt>
                <c:pt idx="171">
                  <c:v>46.71</c:v>
                </c:pt>
                <c:pt idx="172">
                  <c:v>48.11</c:v>
                </c:pt>
                <c:pt idx="173">
                  <c:v>47.79</c:v>
                </c:pt>
                <c:pt idx="174">
                  <c:v>49.68</c:v>
                </c:pt>
                <c:pt idx="175">
                  <c:v>47.92</c:v>
                </c:pt>
                <c:pt idx="176">
                  <c:v>47.42</c:v>
                </c:pt>
                <c:pt idx="177">
                  <c:v>47.31</c:v>
                </c:pt>
                <c:pt idx="178">
                  <c:v>46.65</c:v>
                </c:pt>
                <c:pt idx="179">
                  <c:v>45.83</c:v>
                </c:pt>
                <c:pt idx="180">
                  <c:v>45.54</c:v>
                </c:pt>
                <c:pt idx="181">
                  <c:v>45.22</c:v>
                </c:pt>
                <c:pt idx="182">
                  <c:v>44.82</c:v>
                </c:pt>
                <c:pt idx="183">
                  <c:v>46.02</c:v>
                </c:pt>
                <c:pt idx="184">
                  <c:v>46.91</c:v>
                </c:pt>
                <c:pt idx="185">
                  <c:v>47.37</c:v>
                </c:pt>
                <c:pt idx="186">
                  <c:v>46.92</c:v>
                </c:pt>
                <c:pt idx="187">
                  <c:v>47</c:v>
                </c:pt>
                <c:pt idx="188">
                  <c:v>48.72</c:v>
                </c:pt>
                <c:pt idx="189">
                  <c:v>48.29</c:v>
                </c:pt>
                <c:pt idx="190">
                  <c:v>48.15</c:v>
                </c:pt>
                <c:pt idx="191">
                  <c:v>47.86</c:v>
                </c:pt>
                <c:pt idx="192">
                  <c:v>48.06</c:v>
                </c:pt>
                <c:pt idx="193">
                  <c:v>50.12</c:v>
                </c:pt>
                <c:pt idx="194">
                  <c:v>49.47</c:v>
                </c:pt>
                <c:pt idx="195">
                  <c:v>49.95</c:v>
                </c:pt>
                <c:pt idx="196">
                  <c:v>50.63</c:v>
                </c:pt>
                <c:pt idx="197">
                  <c:v>50.31</c:v>
                </c:pt>
                <c:pt idx="198">
                  <c:v>51.84</c:v>
                </c:pt>
                <c:pt idx="199">
                  <c:v>52.15</c:v>
                </c:pt>
                <c:pt idx="200">
                  <c:v>51.46</c:v>
                </c:pt>
                <c:pt idx="201">
                  <c:v>53.96</c:v>
                </c:pt>
                <c:pt idx="202">
                  <c:v>54.15</c:v>
                </c:pt>
                <c:pt idx="203">
                  <c:v>53.87</c:v>
                </c:pt>
                <c:pt idx="204">
                  <c:v>53.61</c:v>
                </c:pt>
                <c:pt idx="205">
                  <c:v>52.51</c:v>
                </c:pt>
                <c:pt idx="206">
                  <c:v>52.21</c:v>
                </c:pt>
                <c:pt idx="207">
                  <c:v>51.65</c:v>
                </c:pt>
                <c:pt idx="208">
                  <c:v>51.82</c:v>
                </c:pt>
                <c:pt idx="209">
                  <c:v>50.84</c:v>
                </c:pt>
                <c:pt idx="210">
                  <c:v>50.77</c:v>
                </c:pt>
                <c:pt idx="211">
                  <c:v>50.22</c:v>
                </c:pt>
                <c:pt idx="212">
                  <c:v>48.73</c:v>
                </c:pt>
                <c:pt idx="213">
                  <c:v>49.34</c:v>
                </c:pt>
                <c:pt idx="214">
                  <c:v>49.1</c:v>
                </c:pt>
                <c:pt idx="215">
                  <c:v>48.38</c:v>
                </c:pt>
                <c:pt idx="216">
                  <c:v>50.79</c:v>
                </c:pt>
                <c:pt idx="217">
                  <c:v>50.46</c:v>
                </c:pt>
                <c:pt idx="218">
                  <c:v>51.52</c:v>
                </c:pt>
                <c:pt idx="219">
                  <c:v>51.73</c:v>
                </c:pt>
                <c:pt idx="220">
                  <c:v>51.44</c:v>
                </c:pt>
                <c:pt idx="221">
                  <c:v>51.82</c:v>
                </c:pt>
                <c:pt idx="222">
                  <c:v>52.1</c:v>
                </c:pt>
                <c:pt idx="223">
                  <c:v>51.6</c:v>
                </c:pt>
                <c:pt idx="224">
                  <c:v>51.96</c:v>
                </c:pt>
                <c:pt idx="225">
                  <c:v>52.99</c:v>
                </c:pt>
                <c:pt idx="226">
                  <c:v>52.93</c:v>
                </c:pt>
                <c:pt idx="227">
                  <c:v>54.89</c:v>
                </c:pt>
                <c:pt idx="228">
                  <c:v>55.36</c:v>
                </c:pt>
                <c:pt idx="229">
                  <c:v>55.89</c:v>
                </c:pt>
                <c:pt idx="230">
                  <c:v>55.86</c:v>
                </c:pt>
                <c:pt idx="231">
                  <c:v>56.23</c:v>
                </c:pt>
                <c:pt idx="232">
                  <c:v>55.98</c:v>
                </c:pt>
                <c:pt idx="233">
                  <c:v>55.24</c:v>
                </c:pt>
                <c:pt idx="234">
                  <c:v>54.89</c:v>
                </c:pt>
                <c:pt idx="235">
                  <c:v>54.36</c:v>
                </c:pt>
                <c:pt idx="236">
                  <c:v>54.17</c:v>
                </c:pt>
                <c:pt idx="237">
                  <c:v>53.12</c:v>
                </c:pt>
                <c:pt idx="238">
                  <c:v>52.83</c:v>
                </c:pt>
                <c:pt idx="239">
                  <c:v>52.96</c:v>
                </c:pt>
                <c:pt idx="240">
                  <c:v>52.42</c:v>
                </c:pt>
                <c:pt idx="241">
                  <c:v>51.33</c:v>
                </c:pt>
                <c:pt idx="242">
                  <c:v>50.75</c:v>
                </c:pt>
                <c:pt idx="243">
                  <c:v>50.8</c:v>
                </c:pt>
                <c:pt idx="244">
                  <c:v>50.56</c:v>
                </c:pt>
                <c:pt idx="245">
                  <c:v>50.64</c:v>
                </c:pt>
                <c:pt idx="246">
                  <c:v>50.96</c:v>
                </c:pt>
                <c:pt idx="247">
                  <c:v>51.62</c:v>
                </c:pt>
                <c:pt idx="248">
                  <c:v>51.76</c:v>
                </c:pt>
                <c:pt idx="249">
                  <c:v>51.74</c:v>
                </c:pt>
                <c:pt idx="250">
                  <c:v>51.81</c:v>
                </c:pt>
                <c:pt idx="251">
                  <c:v>50.92</c:v>
                </c:pt>
                <c:pt idx="252">
                  <c:v>51.35</c:v>
                </c:pt>
                <c:pt idx="253">
                  <c:v>51.37</c:v>
                </c:pt>
                <c:pt idx="254">
                  <c:v>52.19</c:v>
                </c:pt>
                <c:pt idx="255">
                  <c:v>53.11</c:v>
                </c:pt>
                <c:pt idx="256">
                  <c:v>55.92</c:v>
                </c:pt>
                <c:pt idx="257">
                  <c:v>56.01</c:v>
                </c:pt>
                <c:pt idx="258">
                  <c:v>55.9</c:v>
                </c:pt>
                <c:pt idx="259">
                  <c:v>55.08</c:v>
                </c:pt>
                <c:pt idx="260">
                  <c:v>56.36</c:v>
                </c:pt>
                <c:pt idx="261">
                  <c:v>55.59</c:v>
                </c:pt>
                <c:pt idx="262">
                  <c:v>55.93</c:v>
                </c:pt>
                <c:pt idx="263">
                  <c:v>55.99</c:v>
                </c:pt>
                <c:pt idx="264">
                  <c:v>56.58</c:v>
                </c:pt>
                <c:pt idx="265">
                  <c:v>55.84</c:v>
                </c:pt>
                <c:pt idx="266">
                  <c:v>56.66</c:v>
                </c:pt>
                <c:pt idx="267">
                  <c:v>55.81</c:v>
                </c:pt>
                <c:pt idx="268">
                  <c:v>55.65</c:v>
                </c:pt>
                <c:pt idx="269">
                  <c:v>55.75</c:v>
                </c:pt>
                <c:pt idx="270">
                  <c:v>55.97</c:v>
                </c:pt>
                <c:pt idx="271">
                  <c:v>55.59</c:v>
                </c:pt>
                <c:pt idx="272">
                  <c:v>56.7</c:v>
                </c:pt>
                <c:pt idx="273">
                  <c:v>55.63</c:v>
                </c:pt>
                <c:pt idx="274">
                  <c:v>55.12</c:v>
                </c:pt>
                <c:pt idx="275">
                  <c:v>55.05</c:v>
                </c:pt>
                <c:pt idx="276">
                  <c:v>55.72</c:v>
                </c:pt>
                <c:pt idx="277">
                  <c:v>56.81</c:v>
                </c:pt>
                <c:pt idx="278">
                  <c:v>56.56</c:v>
                </c:pt>
                <c:pt idx="279">
                  <c:v>56.8</c:v>
                </c:pt>
                <c:pt idx="280">
                  <c:v>55.7</c:v>
                </c:pt>
                <c:pt idx="281">
                  <c:v>55.23</c:v>
                </c:pt>
                <c:pt idx="282">
                  <c:v>55.52</c:v>
                </c:pt>
                <c:pt idx="283">
                  <c:v>56.24</c:v>
                </c:pt>
                <c:pt idx="284">
                  <c:v>55.08</c:v>
                </c:pt>
                <c:pt idx="285">
                  <c:v>55.44</c:v>
                </c:pt>
                <c:pt idx="286">
                  <c:v>55.23</c:v>
                </c:pt>
                <c:pt idx="287">
                  <c:v>55.49</c:v>
                </c:pt>
                <c:pt idx="288">
                  <c:v>54.16</c:v>
                </c:pt>
                <c:pt idx="289">
                  <c:v>53.92</c:v>
                </c:pt>
                <c:pt idx="290">
                  <c:v>55.47</c:v>
                </c:pt>
                <c:pt idx="291">
                  <c:v>55.45</c:v>
                </c:pt>
                <c:pt idx="292">
                  <c:v>56.01</c:v>
                </c:pt>
                <c:pt idx="293">
                  <c:v>55.1</c:v>
                </c:pt>
                <c:pt idx="294">
                  <c:v>53.64</c:v>
                </c:pt>
                <c:pt idx="295">
                  <c:v>54.94</c:v>
                </c:pt>
                <c:pt idx="296">
                  <c:v>57.1</c:v>
                </c:pt>
                <c:pt idx="297">
                  <c:v>56.89</c:v>
                </c:pt>
                <c:pt idx="298">
                  <c:v>56.46</c:v>
                </c:pt>
                <c:pt idx="299">
                  <c:v>55.47</c:v>
                </c:pt>
                <c:pt idx="300">
                  <c:v>56.82</c:v>
                </c:pt>
                <c:pt idx="301">
                  <c:v>56.14</c:v>
                </c:pt>
                <c:pt idx="302">
                  <c:v>56.22</c:v>
                </c:pt>
                <c:pt idx="303">
                  <c:v>56.09</c:v>
                </c:pt>
                <c:pt idx="304">
                  <c:v>55.16</c:v>
                </c:pt>
                <c:pt idx="305">
                  <c:v>55.05</c:v>
                </c:pt>
                <c:pt idx="306">
                  <c:v>54.46</c:v>
                </c:pt>
                <c:pt idx="307">
                  <c:v>55.35</c:v>
                </c:pt>
                <c:pt idx="308">
                  <c:v>54.92</c:v>
                </c:pt>
                <c:pt idx="309">
                  <c:v>55.21</c:v>
                </c:pt>
                <c:pt idx="310">
                  <c:v>54.02</c:v>
                </c:pt>
                <c:pt idx="311">
                  <c:v>53.9</c:v>
                </c:pt>
                <c:pt idx="312">
                  <c:v>55.72</c:v>
                </c:pt>
                <c:pt idx="313">
                  <c:v>55.69</c:v>
                </c:pt>
                <c:pt idx="314">
                  <c:v>54.33</c:v>
                </c:pt>
                <c:pt idx="315">
                  <c:v>53.89</c:v>
                </c:pt>
                <c:pt idx="316">
                  <c:v>53</c:v>
                </c:pt>
                <c:pt idx="317">
                  <c:v>53.93</c:v>
                </c:pt>
                <c:pt idx="318">
                  <c:v>54.94</c:v>
                </c:pt>
                <c:pt idx="319">
                  <c:v>54.46</c:v>
                </c:pt>
                <c:pt idx="320">
                  <c:v>53.94</c:v>
                </c:pt>
                <c:pt idx="321">
                  <c:v>50.47</c:v>
                </c:pt>
                <c:pt idx="322">
                  <c:v>46.38</c:v>
                </c:pt>
                <c:pt idx="323">
                  <c:v>48.24</c:v>
                </c:pt>
                <c:pt idx="324">
                  <c:v>47.24</c:v>
                </c:pt>
                <c:pt idx="325">
                  <c:v>48.95</c:v>
                </c:pt>
                <c:pt idx="326">
                  <c:v>49.12</c:v>
                </c:pt>
                <c:pt idx="327">
                  <c:v>48.9</c:v>
                </c:pt>
                <c:pt idx="328">
                  <c:v>46.86</c:v>
                </c:pt>
                <c:pt idx="329">
                  <c:v>46.49</c:v>
                </c:pt>
                <c:pt idx="330">
                  <c:v>46.63</c:v>
                </c:pt>
                <c:pt idx="331">
                  <c:v>46.95</c:v>
                </c:pt>
                <c:pt idx="332">
                  <c:v>44.43</c:v>
                </c:pt>
                <c:pt idx="333">
                  <c:v>44.75</c:v>
                </c:pt>
                <c:pt idx="334">
                  <c:v>45.84</c:v>
                </c:pt>
                <c:pt idx="335">
                  <c:v>46.36</c:v>
                </c:pt>
                <c:pt idx="336">
                  <c:v>46.04</c:v>
                </c:pt>
                <c:pt idx="337">
                  <c:v>46.15</c:v>
                </c:pt>
                <c:pt idx="338">
                  <c:v>45.58</c:v>
                </c:pt>
                <c:pt idx="339">
                  <c:v>46.35</c:v>
                </c:pt>
                <c:pt idx="340">
                  <c:v>46.86</c:v>
                </c:pt>
                <c:pt idx="341">
                  <c:v>48.14</c:v>
                </c:pt>
                <c:pt idx="342">
                  <c:v>48.3</c:v>
                </c:pt>
                <c:pt idx="343">
                  <c:v>49.71</c:v>
                </c:pt>
                <c:pt idx="344">
                  <c:v>50.47</c:v>
                </c:pt>
                <c:pt idx="345">
                  <c:v>49.98</c:v>
                </c:pt>
                <c:pt idx="346">
                  <c:v>50.79</c:v>
                </c:pt>
                <c:pt idx="347">
                  <c:v>51.46</c:v>
                </c:pt>
                <c:pt idx="348">
                  <c:v>51.78</c:v>
                </c:pt>
                <c:pt idx="349">
                  <c:v>51.38</c:v>
                </c:pt>
                <c:pt idx="350">
                  <c:v>52.67</c:v>
                </c:pt>
                <c:pt idx="351">
                  <c:v>51.68</c:v>
                </c:pt>
                <c:pt idx="352">
                  <c:v>51.52</c:v>
                </c:pt>
                <c:pt idx="353">
                  <c:v>51.95</c:v>
                </c:pt>
                <c:pt idx="354">
                  <c:v>52.03</c:v>
                </c:pt>
                <c:pt idx="355">
                  <c:v>51.81</c:v>
                </c:pt>
                <c:pt idx="356">
                  <c:v>52.41</c:v>
                </c:pt>
                <c:pt idx="357">
                  <c:v>53.14</c:v>
                </c:pt>
                <c:pt idx="358">
                  <c:v>51.93</c:v>
                </c:pt>
                <c:pt idx="359">
                  <c:v>52.51</c:v>
                </c:pt>
                <c:pt idx="360">
                  <c:v>51.86</c:v>
                </c:pt>
                <c:pt idx="361">
                  <c:v>50.87</c:v>
                </c:pt>
                <c:pt idx="362">
                  <c:v>50.89</c:v>
                </c:pt>
                <c:pt idx="363">
                  <c:v>49.06</c:v>
                </c:pt>
                <c:pt idx="364">
                  <c:v>49.24</c:v>
                </c:pt>
                <c:pt idx="365">
                  <c:v>48.69</c:v>
                </c:pt>
                <c:pt idx="366">
                  <c:v>45.97</c:v>
                </c:pt>
                <c:pt idx="367">
                  <c:v>47.35</c:v>
                </c:pt>
                <c:pt idx="368">
                  <c:v>45.89</c:v>
                </c:pt>
                <c:pt idx="369">
                  <c:v>47.65</c:v>
                </c:pt>
                <c:pt idx="370">
                  <c:v>46.83</c:v>
                </c:pt>
                <c:pt idx="371">
                  <c:v>45.88</c:v>
                </c:pt>
                <c:pt idx="372">
                  <c:v>45.95</c:v>
                </c:pt>
                <c:pt idx="373">
                  <c:v>45.77</c:v>
                </c:pt>
                <c:pt idx="374">
                  <c:v>46.59</c:v>
                </c:pt>
                <c:pt idx="375">
                  <c:v>45.85</c:v>
                </c:pt>
                <c:pt idx="376">
                  <c:v>47.1</c:v>
                </c:pt>
                <c:pt idx="377">
                  <c:v>48.32</c:v>
                </c:pt>
                <c:pt idx="378">
                  <c:v>48.01</c:v>
                </c:pt>
                <c:pt idx="379">
                  <c:v>49.99</c:v>
                </c:pt>
                <c:pt idx="380">
                  <c:v>47.98</c:v>
                </c:pt>
                <c:pt idx="381">
                  <c:v>47.26</c:v>
                </c:pt>
                <c:pt idx="382">
                  <c:v>46.83</c:v>
                </c:pt>
                <c:pt idx="383">
                  <c:v>45.45</c:v>
                </c:pt>
                <c:pt idx="384">
                  <c:v>47.04</c:v>
                </c:pt>
                <c:pt idx="385">
                  <c:v>48.37</c:v>
                </c:pt>
                <c:pt idx="386">
                  <c:v>49.26</c:v>
                </c:pt>
                <c:pt idx="387">
                  <c:v>49.92</c:v>
                </c:pt>
                <c:pt idx="388">
                  <c:v>49.67</c:v>
                </c:pt>
                <c:pt idx="389">
                  <c:v>49.05</c:v>
                </c:pt>
                <c:pt idx="390">
                  <c:v>49.96</c:v>
                </c:pt>
                <c:pt idx="391">
                  <c:v>49.16</c:v>
                </c:pt>
                <c:pt idx="392">
                  <c:v>50.88</c:v>
                </c:pt>
                <c:pt idx="393">
                  <c:v>50.89</c:v>
                </c:pt>
                <c:pt idx="394">
                  <c:v>49.85</c:v>
                </c:pt>
                <c:pt idx="395">
                  <c:v>49.23</c:v>
                </c:pt>
                <c:pt idx="396">
                  <c:v>48.35</c:v>
                </c:pt>
                <c:pt idx="397">
                  <c:v>46.97</c:v>
                </c:pt>
                <c:pt idx="398">
                  <c:v>46.04</c:v>
                </c:pt>
                <c:pt idx="399">
                  <c:v>44.05</c:v>
                </c:pt>
                <c:pt idx="400">
                  <c:v>44.98</c:v>
                </c:pt>
                <c:pt idx="401">
                  <c:v>45.39</c:v>
                </c:pt>
                <c:pt idx="402">
                  <c:v>44.27</c:v>
                </c:pt>
                <c:pt idx="403">
                  <c:v>44.29</c:v>
                </c:pt>
                <c:pt idx="404">
                  <c:v>43.1</c:v>
                </c:pt>
                <c:pt idx="405">
                  <c:v>41.8</c:v>
                </c:pt>
                <c:pt idx="406">
                  <c:v>42.14</c:v>
                </c:pt>
                <c:pt idx="407">
                  <c:v>42.46</c:v>
                </c:pt>
                <c:pt idx="408">
                  <c:v>42.7</c:v>
                </c:pt>
                <c:pt idx="409">
                  <c:v>43.47</c:v>
                </c:pt>
                <c:pt idx="410">
                  <c:v>44.87</c:v>
                </c:pt>
                <c:pt idx="411">
                  <c:v>44.72</c:v>
                </c:pt>
                <c:pt idx="412">
                  <c:v>45.69</c:v>
                </c:pt>
                <c:pt idx="413">
                  <c:v>46.2</c:v>
                </c:pt>
                <c:pt idx="414">
                  <c:v>47.17</c:v>
                </c:pt>
                <c:pt idx="415">
                  <c:v>46.66</c:v>
                </c:pt>
                <c:pt idx="416">
                  <c:v>46.96</c:v>
                </c:pt>
                <c:pt idx="417">
                  <c:v>47.61</c:v>
                </c:pt>
                <c:pt idx="418">
                  <c:v>47.37</c:v>
                </c:pt>
                <c:pt idx="419">
                  <c:v>46.26</c:v>
                </c:pt>
                <c:pt idx="420">
                  <c:v>48.47</c:v>
                </c:pt>
                <c:pt idx="421">
                  <c:v>46.25</c:v>
                </c:pt>
                <c:pt idx="422">
                  <c:v>46.76</c:v>
                </c:pt>
                <c:pt idx="423">
                  <c:v>46.4</c:v>
                </c:pt>
                <c:pt idx="424">
                  <c:v>48.8</c:v>
                </c:pt>
                <c:pt idx="425">
                  <c:v>47.96</c:v>
                </c:pt>
                <c:pt idx="426">
                  <c:v>50.35</c:v>
                </c:pt>
                <c:pt idx="427">
                  <c:v>49.68</c:v>
                </c:pt>
                <c:pt idx="428">
                  <c:v>50.61</c:v>
                </c:pt>
                <c:pt idx="429">
                  <c:v>48.58</c:v>
                </c:pt>
                <c:pt idx="430">
                  <c:v>47.16</c:v>
                </c:pt>
                <c:pt idx="431">
                  <c:v>48.41</c:v>
                </c:pt>
                <c:pt idx="432">
                  <c:v>50.91</c:v>
                </c:pt>
                <c:pt idx="433">
                  <c:v>49.88</c:v>
                </c:pt>
                <c:pt idx="434">
                  <c:v>50.62</c:v>
                </c:pt>
                <c:pt idx="435">
                  <c:v>50.65</c:v>
                </c:pt>
                <c:pt idx="436">
                  <c:v>49.17</c:v>
                </c:pt>
                <c:pt idx="437">
                  <c:v>47.19</c:v>
                </c:pt>
                <c:pt idx="438">
                  <c:v>48.97</c:v>
                </c:pt>
                <c:pt idx="439">
                  <c:v>49.83</c:v>
                </c:pt>
                <c:pt idx="440">
                  <c:v>50.35</c:v>
                </c:pt>
                <c:pt idx="441">
                  <c:v>50.54</c:v>
                </c:pt>
                <c:pt idx="442">
                  <c:v>51.95</c:v>
                </c:pt>
                <c:pt idx="443">
                  <c:v>52.51</c:v>
                </c:pt>
                <c:pt idx="444">
                  <c:v>51.44</c:v>
                </c:pt>
                <c:pt idx="445">
                  <c:v>50.55</c:v>
                </c:pt>
                <c:pt idx="446">
                  <c:v>49.64</c:v>
                </c:pt>
                <c:pt idx="447">
                  <c:v>50.04</c:v>
                </c:pt>
                <c:pt idx="448">
                  <c:v>49.72</c:v>
                </c:pt>
                <c:pt idx="449">
                  <c:v>49.69</c:v>
                </c:pt>
                <c:pt idx="450">
                  <c:v>49.32</c:v>
                </c:pt>
                <c:pt idx="451">
                  <c:v>49.59</c:v>
                </c:pt>
                <c:pt idx="452">
                  <c:v>49.74</c:v>
                </c:pt>
                <c:pt idx="453">
                  <c:v>48.61</c:v>
                </c:pt>
                <c:pt idx="454">
                  <c:v>48.35</c:v>
                </c:pt>
                <c:pt idx="455">
                  <c:v>48.72</c:v>
                </c:pt>
                <c:pt idx="456">
                  <c:v>48.81</c:v>
                </c:pt>
                <c:pt idx="457">
                  <c:v>48.93</c:v>
                </c:pt>
                <c:pt idx="458">
                  <c:v>49.28</c:v>
                </c:pt>
                <c:pt idx="459">
                  <c:v>48.97</c:v>
                </c:pt>
                <c:pt idx="460">
                  <c:v>47.83</c:v>
                </c:pt>
                <c:pt idx="461">
                  <c:v>48.08</c:v>
                </c:pt>
                <c:pt idx="462">
                  <c:v>47.6</c:v>
                </c:pt>
                <c:pt idx="463">
                  <c:v>45.52</c:v>
                </c:pt>
                <c:pt idx="464">
                  <c:v>43.63</c:v>
                </c:pt>
                <c:pt idx="465">
                  <c:v>45.37</c:v>
                </c:pt>
                <c:pt idx="466">
                  <c:v>45.01</c:v>
                </c:pt>
                <c:pt idx="467">
                  <c:v>44.62</c:v>
                </c:pt>
                <c:pt idx="468">
                  <c:v>44.97</c:v>
                </c:pt>
                <c:pt idx="469">
                  <c:v>45.83</c:v>
                </c:pt>
                <c:pt idx="470">
                  <c:v>48.13</c:v>
                </c:pt>
                <c:pt idx="471">
                  <c:v>48.14</c:v>
                </c:pt>
                <c:pt idx="472">
                  <c:v>47.18</c:v>
                </c:pt>
                <c:pt idx="473">
                  <c:v>45.74</c:v>
                </c:pt>
                <c:pt idx="474">
                  <c:v>44.48</c:v>
                </c:pt>
                <c:pt idx="475">
                  <c:v>45.11</c:v>
                </c:pt>
                <c:pt idx="476">
                  <c:v>44.53</c:v>
                </c:pt>
                <c:pt idx="477">
                  <c:v>45.8</c:v>
                </c:pt>
                <c:pt idx="478">
                  <c:v>44.03</c:v>
                </c:pt>
                <c:pt idx="479">
                  <c:v>42.91</c:v>
                </c:pt>
                <c:pt idx="480">
                  <c:v>43.1</c:v>
                </c:pt>
                <c:pt idx="481">
                  <c:v>43.84</c:v>
                </c:pt>
                <c:pt idx="482">
                  <c:v>44.18</c:v>
                </c:pt>
                <c:pt idx="483">
                  <c:v>44.69</c:v>
                </c:pt>
                <c:pt idx="484">
                  <c:v>42.83</c:v>
                </c:pt>
                <c:pt idx="485">
                  <c:v>41.94</c:v>
                </c:pt>
                <c:pt idx="486">
                  <c:v>39.43</c:v>
                </c:pt>
                <c:pt idx="487">
                  <c:v>39.840000000000003</c:v>
                </c:pt>
                <c:pt idx="488">
                  <c:v>37.869999999999997</c:v>
                </c:pt>
                <c:pt idx="489">
                  <c:v>37.69</c:v>
                </c:pt>
                <c:pt idx="490">
                  <c:v>38.67</c:v>
                </c:pt>
                <c:pt idx="491">
                  <c:v>39.6</c:v>
                </c:pt>
                <c:pt idx="492">
                  <c:v>39.26</c:v>
                </c:pt>
                <c:pt idx="493">
                  <c:v>39.14</c:v>
                </c:pt>
                <c:pt idx="494">
                  <c:v>40.270000000000003</c:v>
                </c:pt>
                <c:pt idx="495">
                  <c:v>40.44</c:v>
                </c:pt>
                <c:pt idx="496">
                  <c:v>40.47</c:v>
                </c:pt>
                <c:pt idx="497">
                  <c:v>41.79</c:v>
                </c:pt>
                <c:pt idx="498">
                  <c:v>41.54</c:v>
                </c:pt>
                <c:pt idx="499">
                  <c:v>41.2</c:v>
                </c:pt>
                <c:pt idx="500">
                  <c:v>41.54</c:v>
                </c:pt>
                <c:pt idx="501">
                  <c:v>40.33</c:v>
                </c:pt>
                <c:pt idx="502">
                  <c:v>38.74</c:v>
                </c:pt>
                <c:pt idx="503">
                  <c:v>39.53</c:v>
                </c:pt>
                <c:pt idx="504">
                  <c:v>40.39</c:v>
                </c:pt>
                <c:pt idx="505">
                  <c:v>40.049999999999997</c:v>
                </c:pt>
                <c:pt idx="506">
                  <c:v>41.07</c:v>
                </c:pt>
                <c:pt idx="507">
                  <c:v>39.65</c:v>
                </c:pt>
                <c:pt idx="508">
                  <c:v>40.840000000000003</c:v>
                </c:pt>
                <c:pt idx="509">
                  <c:v>38.72</c:v>
                </c:pt>
                <c:pt idx="510">
                  <c:v>37.07</c:v>
                </c:pt>
                <c:pt idx="511">
                  <c:v>36.93</c:v>
                </c:pt>
                <c:pt idx="512">
                  <c:v>36.81</c:v>
                </c:pt>
                <c:pt idx="513">
                  <c:v>35.97</c:v>
                </c:pt>
                <c:pt idx="514">
                  <c:v>35.1</c:v>
                </c:pt>
                <c:pt idx="515">
                  <c:v>35.29</c:v>
                </c:pt>
                <c:pt idx="516">
                  <c:v>34.409999999999997</c:v>
                </c:pt>
                <c:pt idx="517">
                  <c:v>33.270000000000003</c:v>
                </c:pt>
                <c:pt idx="518">
                  <c:v>34.69</c:v>
                </c:pt>
                <c:pt idx="519">
                  <c:v>33.01</c:v>
                </c:pt>
                <c:pt idx="520">
                  <c:v>34.28</c:v>
                </c:pt>
                <c:pt idx="521">
                  <c:v>34.5</c:v>
                </c:pt>
                <c:pt idx="522">
                  <c:v>32.18</c:v>
                </c:pt>
                <c:pt idx="523">
                  <c:v>33.36</c:v>
                </c:pt>
                <c:pt idx="524">
                  <c:v>30.06</c:v>
                </c:pt>
                <c:pt idx="525">
                  <c:v>30.84</c:v>
                </c:pt>
                <c:pt idx="526">
                  <c:v>30.32</c:v>
                </c:pt>
                <c:pt idx="527">
                  <c:v>32.880000000000003</c:v>
                </c:pt>
                <c:pt idx="528">
                  <c:v>34.06</c:v>
                </c:pt>
                <c:pt idx="529">
                  <c:v>34.46</c:v>
                </c:pt>
                <c:pt idx="530">
                  <c:v>35.04</c:v>
                </c:pt>
                <c:pt idx="531">
                  <c:v>32.72</c:v>
                </c:pt>
                <c:pt idx="532">
                  <c:v>34.24</c:v>
                </c:pt>
                <c:pt idx="533">
                  <c:v>34.74</c:v>
                </c:pt>
                <c:pt idx="534">
                  <c:v>33.89</c:v>
                </c:pt>
                <c:pt idx="535">
                  <c:v>33.1</c:v>
                </c:pt>
                <c:pt idx="536">
                  <c:v>31.8</c:v>
                </c:pt>
                <c:pt idx="537">
                  <c:v>30.5</c:v>
                </c:pt>
                <c:pt idx="538">
                  <c:v>32.18</c:v>
                </c:pt>
                <c:pt idx="539">
                  <c:v>29.25</c:v>
                </c:pt>
                <c:pt idx="540">
                  <c:v>27.88</c:v>
                </c:pt>
                <c:pt idx="541">
                  <c:v>28.76</c:v>
                </c:pt>
                <c:pt idx="542">
                  <c:v>28.94</c:v>
                </c:pt>
                <c:pt idx="543">
                  <c:v>31.03</c:v>
                </c:pt>
                <c:pt idx="544">
                  <c:v>30.31</c:v>
                </c:pt>
                <c:pt idx="545">
                  <c:v>30.86</c:v>
                </c:pt>
                <c:pt idx="546">
                  <c:v>31.55</c:v>
                </c:pt>
                <c:pt idx="547">
                  <c:v>33.549999999999997</c:v>
                </c:pt>
                <c:pt idx="548">
                  <c:v>33.75</c:v>
                </c:pt>
                <c:pt idx="549">
                  <c:v>34.229999999999997</c:v>
                </c:pt>
                <c:pt idx="550">
                  <c:v>36.42</c:v>
                </c:pt>
                <c:pt idx="551">
                  <c:v>37.22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74-47E7-9D22-FE75205CE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542504"/>
        <c:axId val="320544072"/>
      </c:lineChart>
      <c:lineChart>
        <c:grouping val="standard"/>
        <c:varyColors val="0"/>
        <c:ser>
          <c:idx val="1"/>
          <c:order val="1"/>
          <c:tx>
            <c:v>Commodity index (rhs)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'Graf 3+4'!$I$3:$I$554</c:f>
              <c:numCache>
                <c:formatCode>General</c:formatCode>
                <c:ptCount val="552"/>
                <c:pt idx="0">
                  <c:v>88.046999999999997</c:v>
                </c:pt>
                <c:pt idx="1">
                  <c:v>87.666200000000003</c:v>
                </c:pt>
                <c:pt idx="2">
                  <c:v>87.954599999999999</c:v>
                </c:pt>
                <c:pt idx="3">
                  <c:v>87.587800000000001</c:v>
                </c:pt>
                <c:pt idx="4">
                  <c:v>88.036799999999999</c:v>
                </c:pt>
                <c:pt idx="5">
                  <c:v>89.006900000000002</c:v>
                </c:pt>
                <c:pt idx="6">
                  <c:v>88.702200000000005</c:v>
                </c:pt>
                <c:pt idx="7">
                  <c:v>88.1477</c:v>
                </c:pt>
                <c:pt idx="8">
                  <c:v>88.202799999999996</c:v>
                </c:pt>
                <c:pt idx="9">
                  <c:v>88.140900000000002</c:v>
                </c:pt>
                <c:pt idx="10">
                  <c:v>88.590900000000005</c:v>
                </c:pt>
                <c:pt idx="11">
                  <c:v>89.040099999999995</c:v>
                </c:pt>
                <c:pt idx="12">
                  <c:v>88.6922</c:v>
                </c:pt>
                <c:pt idx="13">
                  <c:v>88.667500000000004</c:v>
                </c:pt>
                <c:pt idx="14">
                  <c:v>88.274199999999993</c:v>
                </c:pt>
                <c:pt idx="15">
                  <c:v>88.003500000000003</c:v>
                </c:pt>
                <c:pt idx="16">
                  <c:v>88.204300000000003</c:v>
                </c:pt>
                <c:pt idx="17">
                  <c:v>88.237700000000004</c:v>
                </c:pt>
                <c:pt idx="18">
                  <c:v>87.994399999999999</c:v>
                </c:pt>
                <c:pt idx="19">
                  <c:v>86.789299999999997</c:v>
                </c:pt>
                <c:pt idx="20">
                  <c:v>86.325699999999998</c:v>
                </c:pt>
                <c:pt idx="21">
                  <c:v>85.644199999999998</c:v>
                </c:pt>
                <c:pt idx="22">
                  <c:v>87.008700000000005</c:v>
                </c:pt>
                <c:pt idx="23">
                  <c:v>87.147999999999996</c:v>
                </c:pt>
                <c:pt idx="24">
                  <c:v>88.167299999999997</c:v>
                </c:pt>
                <c:pt idx="25">
                  <c:v>88.513499999999993</c:v>
                </c:pt>
                <c:pt idx="26">
                  <c:v>89.121300000000005</c:v>
                </c:pt>
                <c:pt idx="27">
                  <c:v>89.865899999999996</c:v>
                </c:pt>
                <c:pt idx="28">
                  <c:v>89.8001</c:v>
                </c:pt>
                <c:pt idx="29">
                  <c:v>90.282300000000006</c:v>
                </c:pt>
                <c:pt idx="30">
                  <c:v>90.627700000000004</c:v>
                </c:pt>
                <c:pt idx="31">
                  <c:v>90.799899999999994</c:v>
                </c:pt>
                <c:pt idx="32">
                  <c:v>90.459000000000003</c:v>
                </c:pt>
                <c:pt idx="33">
                  <c:v>90.464100000000002</c:v>
                </c:pt>
                <c:pt idx="34">
                  <c:v>89.156400000000005</c:v>
                </c:pt>
                <c:pt idx="35">
                  <c:v>88.809200000000004</c:v>
                </c:pt>
                <c:pt idx="36">
                  <c:v>88.542500000000004</c:v>
                </c:pt>
                <c:pt idx="37">
                  <c:v>88.694299999999998</c:v>
                </c:pt>
                <c:pt idx="38">
                  <c:v>88.796199999999999</c:v>
                </c:pt>
                <c:pt idx="39">
                  <c:v>88.450699999999998</c:v>
                </c:pt>
                <c:pt idx="40">
                  <c:v>88.756500000000003</c:v>
                </c:pt>
                <c:pt idx="41">
                  <c:v>88.305899999999994</c:v>
                </c:pt>
                <c:pt idx="42">
                  <c:v>88.2393</c:v>
                </c:pt>
                <c:pt idx="43">
                  <c:v>88.098799999999997</c:v>
                </c:pt>
                <c:pt idx="44">
                  <c:v>87.691100000000006</c:v>
                </c:pt>
                <c:pt idx="45">
                  <c:v>87.915199999999999</c:v>
                </c:pt>
                <c:pt idx="46">
                  <c:v>88.568799999999996</c:v>
                </c:pt>
                <c:pt idx="47">
                  <c:v>88.608500000000006</c:v>
                </c:pt>
                <c:pt idx="48">
                  <c:v>88.4101</c:v>
                </c:pt>
                <c:pt idx="49">
                  <c:v>88.167400000000001</c:v>
                </c:pt>
                <c:pt idx="50">
                  <c:v>87.697999999999993</c:v>
                </c:pt>
                <c:pt idx="51">
                  <c:v>87.075500000000005</c:v>
                </c:pt>
                <c:pt idx="52">
                  <c:v>86.731099999999998</c:v>
                </c:pt>
                <c:pt idx="53">
                  <c:v>85.745099999999994</c:v>
                </c:pt>
                <c:pt idx="54">
                  <c:v>85.277000000000001</c:v>
                </c:pt>
                <c:pt idx="55">
                  <c:v>85.052099999999996</c:v>
                </c:pt>
                <c:pt idx="56">
                  <c:v>84.584699999999998</c:v>
                </c:pt>
                <c:pt idx="57">
                  <c:v>84.470500000000001</c:v>
                </c:pt>
                <c:pt idx="58">
                  <c:v>84.052999999999997</c:v>
                </c:pt>
                <c:pt idx="59">
                  <c:v>83.837400000000002</c:v>
                </c:pt>
                <c:pt idx="60">
                  <c:v>83.468299999999999</c:v>
                </c:pt>
                <c:pt idx="61">
                  <c:v>83.428100000000001</c:v>
                </c:pt>
                <c:pt idx="62">
                  <c:v>84.218299999999999</c:v>
                </c:pt>
                <c:pt idx="63">
                  <c:v>84.010900000000007</c:v>
                </c:pt>
                <c:pt idx="64">
                  <c:v>83.801599999999993</c:v>
                </c:pt>
                <c:pt idx="65">
                  <c:v>84.107399999999998</c:v>
                </c:pt>
                <c:pt idx="66">
                  <c:v>85.029799999999994</c:v>
                </c:pt>
                <c:pt idx="67">
                  <c:v>85.745099999999994</c:v>
                </c:pt>
                <c:pt idx="68">
                  <c:v>86.479299999999995</c:v>
                </c:pt>
                <c:pt idx="69">
                  <c:v>85.703299999999999</c:v>
                </c:pt>
                <c:pt idx="70">
                  <c:v>86.438800000000001</c:v>
                </c:pt>
                <c:pt idx="71">
                  <c:v>86.724800000000002</c:v>
                </c:pt>
                <c:pt idx="72">
                  <c:v>86.903199999999998</c:v>
                </c:pt>
                <c:pt idx="73">
                  <c:v>86.999600000000001</c:v>
                </c:pt>
                <c:pt idx="74">
                  <c:v>87.04</c:v>
                </c:pt>
                <c:pt idx="75">
                  <c:v>86.473299999999995</c:v>
                </c:pt>
                <c:pt idx="76">
                  <c:v>86.193100000000001</c:v>
                </c:pt>
                <c:pt idx="77">
                  <c:v>86.765699999999995</c:v>
                </c:pt>
                <c:pt idx="78">
                  <c:v>85.663300000000007</c:v>
                </c:pt>
                <c:pt idx="79">
                  <c:v>86.000900000000001</c:v>
                </c:pt>
                <c:pt idx="80">
                  <c:v>86.160499999999999</c:v>
                </c:pt>
                <c:pt idx="81">
                  <c:v>87.203500000000005</c:v>
                </c:pt>
                <c:pt idx="82">
                  <c:v>87.281099999999995</c:v>
                </c:pt>
                <c:pt idx="83">
                  <c:v>87.457099999999997</c:v>
                </c:pt>
                <c:pt idx="84">
                  <c:v>87.643699999999995</c:v>
                </c:pt>
                <c:pt idx="85">
                  <c:v>87.538499999999999</c:v>
                </c:pt>
                <c:pt idx="86">
                  <c:v>88.154499999999999</c:v>
                </c:pt>
                <c:pt idx="87">
                  <c:v>86.877799999999993</c:v>
                </c:pt>
                <c:pt idx="88">
                  <c:v>86.692300000000003</c:v>
                </c:pt>
                <c:pt idx="89">
                  <c:v>86.5381</c:v>
                </c:pt>
                <c:pt idx="90">
                  <c:v>86.188199999999995</c:v>
                </c:pt>
                <c:pt idx="91">
                  <c:v>86.147800000000004</c:v>
                </c:pt>
                <c:pt idx="92">
                  <c:v>85.865200000000002</c:v>
                </c:pt>
                <c:pt idx="93">
                  <c:v>85.915300000000002</c:v>
                </c:pt>
                <c:pt idx="94">
                  <c:v>85.891000000000005</c:v>
                </c:pt>
                <c:pt idx="95">
                  <c:v>86.040499999999994</c:v>
                </c:pt>
                <c:pt idx="96">
                  <c:v>85.611500000000007</c:v>
                </c:pt>
                <c:pt idx="97">
                  <c:v>85.268799999999999</c:v>
                </c:pt>
                <c:pt idx="98">
                  <c:v>85.393100000000004</c:v>
                </c:pt>
                <c:pt idx="99">
                  <c:v>85.308899999999994</c:v>
                </c:pt>
                <c:pt idx="100">
                  <c:v>85.485699999999994</c:v>
                </c:pt>
                <c:pt idx="101">
                  <c:v>85.994600000000005</c:v>
                </c:pt>
                <c:pt idx="102">
                  <c:v>85.8947</c:v>
                </c:pt>
                <c:pt idx="103">
                  <c:v>85.130099999999999</c:v>
                </c:pt>
                <c:pt idx="104">
                  <c:v>84.770099999999999</c:v>
                </c:pt>
                <c:pt idx="105">
                  <c:v>84.820599999999999</c:v>
                </c:pt>
                <c:pt idx="106">
                  <c:v>84.066900000000004</c:v>
                </c:pt>
                <c:pt idx="107">
                  <c:v>83.925600000000003</c:v>
                </c:pt>
                <c:pt idx="108">
                  <c:v>84.584699999999998</c:v>
                </c:pt>
                <c:pt idx="109">
                  <c:v>83.956299999999999</c:v>
                </c:pt>
                <c:pt idx="110">
                  <c:v>83.739000000000004</c:v>
                </c:pt>
                <c:pt idx="111">
                  <c:v>83.706599999999995</c:v>
                </c:pt>
                <c:pt idx="112">
                  <c:v>84.459900000000005</c:v>
                </c:pt>
                <c:pt idx="113">
                  <c:v>84.635199999999998</c:v>
                </c:pt>
                <c:pt idx="114">
                  <c:v>84.837500000000006</c:v>
                </c:pt>
                <c:pt idx="115">
                  <c:v>84.784599999999998</c:v>
                </c:pt>
                <c:pt idx="116">
                  <c:v>85.327600000000004</c:v>
                </c:pt>
                <c:pt idx="117">
                  <c:v>84.857200000000006</c:v>
                </c:pt>
                <c:pt idx="118">
                  <c:v>84.782499999999999</c:v>
                </c:pt>
                <c:pt idx="119">
                  <c:v>85.591300000000004</c:v>
                </c:pt>
                <c:pt idx="120">
                  <c:v>84.841999999999999</c:v>
                </c:pt>
                <c:pt idx="121">
                  <c:v>85.082800000000006</c:v>
                </c:pt>
                <c:pt idx="122">
                  <c:v>85.194900000000004</c:v>
                </c:pt>
                <c:pt idx="123">
                  <c:v>85.096599999999995</c:v>
                </c:pt>
                <c:pt idx="124">
                  <c:v>84.964600000000004</c:v>
                </c:pt>
                <c:pt idx="125">
                  <c:v>84.796999999999997</c:v>
                </c:pt>
                <c:pt idx="126">
                  <c:v>84.886099999999999</c:v>
                </c:pt>
                <c:pt idx="127">
                  <c:v>84.762200000000007</c:v>
                </c:pt>
                <c:pt idx="128">
                  <c:v>85.662000000000006</c:v>
                </c:pt>
                <c:pt idx="129">
                  <c:v>85.7239</c:v>
                </c:pt>
                <c:pt idx="130">
                  <c:v>85.368899999999996</c:v>
                </c:pt>
                <c:pt idx="131">
                  <c:v>84.977500000000006</c:v>
                </c:pt>
                <c:pt idx="132">
                  <c:v>84.656499999999994</c:v>
                </c:pt>
                <c:pt idx="133">
                  <c:v>83.072599999999994</c:v>
                </c:pt>
                <c:pt idx="134">
                  <c:v>83.502499999999998</c:v>
                </c:pt>
                <c:pt idx="135">
                  <c:v>83.4221</c:v>
                </c:pt>
                <c:pt idx="136">
                  <c:v>83.292599999999993</c:v>
                </c:pt>
                <c:pt idx="137">
                  <c:v>83.511099999999999</c:v>
                </c:pt>
                <c:pt idx="138">
                  <c:v>83.272300000000001</c:v>
                </c:pt>
                <c:pt idx="139">
                  <c:v>82.982699999999994</c:v>
                </c:pt>
                <c:pt idx="140">
                  <c:v>83.035499999999999</c:v>
                </c:pt>
                <c:pt idx="141">
                  <c:v>83.230999999999995</c:v>
                </c:pt>
                <c:pt idx="142">
                  <c:v>82.679900000000004</c:v>
                </c:pt>
                <c:pt idx="143">
                  <c:v>82.583399999999997</c:v>
                </c:pt>
                <c:pt idx="144">
                  <c:v>82.520200000000003</c:v>
                </c:pt>
                <c:pt idx="145">
                  <c:v>83.112399999999994</c:v>
                </c:pt>
                <c:pt idx="146">
                  <c:v>83.695800000000006</c:v>
                </c:pt>
                <c:pt idx="147">
                  <c:v>83.538799999999995</c:v>
                </c:pt>
                <c:pt idx="148">
                  <c:v>84.415000000000006</c:v>
                </c:pt>
                <c:pt idx="149">
                  <c:v>83.942400000000006</c:v>
                </c:pt>
                <c:pt idx="150">
                  <c:v>83.715999999999994</c:v>
                </c:pt>
                <c:pt idx="151">
                  <c:v>83.276899999999998</c:v>
                </c:pt>
                <c:pt idx="152">
                  <c:v>83.334299999999999</c:v>
                </c:pt>
                <c:pt idx="153">
                  <c:v>83.926000000000002</c:v>
                </c:pt>
                <c:pt idx="154">
                  <c:v>83.532499999999999</c:v>
                </c:pt>
                <c:pt idx="155">
                  <c:v>84.391499999999994</c:v>
                </c:pt>
                <c:pt idx="156">
                  <c:v>84.479900000000001</c:v>
                </c:pt>
                <c:pt idx="157">
                  <c:v>84.229299999999995</c:v>
                </c:pt>
                <c:pt idx="158">
                  <c:v>83.685199999999995</c:v>
                </c:pt>
                <c:pt idx="159">
                  <c:v>83.112399999999994</c:v>
                </c:pt>
                <c:pt idx="160">
                  <c:v>82.645499999999998</c:v>
                </c:pt>
                <c:pt idx="161">
                  <c:v>82.988</c:v>
                </c:pt>
                <c:pt idx="162">
                  <c:v>83.688699999999997</c:v>
                </c:pt>
                <c:pt idx="163">
                  <c:v>83.631600000000006</c:v>
                </c:pt>
                <c:pt idx="164">
                  <c:v>83.146199999999993</c:v>
                </c:pt>
                <c:pt idx="165">
                  <c:v>82.69</c:v>
                </c:pt>
                <c:pt idx="166">
                  <c:v>82.703100000000006</c:v>
                </c:pt>
                <c:pt idx="167">
                  <c:v>81.920500000000004</c:v>
                </c:pt>
                <c:pt idx="168">
                  <c:v>82.65</c:v>
                </c:pt>
                <c:pt idx="169">
                  <c:v>83.018699999999995</c:v>
                </c:pt>
                <c:pt idx="170">
                  <c:v>82.359700000000004</c:v>
                </c:pt>
                <c:pt idx="171">
                  <c:v>81.8048</c:v>
                </c:pt>
                <c:pt idx="172">
                  <c:v>82.417699999999996</c:v>
                </c:pt>
                <c:pt idx="173">
                  <c:v>82.3172</c:v>
                </c:pt>
                <c:pt idx="174">
                  <c:v>83.1053</c:v>
                </c:pt>
                <c:pt idx="175">
                  <c:v>82.601699999999994</c:v>
                </c:pt>
                <c:pt idx="176">
                  <c:v>81.329700000000003</c:v>
                </c:pt>
                <c:pt idx="177">
                  <c:v>80.84</c:v>
                </c:pt>
                <c:pt idx="178">
                  <c:v>80.418000000000006</c:v>
                </c:pt>
                <c:pt idx="179">
                  <c:v>79.868700000000004</c:v>
                </c:pt>
                <c:pt idx="180">
                  <c:v>79.638199999999998</c:v>
                </c:pt>
                <c:pt idx="181">
                  <c:v>79.357500000000002</c:v>
                </c:pt>
                <c:pt idx="182">
                  <c:v>79.631100000000004</c:v>
                </c:pt>
                <c:pt idx="183">
                  <c:v>80.129499999999993</c:v>
                </c:pt>
                <c:pt idx="184">
                  <c:v>80.718800000000002</c:v>
                </c:pt>
                <c:pt idx="185">
                  <c:v>81.269099999999995</c:v>
                </c:pt>
                <c:pt idx="186">
                  <c:v>80.916200000000003</c:v>
                </c:pt>
                <c:pt idx="187">
                  <c:v>80.890500000000003</c:v>
                </c:pt>
                <c:pt idx="188">
                  <c:v>81.614400000000003</c:v>
                </c:pt>
                <c:pt idx="189">
                  <c:v>81.590800000000002</c:v>
                </c:pt>
                <c:pt idx="190">
                  <c:v>82.421300000000002</c:v>
                </c:pt>
                <c:pt idx="191">
                  <c:v>82.176000000000002</c:v>
                </c:pt>
                <c:pt idx="192">
                  <c:v>81.960300000000004</c:v>
                </c:pt>
                <c:pt idx="193">
                  <c:v>82.477999999999994</c:v>
                </c:pt>
                <c:pt idx="194">
                  <c:v>82.000799999999998</c:v>
                </c:pt>
                <c:pt idx="195">
                  <c:v>82.326499999999996</c:v>
                </c:pt>
                <c:pt idx="196">
                  <c:v>82.464299999999994</c:v>
                </c:pt>
                <c:pt idx="197">
                  <c:v>82.8292</c:v>
                </c:pt>
                <c:pt idx="198">
                  <c:v>83.204899999999995</c:v>
                </c:pt>
                <c:pt idx="199">
                  <c:v>84.006200000000007</c:v>
                </c:pt>
                <c:pt idx="200">
                  <c:v>83.7059</c:v>
                </c:pt>
                <c:pt idx="201">
                  <c:v>84.466499999999996</c:v>
                </c:pt>
                <c:pt idx="202">
                  <c:v>84.704700000000003</c:v>
                </c:pt>
                <c:pt idx="203">
                  <c:v>85.259</c:v>
                </c:pt>
                <c:pt idx="204">
                  <c:v>84.715500000000006</c:v>
                </c:pt>
                <c:pt idx="205">
                  <c:v>83.420400000000001</c:v>
                </c:pt>
                <c:pt idx="206">
                  <c:v>83.975200000000001</c:v>
                </c:pt>
                <c:pt idx="207">
                  <c:v>83.497299999999996</c:v>
                </c:pt>
                <c:pt idx="208">
                  <c:v>83.578100000000006</c:v>
                </c:pt>
                <c:pt idx="209">
                  <c:v>83.483900000000006</c:v>
                </c:pt>
                <c:pt idx="210">
                  <c:v>83.125299999999996</c:v>
                </c:pt>
                <c:pt idx="211">
                  <c:v>82.764200000000002</c:v>
                </c:pt>
                <c:pt idx="212">
                  <c:v>82.033100000000005</c:v>
                </c:pt>
                <c:pt idx="213">
                  <c:v>82.270399999999995</c:v>
                </c:pt>
                <c:pt idx="214">
                  <c:v>82.678700000000006</c:v>
                </c:pt>
                <c:pt idx="215">
                  <c:v>82.210400000000007</c:v>
                </c:pt>
                <c:pt idx="216">
                  <c:v>83.734899999999996</c:v>
                </c:pt>
                <c:pt idx="217">
                  <c:v>83.85</c:v>
                </c:pt>
                <c:pt idx="218">
                  <c:v>84.206599999999995</c:v>
                </c:pt>
                <c:pt idx="219">
                  <c:v>84.012799999999999</c:v>
                </c:pt>
                <c:pt idx="220">
                  <c:v>83.617000000000004</c:v>
                </c:pt>
                <c:pt idx="221">
                  <c:v>83.890799999999999</c:v>
                </c:pt>
                <c:pt idx="222">
                  <c:v>84.028099999999995</c:v>
                </c:pt>
                <c:pt idx="223">
                  <c:v>83.717299999999994</c:v>
                </c:pt>
                <c:pt idx="224">
                  <c:v>83.904399999999995</c:v>
                </c:pt>
                <c:pt idx="225">
                  <c:v>84.445099999999996</c:v>
                </c:pt>
                <c:pt idx="226">
                  <c:v>84.635000000000005</c:v>
                </c:pt>
                <c:pt idx="227">
                  <c:v>85.353499999999997</c:v>
                </c:pt>
                <c:pt idx="228">
                  <c:v>86.049499999999995</c:v>
                </c:pt>
                <c:pt idx="229">
                  <c:v>86.2988</c:v>
                </c:pt>
                <c:pt idx="230">
                  <c:v>85.882300000000001</c:v>
                </c:pt>
                <c:pt idx="231">
                  <c:v>86.001400000000004</c:v>
                </c:pt>
                <c:pt idx="232">
                  <c:v>85.903199999999998</c:v>
                </c:pt>
                <c:pt idx="233">
                  <c:v>85.835400000000007</c:v>
                </c:pt>
                <c:pt idx="234">
                  <c:v>85.749099999999999</c:v>
                </c:pt>
                <c:pt idx="235">
                  <c:v>85.622299999999996</c:v>
                </c:pt>
                <c:pt idx="236">
                  <c:v>85.293400000000005</c:v>
                </c:pt>
                <c:pt idx="237">
                  <c:v>84.740499999999997</c:v>
                </c:pt>
                <c:pt idx="238">
                  <c:v>85.350800000000007</c:v>
                </c:pt>
                <c:pt idx="239">
                  <c:v>85.348799999999997</c:v>
                </c:pt>
                <c:pt idx="240">
                  <c:v>85.402299999999997</c:v>
                </c:pt>
                <c:pt idx="241">
                  <c:v>84.905900000000003</c:v>
                </c:pt>
                <c:pt idx="242">
                  <c:v>84.332300000000004</c:v>
                </c:pt>
                <c:pt idx="243">
                  <c:v>84.525800000000004</c:v>
                </c:pt>
                <c:pt idx="244">
                  <c:v>84.589299999999994</c:v>
                </c:pt>
                <c:pt idx="245">
                  <c:v>84.660399999999996</c:v>
                </c:pt>
                <c:pt idx="246">
                  <c:v>84.924099999999996</c:v>
                </c:pt>
                <c:pt idx="247">
                  <c:v>85.107299999999995</c:v>
                </c:pt>
                <c:pt idx="248">
                  <c:v>85.144900000000007</c:v>
                </c:pt>
                <c:pt idx="249">
                  <c:v>84.873099999999994</c:v>
                </c:pt>
                <c:pt idx="250">
                  <c:v>84.5137</c:v>
                </c:pt>
                <c:pt idx="251">
                  <c:v>83.902600000000007</c:v>
                </c:pt>
                <c:pt idx="252">
                  <c:v>84.369100000000003</c:v>
                </c:pt>
                <c:pt idx="253">
                  <c:v>84.267499999999998</c:v>
                </c:pt>
                <c:pt idx="254">
                  <c:v>84.578500000000005</c:v>
                </c:pt>
                <c:pt idx="255">
                  <c:v>85.290499999999994</c:v>
                </c:pt>
                <c:pt idx="256">
                  <c:v>86.351500000000001</c:v>
                </c:pt>
                <c:pt idx="257">
                  <c:v>87.110900000000001</c:v>
                </c:pt>
                <c:pt idx="258">
                  <c:v>87.189899999999994</c:v>
                </c:pt>
                <c:pt idx="259">
                  <c:v>86.986500000000007</c:v>
                </c:pt>
                <c:pt idx="260">
                  <c:v>88.323999999999998</c:v>
                </c:pt>
                <c:pt idx="261">
                  <c:v>87.738799999999998</c:v>
                </c:pt>
                <c:pt idx="262">
                  <c:v>87.099500000000006</c:v>
                </c:pt>
                <c:pt idx="263">
                  <c:v>87.483599999999996</c:v>
                </c:pt>
                <c:pt idx="264">
                  <c:v>87.372299999999996</c:v>
                </c:pt>
                <c:pt idx="265">
                  <c:v>87.551900000000003</c:v>
                </c:pt>
                <c:pt idx="266">
                  <c:v>87.864599999999996</c:v>
                </c:pt>
                <c:pt idx="267">
                  <c:v>88.110399999999998</c:v>
                </c:pt>
                <c:pt idx="268">
                  <c:v>88.480599999999995</c:v>
                </c:pt>
                <c:pt idx="269">
                  <c:v>89.013800000000003</c:v>
                </c:pt>
                <c:pt idx="270">
                  <c:v>88.625900000000001</c:v>
                </c:pt>
                <c:pt idx="271">
                  <c:v>88.637600000000006</c:v>
                </c:pt>
                <c:pt idx="272">
                  <c:v>89.357399999999998</c:v>
                </c:pt>
                <c:pt idx="273">
                  <c:v>88.527299999999997</c:v>
                </c:pt>
                <c:pt idx="274">
                  <c:v>88.4178</c:v>
                </c:pt>
                <c:pt idx="275">
                  <c:v>87.862399999999994</c:v>
                </c:pt>
                <c:pt idx="276">
                  <c:v>87.83</c:v>
                </c:pt>
                <c:pt idx="277">
                  <c:v>87.942800000000005</c:v>
                </c:pt>
                <c:pt idx="278">
                  <c:v>88.399900000000002</c:v>
                </c:pt>
                <c:pt idx="279">
                  <c:v>88.542199999999994</c:v>
                </c:pt>
                <c:pt idx="280">
                  <c:v>87.592200000000005</c:v>
                </c:pt>
                <c:pt idx="281">
                  <c:v>87.029300000000006</c:v>
                </c:pt>
                <c:pt idx="282">
                  <c:v>87.977000000000004</c:v>
                </c:pt>
                <c:pt idx="283">
                  <c:v>88.269199999999998</c:v>
                </c:pt>
                <c:pt idx="284">
                  <c:v>88.367500000000007</c:v>
                </c:pt>
                <c:pt idx="285">
                  <c:v>88.750200000000007</c:v>
                </c:pt>
                <c:pt idx="286">
                  <c:v>88.595799999999997</c:v>
                </c:pt>
                <c:pt idx="287">
                  <c:v>88.376000000000005</c:v>
                </c:pt>
                <c:pt idx="288">
                  <c:v>88.157899999999998</c:v>
                </c:pt>
                <c:pt idx="289">
                  <c:v>88.383899999999997</c:v>
                </c:pt>
                <c:pt idx="290">
                  <c:v>88.948700000000002</c:v>
                </c:pt>
                <c:pt idx="291">
                  <c:v>88.543199999999999</c:v>
                </c:pt>
                <c:pt idx="292">
                  <c:v>88.485699999999994</c:v>
                </c:pt>
                <c:pt idx="293">
                  <c:v>87.2102</c:v>
                </c:pt>
                <c:pt idx="294">
                  <c:v>86.854200000000006</c:v>
                </c:pt>
                <c:pt idx="295">
                  <c:v>86.343400000000003</c:v>
                </c:pt>
                <c:pt idx="296">
                  <c:v>87.3673</c:v>
                </c:pt>
                <c:pt idx="297">
                  <c:v>87.529399999999995</c:v>
                </c:pt>
                <c:pt idx="298">
                  <c:v>87.171800000000005</c:v>
                </c:pt>
                <c:pt idx="299">
                  <c:v>86.067300000000003</c:v>
                </c:pt>
                <c:pt idx="300">
                  <c:v>87.514399999999995</c:v>
                </c:pt>
                <c:pt idx="301">
                  <c:v>87.667199999999994</c:v>
                </c:pt>
                <c:pt idx="302">
                  <c:v>87.752399999999994</c:v>
                </c:pt>
                <c:pt idx="303">
                  <c:v>87.598699999999994</c:v>
                </c:pt>
                <c:pt idx="304">
                  <c:v>86.290999999999997</c:v>
                </c:pt>
                <c:pt idx="305">
                  <c:v>86.330500000000001</c:v>
                </c:pt>
                <c:pt idx="306">
                  <c:v>86.403199999999998</c:v>
                </c:pt>
                <c:pt idx="307">
                  <c:v>86.156899999999993</c:v>
                </c:pt>
                <c:pt idx="308">
                  <c:v>86.568700000000007</c:v>
                </c:pt>
                <c:pt idx="309">
                  <c:v>87.133300000000006</c:v>
                </c:pt>
                <c:pt idx="310">
                  <c:v>86.835599999999999</c:v>
                </c:pt>
                <c:pt idx="311">
                  <c:v>87.6267</c:v>
                </c:pt>
                <c:pt idx="312">
                  <c:v>87.922399999999996</c:v>
                </c:pt>
                <c:pt idx="313">
                  <c:v>88.176100000000005</c:v>
                </c:pt>
                <c:pt idx="314">
                  <c:v>88.143100000000004</c:v>
                </c:pt>
                <c:pt idx="315">
                  <c:v>87.566100000000006</c:v>
                </c:pt>
                <c:pt idx="316">
                  <c:v>87.4726</c:v>
                </c:pt>
                <c:pt idx="317">
                  <c:v>88.026600000000002</c:v>
                </c:pt>
                <c:pt idx="318">
                  <c:v>88.3476</c:v>
                </c:pt>
                <c:pt idx="319">
                  <c:v>87.041600000000003</c:v>
                </c:pt>
                <c:pt idx="320">
                  <c:v>86.918599999999998</c:v>
                </c:pt>
                <c:pt idx="321">
                  <c:v>86.001499999999993</c:v>
                </c:pt>
                <c:pt idx="322">
                  <c:v>84.277299999999997</c:v>
                </c:pt>
                <c:pt idx="323">
                  <c:v>86.066000000000003</c:v>
                </c:pt>
                <c:pt idx="324">
                  <c:v>85.031899999999993</c:v>
                </c:pt>
                <c:pt idx="325">
                  <c:v>85.357699999999994</c:v>
                </c:pt>
                <c:pt idx="326">
                  <c:v>85.138599999999997</c:v>
                </c:pt>
                <c:pt idx="327">
                  <c:v>84.885099999999994</c:v>
                </c:pt>
                <c:pt idx="328">
                  <c:v>83.022000000000006</c:v>
                </c:pt>
                <c:pt idx="329">
                  <c:v>82.727099999999993</c:v>
                </c:pt>
                <c:pt idx="330">
                  <c:v>82.766300000000001</c:v>
                </c:pt>
                <c:pt idx="331">
                  <c:v>83.278999999999996</c:v>
                </c:pt>
                <c:pt idx="332">
                  <c:v>82.3429</c:v>
                </c:pt>
                <c:pt idx="333">
                  <c:v>82.375399999999999</c:v>
                </c:pt>
                <c:pt idx="334">
                  <c:v>83.84</c:v>
                </c:pt>
                <c:pt idx="335">
                  <c:v>83.908699999999996</c:v>
                </c:pt>
                <c:pt idx="336">
                  <c:v>83.781400000000005</c:v>
                </c:pt>
                <c:pt idx="337">
                  <c:v>83.822400000000002</c:v>
                </c:pt>
                <c:pt idx="338">
                  <c:v>83.294300000000007</c:v>
                </c:pt>
                <c:pt idx="339">
                  <c:v>83.605400000000003</c:v>
                </c:pt>
                <c:pt idx="340">
                  <c:v>83.888900000000007</c:v>
                </c:pt>
                <c:pt idx="341">
                  <c:v>84.513300000000001</c:v>
                </c:pt>
                <c:pt idx="342">
                  <c:v>84.9011</c:v>
                </c:pt>
                <c:pt idx="343">
                  <c:v>85.911900000000003</c:v>
                </c:pt>
                <c:pt idx="344">
                  <c:v>86.216200000000001</c:v>
                </c:pt>
                <c:pt idx="345">
                  <c:v>85.540499999999994</c:v>
                </c:pt>
                <c:pt idx="346">
                  <c:v>86.0107</c:v>
                </c:pt>
                <c:pt idx="347">
                  <c:v>86.150099999999995</c:v>
                </c:pt>
                <c:pt idx="348">
                  <c:v>86.1053</c:v>
                </c:pt>
                <c:pt idx="349">
                  <c:v>86.021500000000003</c:v>
                </c:pt>
                <c:pt idx="350">
                  <c:v>86.8947</c:v>
                </c:pt>
                <c:pt idx="351">
                  <c:v>86.553899999999999</c:v>
                </c:pt>
                <c:pt idx="352">
                  <c:v>86.387699999999995</c:v>
                </c:pt>
                <c:pt idx="353">
                  <c:v>86.340500000000006</c:v>
                </c:pt>
                <c:pt idx="354">
                  <c:v>86.281300000000002</c:v>
                </c:pt>
                <c:pt idx="355">
                  <c:v>85.649000000000001</c:v>
                </c:pt>
                <c:pt idx="356">
                  <c:v>86.176400000000001</c:v>
                </c:pt>
                <c:pt idx="357">
                  <c:v>86.757099999999994</c:v>
                </c:pt>
                <c:pt idx="358">
                  <c:v>85.641400000000004</c:v>
                </c:pt>
                <c:pt idx="359">
                  <c:v>85.512900000000002</c:v>
                </c:pt>
                <c:pt idx="360">
                  <c:v>85.715900000000005</c:v>
                </c:pt>
                <c:pt idx="361">
                  <c:v>85.150800000000004</c:v>
                </c:pt>
                <c:pt idx="362">
                  <c:v>85.604600000000005</c:v>
                </c:pt>
                <c:pt idx="363">
                  <c:v>85.341999999999999</c:v>
                </c:pt>
                <c:pt idx="364">
                  <c:v>85.223799999999997</c:v>
                </c:pt>
                <c:pt idx="365">
                  <c:v>85.142399999999995</c:v>
                </c:pt>
                <c:pt idx="366">
                  <c:v>84.143500000000003</c:v>
                </c:pt>
                <c:pt idx="367">
                  <c:v>84.861500000000007</c:v>
                </c:pt>
                <c:pt idx="368">
                  <c:v>84.322100000000006</c:v>
                </c:pt>
                <c:pt idx="369">
                  <c:v>85.508399999999995</c:v>
                </c:pt>
                <c:pt idx="370">
                  <c:v>84.908100000000005</c:v>
                </c:pt>
                <c:pt idx="371">
                  <c:v>84.287599999999998</c:v>
                </c:pt>
                <c:pt idx="372">
                  <c:v>83.606300000000005</c:v>
                </c:pt>
                <c:pt idx="373">
                  <c:v>83.235699999999994</c:v>
                </c:pt>
                <c:pt idx="374">
                  <c:v>83.082899999999995</c:v>
                </c:pt>
                <c:pt idx="375">
                  <c:v>82.672200000000004</c:v>
                </c:pt>
                <c:pt idx="376">
                  <c:v>83.019599999999997</c:v>
                </c:pt>
                <c:pt idx="377">
                  <c:v>84.083399999999997</c:v>
                </c:pt>
                <c:pt idx="378">
                  <c:v>84.024199999999993</c:v>
                </c:pt>
                <c:pt idx="379">
                  <c:v>85.147800000000004</c:v>
                </c:pt>
                <c:pt idx="380">
                  <c:v>83.930400000000006</c:v>
                </c:pt>
                <c:pt idx="381">
                  <c:v>83.386499999999998</c:v>
                </c:pt>
                <c:pt idx="382">
                  <c:v>82.988900000000001</c:v>
                </c:pt>
                <c:pt idx="383">
                  <c:v>82.100700000000003</c:v>
                </c:pt>
                <c:pt idx="384">
                  <c:v>82.7727</c:v>
                </c:pt>
                <c:pt idx="385">
                  <c:v>83.655100000000004</c:v>
                </c:pt>
                <c:pt idx="386">
                  <c:v>84.459299999999999</c:v>
                </c:pt>
                <c:pt idx="387">
                  <c:v>84.9846</c:v>
                </c:pt>
                <c:pt idx="388">
                  <c:v>85.0535</c:v>
                </c:pt>
                <c:pt idx="389">
                  <c:v>85.069800000000001</c:v>
                </c:pt>
                <c:pt idx="390">
                  <c:v>86.073400000000007</c:v>
                </c:pt>
                <c:pt idx="391">
                  <c:v>85.670400000000001</c:v>
                </c:pt>
                <c:pt idx="392">
                  <c:v>86.236400000000003</c:v>
                </c:pt>
                <c:pt idx="393">
                  <c:v>86.740700000000004</c:v>
                </c:pt>
                <c:pt idx="394">
                  <c:v>85.871899999999997</c:v>
                </c:pt>
                <c:pt idx="395">
                  <c:v>85.722700000000003</c:v>
                </c:pt>
                <c:pt idx="396">
                  <c:v>85.238500000000002</c:v>
                </c:pt>
                <c:pt idx="397">
                  <c:v>84.055499999999995</c:v>
                </c:pt>
                <c:pt idx="398">
                  <c:v>83.974299999999999</c:v>
                </c:pt>
                <c:pt idx="399">
                  <c:v>83.229299999999995</c:v>
                </c:pt>
                <c:pt idx="400">
                  <c:v>83.752099999999999</c:v>
                </c:pt>
                <c:pt idx="401">
                  <c:v>84.3172</c:v>
                </c:pt>
                <c:pt idx="402">
                  <c:v>83.854299999999995</c:v>
                </c:pt>
                <c:pt idx="403">
                  <c:v>83.907799999999995</c:v>
                </c:pt>
                <c:pt idx="404">
                  <c:v>83.547200000000004</c:v>
                </c:pt>
                <c:pt idx="405">
                  <c:v>82.729900000000001</c:v>
                </c:pt>
                <c:pt idx="406">
                  <c:v>82.897400000000005</c:v>
                </c:pt>
                <c:pt idx="407">
                  <c:v>84.280900000000003</c:v>
                </c:pt>
                <c:pt idx="408">
                  <c:v>83.398399999999995</c:v>
                </c:pt>
                <c:pt idx="409">
                  <c:v>83.126999999999995</c:v>
                </c:pt>
                <c:pt idx="410">
                  <c:v>83.721500000000006</c:v>
                </c:pt>
                <c:pt idx="411">
                  <c:v>83.923599999999993</c:v>
                </c:pt>
                <c:pt idx="412">
                  <c:v>84.635199999999998</c:v>
                </c:pt>
                <c:pt idx="413">
                  <c:v>84.951999999999998</c:v>
                </c:pt>
                <c:pt idx="414">
                  <c:v>85.156300000000002</c:v>
                </c:pt>
                <c:pt idx="415">
                  <c:v>85.748400000000004</c:v>
                </c:pt>
                <c:pt idx="416">
                  <c:v>86.526600000000002</c:v>
                </c:pt>
                <c:pt idx="417">
                  <c:v>86.698400000000007</c:v>
                </c:pt>
                <c:pt idx="418">
                  <c:v>87.119600000000005</c:v>
                </c:pt>
                <c:pt idx="419">
                  <c:v>86.976699999999994</c:v>
                </c:pt>
                <c:pt idx="420">
                  <c:v>87.488900000000001</c:v>
                </c:pt>
                <c:pt idx="421">
                  <c:v>86.081500000000005</c:v>
                </c:pt>
                <c:pt idx="422">
                  <c:v>86.402299999999997</c:v>
                </c:pt>
                <c:pt idx="423">
                  <c:v>85.5334</c:v>
                </c:pt>
                <c:pt idx="424">
                  <c:v>87.527199999999993</c:v>
                </c:pt>
                <c:pt idx="425">
                  <c:v>87.428200000000004</c:v>
                </c:pt>
                <c:pt idx="426">
                  <c:v>89.678799999999995</c:v>
                </c:pt>
                <c:pt idx="427">
                  <c:v>88.842299999999994</c:v>
                </c:pt>
                <c:pt idx="428">
                  <c:v>89.298400000000001</c:v>
                </c:pt>
                <c:pt idx="429">
                  <c:v>88.301599999999993</c:v>
                </c:pt>
                <c:pt idx="430">
                  <c:v>86.655799999999999</c:v>
                </c:pt>
                <c:pt idx="431">
                  <c:v>86.955699999999993</c:v>
                </c:pt>
                <c:pt idx="432">
                  <c:v>88.345399999999998</c:v>
                </c:pt>
                <c:pt idx="433">
                  <c:v>88.018900000000002</c:v>
                </c:pt>
                <c:pt idx="434">
                  <c:v>88.583299999999994</c:v>
                </c:pt>
                <c:pt idx="435">
                  <c:v>89.453800000000001</c:v>
                </c:pt>
                <c:pt idx="436">
                  <c:v>88.721199999999996</c:v>
                </c:pt>
                <c:pt idx="437">
                  <c:v>87.233900000000006</c:v>
                </c:pt>
                <c:pt idx="438">
                  <c:v>88.469200000000001</c:v>
                </c:pt>
                <c:pt idx="439">
                  <c:v>88.773099999999999</c:v>
                </c:pt>
                <c:pt idx="440">
                  <c:v>89.083699999999993</c:v>
                </c:pt>
                <c:pt idx="441">
                  <c:v>88.942700000000002</c:v>
                </c:pt>
                <c:pt idx="442">
                  <c:v>89.877200000000002</c:v>
                </c:pt>
                <c:pt idx="443">
                  <c:v>89.936800000000005</c:v>
                </c:pt>
                <c:pt idx="444">
                  <c:v>88.288600000000002</c:v>
                </c:pt>
                <c:pt idx="445">
                  <c:v>88.113699999999994</c:v>
                </c:pt>
                <c:pt idx="446">
                  <c:v>87.141099999999994</c:v>
                </c:pt>
                <c:pt idx="447">
                  <c:v>86.706199999999995</c:v>
                </c:pt>
                <c:pt idx="448">
                  <c:v>85.908500000000004</c:v>
                </c:pt>
                <c:pt idx="449">
                  <c:v>85.338300000000004</c:v>
                </c:pt>
                <c:pt idx="450">
                  <c:v>85.467500000000001</c:v>
                </c:pt>
                <c:pt idx="451">
                  <c:v>85.353999999999999</c:v>
                </c:pt>
                <c:pt idx="452">
                  <c:v>85.188900000000004</c:v>
                </c:pt>
                <c:pt idx="453">
                  <c:v>84.173299999999998</c:v>
                </c:pt>
                <c:pt idx="454">
                  <c:v>84.376300000000001</c:v>
                </c:pt>
                <c:pt idx="455">
                  <c:v>84.866600000000005</c:v>
                </c:pt>
                <c:pt idx="456">
                  <c:v>84.683199999999999</c:v>
                </c:pt>
                <c:pt idx="457">
                  <c:v>85.3994</c:v>
                </c:pt>
                <c:pt idx="458">
                  <c:v>85.716700000000003</c:v>
                </c:pt>
                <c:pt idx="459">
                  <c:v>85.140299999999996</c:v>
                </c:pt>
                <c:pt idx="460">
                  <c:v>84.466300000000004</c:v>
                </c:pt>
                <c:pt idx="461">
                  <c:v>84.750399999999999</c:v>
                </c:pt>
                <c:pt idx="462">
                  <c:v>84.713800000000006</c:v>
                </c:pt>
                <c:pt idx="463">
                  <c:v>83.360600000000005</c:v>
                </c:pt>
                <c:pt idx="464">
                  <c:v>81.757599999999996</c:v>
                </c:pt>
                <c:pt idx="465">
                  <c:v>83.393000000000001</c:v>
                </c:pt>
                <c:pt idx="466">
                  <c:v>82.706599999999995</c:v>
                </c:pt>
                <c:pt idx="467">
                  <c:v>83.353700000000003</c:v>
                </c:pt>
                <c:pt idx="468">
                  <c:v>83.577500000000001</c:v>
                </c:pt>
                <c:pt idx="469">
                  <c:v>84.72</c:v>
                </c:pt>
                <c:pt idx="470">
                  <c:v>85.520499999999998</c:v>
                </c:pt>
                <c:pt idx="471">
                  <c:v>84.837699999999998</c:v>
                </c:pt>
                <c:pt idx="472">
                  <c:v>84.308999999999997</c:v>
                </c:pt>
                <c:pt idx="473">
                  <c:v>83.838700000000003</c:v>
                </c:pt>
                <c:pt idx="474">
                  <c:v>82.880600000000001</c:v>
                </c:pt>
                <c:pt idx="475">
                  <c:v>83.053700000000006</c:v>
                </c:pt>
                <c:pt idx="476">
                  <c:v>83.587999999999994</c:v>
                </c:pt>
                <c:pt idx="477">
                  <c:v>84.177300000000002</c:v>
                </c:pt>
                <c:pt idx="478">
                  <c:v>82.654300000000006</c:v>
                </c:pt>
                <c:pt idx="479">
                  <c:v>80.678200000000004</c:v>
                </c:pt>
                <c:pt idx="480">
                  <c:v>80.392700000000005</c:v>
                </c:pt>
                <c:pt idx="481">
                  <c:v>80.646199999999993</c:v>
                </c:pt>
                <c:pt idx="482">
                  <c:v>81.244600000000005</c:v>
                </c:pt>
                <c:pt idx="483">
                  <c:v>80.891099999999994</c:v>
                </c:pt>
                <c:pt idx="484">
                  <c:v>79.282499999999999</c:v>
                </c:pt>
                <c:pt idx="485">
                  <c:v>79.028800000000004</c:v>
                </c:pt>
                <c:pt idx="486">
                  <c:v>77.451899999999995</c:v>
                </c:pt>
                <c:pt idx="487">
                  <c:v>77.648099999999999</c:v>
                </c:pt>
                <c:pt idx="488">
                  <c:v>76.972499999999997</c:v>
                </c:pt>
                <c:pt idx="489">
                  <c:v>77.181700000000006</c:v>
                </c:pt>
                <c:pt idx="490">
                  <c:v>77.941699999999997</c:v>
                </c:pt>
                <c:pt idx="491">
                  <c:v>78.827200000000005</c:v>
                </c:pt>
                <c:pt idx="492">
                  <c:v>78.929299999999998</c:v>
                </c:pt>
                <c:pt idx="493">
                  <c:v>79.307199999999995</c:v>
                </c:pt>
                <c:pt idx="494">
                  <c:v>79.483500000000006</c:v>
                </c:pt>
                <c:pt idx="495">
                  <c:v>79.2517</c:v>
                </c:pt>
                <c:pt idx="496">
                  <c:v>79.575699999999998</c:v>
                </c:pt>
                <c:pt idx="497">
                  <c:v>81.230099999999993</c:v>
                </c:pt>
                <c:pt idx="498">
                  <c:v>80.788499999999999</c:v>
                </c:pt>
                <c:pt idx="499">
                  <c:v>80.755700000000004</c:v>
                </c:pt>
                <c:pt idx="500">
                  <c:v>81.288799999999995</c:v>
                </c:pt>
                <c:pt idx="501">
                  <c:v>79.599900000000005</c:v>
                </c:pt>
                <c:pt idx="502">
                  <c:v>78.820700000000002</c:v>
                </c:pt>
                <c:pt idx="503">
                  <c:v>79.429500000000004</c:v>
                </c:pt>
                <c:pt idx="504">
                  <c:v>79.947100000000006</c:v>
                </c:pt>
                <c:pt idx="505">
                  <c:v>79.379599999999996</c:v>
                </c:pt>
                <c:pt idx="506">
                  <c:v>79.444500000000005</c:v>
                </c:pt>
                <c:pt idx="507">
                  <c:v>78.424099999999996</c:v>
                </c:pt>
                <c:pt idx="508">
                  <c:v>79.296000000000006</c:v>
                </c:pt>
                <c:pt idx="509">
                  <c:v>78.382800000000003</c:v>
                </c:pt>
                <c:pt idx="510">
                  <c:v>76.869200000000006</c:v>
                </c:pt>
                <c:pt idx="511">
                  <c:v>76.460599999999999</c:v>
                </c:pt>
                <c:pt idx="512">
                  <c:v>76.084699999999998</c:v>
                </c:pt>
                <c:pt idx="513">
                  <c:v>75.946299999999994</c:v>
                </c:pt>
                <c:pt idx="514">
                  <c:v>75.461699999999993</c:v>
                </c:pt>
                <c:pt idx="515">
                  <c:v>75.744299999999996</c:v>
                </c:pt>
                <c:pt idx="516">
                  <c:v>75.774699999999996</c:v>
                </c:pt>
                <c:pt idx="517">
                  <c:v>75.175299999999993</c:v>
                </c:pt>
                <c:pt idx="518">
                  <c:v>75.973200000000006</c:v>
                </c:pt>
                <c:pt idx="519">
                  <c:v>75.105800000000002</c:v>
                </c:pt>
                <c:pt idx="520">
                  <c:v>75.745500000000007</c:v>
                </c:pt>
                <c:pt idx="521">
                  <c:v>76.028800000000004</c:v>
                </c:pt>
                <c:pt idx="522">
                  <c:v>74.7166</c:v>
                </c:pt>
                <c:pt idx="523">
                  <c:v>75.438900000000004</c:v>
                </c:pt>
                <c:pt idx="524">
                  <c:v>73.957800000000006</c:v>
                </c:pt>
                <c:pt idx="525">
                  <c:v>73.915999999999997</c:v>
                </c:pt>
                <c:pt idx="526">
                  <c:v>74.002799999999993</c:v>
                </c:pt>
                <c:pt idx="527">
                  <c:v>75.504800000000003</c:v>
                </c:pt>
                <c:pt idx="528">
                  <c:v>75.596500000000006</c:v>
                </c:pt>
                <c:pt idx="529">
                  <c:v>76.141900000000007</c:v>
                </c:pt>
                <c:pt idx="530">
                  <c:v>76.271799999999999</c:v>
                </c:pt>
                <c:pt idx="531">
                  <c:v>74.849999999999994</c:v>
                </c:pt>
                <c:pt idx="532">
                  <c:v>75.952600000000004</c:v>
                </c:pt>
                <c:pt idx="533">
                  <c:v>77.223399999999998</c:v>
                </c:pt>
                <c:pt idx="534">
                  <c:v>76.104900000000001</c:v>
                </c:pt>
                <c:pt idx="535">
                  <c:v>76.119799999999998</c:v>
                </c:pt>
                <c:pt idx="536">
                  <c:v>75.498999999999995</c:v>
                </c:pt>
                <c:pt idx="537">
                  <c:v>74.495900000000006</c:v>
                </c:pt>
                <c:pt idx="538">
                  <c:v>75.235500000000002</c:v>
                </c:pt>
                <c:pt idx="539">
                  <c:v>73.791499999999999</c:v>
                </c:pt>
                <c:pt idx="540">
                  <c:v>72.875900000000001</c:v>
                </c:pt>
                <c:pt idx="541">
                  <c:v>73.609800000000007</c:v>
                </c:pt>
                <c:pt idx="542">
                  <c:v>73.487700000000004</c:v>
                </c:pt>
                <c:pt idx="543">
                  <c:v>74.559399999999997</c:v>
                </c:pt>
                <c:pt idx="544">
                  <c:v>74.63</c:v>
                </c:pt>
                <c:pt idx="545">
                  <c:v>74.433800000000005</c:v>
                </c:pt>
                <c:pt idx="546">
                  <c:v>75.122100000000003</c:v>
                </c:pt>
                <c:pt idx="547">
                  <c:v>76.726500000000001</c:v>
                </c:pt>
                <c:pt idx="548">
                  <c:v>76.6828</c:v>
                </c:pt>
                <c:pt idx="549">
                  <c:v>76.641400000000004</c:v>
                </c:pt>
                <c:pt idx="550">
                  <c:v>77.662800000000004</c:v>
                </c:pt>
                <c:pt idx="551">
                  <c:v>77.9054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74-47E7-9D22-FE75205CE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93816"/>
        <c:axId val="320894208"/>
      </c:lineChart>
      <c:dateAx>
        <c:axId val="320542504"/>
        <c:scaling>
          <c:orientation val="minMax"/>
          <c:min val="42370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544072"/>
        <c:crosses val="autoZero"/>
        <c:auto val="1"/>
        <c:lblOffset val="100"/>
        <c:baseTimeUnit val="days"/>
      </c:dateAx>
      <c:valAx>
        <c:axId val="320544072"/>
        <c:scaling>
          <c:orientation val="minMax"/>
          <c:min val="25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542504"/>
        <c:crosses val="autoZero"/>
        <c:crossBetween val="between"/>
      </c:valAx>
      <c:valAx>
        <c:axId val="320894208"/>
        <c:scaling>
          <c:orientation val="minMax"/>
          <c:min val="7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893816"/>
        <c:crosses val="max"/>
        <c:crossBetween val="between"/>
        <c:majorUnit val="5"/>
      </c:valAx>
      <c:catAx>
        <c:axId val="320893816"/>
        <c:scaling>
          <c:orientation val="minMax"/>
        </c:scaling>
        <c:delete val="1"/>
        <c:axPos val="b"/>
        <c:majorTickMark val="out"/>
        <c:minorTickMark val="none"/>
        <c:tickLblPos val="nextTo"/>
        <c:crossAx val="3208942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4518409622766233"/>
          <c:y val="0.66587445493616082"/>
          <c:w val="0.53331265758082214"/>
          <c:h val="0.17131771179205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8573928258989"/>
          <c:y val="6.0544254884806116E-2"/>
          <c:w val="0.87251137357830344"/>
          <c:h val="0.78209528237014658"/>
        </c:manualLayout>
      </c:layout>
      <c:lineChart>
        <c:grouping val="standard"/>
        <c:varyColors val="0"/>
        <c:ser>
          <c:idx val="0"/>
          <c:order val="0"/>
          <c:tx>
            <c:strRef>
              <c:f>'Graf 36 '!$L$1</c:f>
              <c:strCache>
                <c:ptCount val="1"/>
                <c:pt idx="0">
                  <c:v>Pokryte mesiace</c:v>
                </c:pt>
              </c:strCache>
            </c:strRef>
          </c:tx>
          <c:spPr>
            <a:ln w="1905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trendline>
            <c:name>12M kĺzavý priemer</c:name>
            <c:spPr>
              <a:ln w="19050" cmpd="sng">
                <a:solidFill>
                  <a:srgbClr val="2C9ADC"/>
                </a:solidFill>
                <a:prstDash val="solid"/>
              </a:ln>
            </c:spPr>
            <c:trendlineType val="movingAvg"/>
            <c:period val="12"/>
            <c:dispRSqr val="0"/>
            <c:dispEq val="0"/>
          </c:trendline>
          <c:cat>
            <c:numRef>
              <c:f>'Graf 36 '!$K$2:$K$193</c:f>
              <c:numCache>
                <c:formatCode>m/d/yyyy</c:formatCode>
                <c:ptCount val="19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38837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38990</c:v>
                </c:pt>
                <c:pt idx="9">
                  <c:v>39021</c:v>
                </c:pt>
                <c:pt idx="10">
                  <c:v>39051</c:v>
                </c:pt>
                <c:pt idx="11">
                  <c:v>39082</c:v>
                </c:pt>
                <c:pt idx="12">
                  <c:v>39113</c:v>
                </c:pt>
                <c:pt idx="13">
                  <c:v>39141</c:v>
                </c:pt>
                <c:pt idx="14">
                  <c:v>39172</c:v>
                </c:pt>
                <c:pt idx="15">
                  <c:v>39202</c:v>
                </c:pt>
                <c:pt idx="16">
                  <c:v>39233</c:v>
                </c:pt>
                <c:pt idx="17">
                  <c:v>39263</c:v>
                </c:pt>
                <c:pt idx="18">
                  <c:v>39294</c:v>
                </c:pt>
                <c:pt idx="19">
                  <c:v>39325</c:v>
                </c:pt>
                <c:pt idx="20">
                  <c:v>39355</c:v>
                </c:pt>
                <c:pt idx="21">
                  <c:v>39386</c:v>
                </c:pt>
                <c:pt idx="22">
                  <c:v>39416</c:v>
                </c:pt>
                <c:pt idx="23">
                  <c:v>39447</c:v>
                </c:pt>
                <c:pt idx="24">
                  <c:v>39478</c:v>
                </c:pt>
                <c:pt idx="25">
                  <c:v>39507</c:v>
                </c:pt>
                <c:pt idx="26">
                  <c:v>39538</c:v>
                </c:pt>
                <c:pt idx="27">
                  <c:v>39568</c:v>
                </c:pt>
                <c:pt idx="28">
                  <c:v>39599</c:v>
                </c:pt>
                <c:pt idx="29">
                  <c:v>39629</c:v>
                </c:pt>
                <c:pt idx="30">
                  <c:v>39660</c:v>
                </c:pt>
                <c:pt idx="31">
                  <c:v>39691</c:v>
                </c:pt>
                <c:pt idx="32">
                  <c:v>39721</c:v>
                </c:pt>
                <c:pt idx="33">
                  <c:v>39752</c:v>
                </c:pt>
                <c:pt idx="34">
                  <c:v>39782</c:v>
                </c:pt>
                <c:pt idx="35">
                  <c:v>39813</c:v>
                </c:pt>
                <c:pt idx="36">
                  <c:v>39844</c:v>
                </c:pt>
                <c:pt idx="37">
                  <c:v>39872</c:v>
                </c:pt>
                <c:pt idx="38">
                  <c:v>39903</c:v>
                </c:pt>
                <c:pt idx="39">
                  <c:v>39933</c:v>
                </c:pt>
                <c:pt idx="40">
                  <c:v>39964</c:v>
                </c:pt>
                <c:pt idx="41">
                  <c:v>39994</c:v>
                </c:pt>
                <c:pt idx="42">
                  <c:v>40025</c:v>
                </c:pt>
                <c:pt idx="43">
                  <c:v>40056</c:v>
                </c:pt>
                <c:pt idx="44">
                  <c:v>40086</c:v>
                </c:pt>
                <c:pt idx="45">
                  <c:v>40117</c:v>
                </c:pt>
                <c:pt idx="46">
                  <c:v>40147</c:v>
                </c:pt>
                <c:pt idx="47">
                  <c:v>40178</c:v>
                </c:pt>
                <c:pt idx="48">
                  <c:v>40209</c:v>
                </c:pt>
                <c:pt idx="49">
                  <c:v>40237</c:v>
                </c:pt>
                <c:pt idx="50">
                  <c:v>40268</c:v>
                </c:pt>
                <c:pt idx="51">
                  <c:v>40298</c:v>
                </c:pt>
                <c:pt idx="52">
                  <c:v>40329</c:v>
                </c:pt>
                <c:pt idx="53">
                  <c:v>40359</c:v>
                </c:pt>
                <c:pt idx="54">
                  <c:v>40390</c:v>
                </c:pt>
                <c:pt idx="55">
                  <c:v>40421</c:v>
                </c:pt>
                <c:pt idx="56">
                  <c:v>40451</c:v>
                </c:pt>
                <c:pt idx="57">
                  <c:v>40482</c:v>
                </c:pt>
                <c:pt idx="58">
                  <c:v>40512</c:v>
                </c:pt>
                <c:pt idx="59">
                  <c:v>40543</c:v>
                </c:pt>
                <c:pt idx="60">
                  <c:v>40574</c:v>
                </c:pt>
                <c:pt idx="61">
                  <c:v>40602</c:v>
                </c:pt>
                <c:pt idx="62">
                  <c:v>40633</c:v>
                </c:pt>
                <c:pt idx="63">
                  <c:v>40663</c:v>
                </c:pt>
                <c:pt idx="64">
                  <c:v>40694</c:v>
                </c:pt>
                <c:pt idx="65">
                  <c:v>40724</c:v>
                </c:pt>
                <c:pt idx="66">
                  <c:v>40755</c:v>
                </c:pt>
                <c:pt idx="67">
                  <c:v>40786</c:v>
                </c:pt>
                <c:pt idx="68">
                  <c:v>40816</c:v>
                </c:pt>
                <c:pt idx="69">
                  <c:v>40847</c:v>
                </c:pt>
                <c:pt idx="70">
                  <c:v>40877</c:v>
                </c:pt>
                <c:pt idx="71">
                  <c:v>40908</c:v>
                </c:pt>
                <c:pt idx="72">
                  <c:v>40939</c:v>
                </c:pt>
                <c:pt idx="73">
                  <c:v>40968</c:v>
                </c:pt>
                <c:pt idx="74">
                  <c:v>40999</c:v>
                </c:pt>
                <c:pt idx="75">
                  <c:v>41029</c:v>
                </c:pt>
                <c:pt idx="76">
                  <c:v>41060</c:v>
                </c:pt>
                <c:pt idx="77">
                  <c:v>41090</c:v>
                </c:pt>
                <c:pt idx="78">
                  <c:v>41121</c:v>
                </c:pt>
                <c:pt idx="79">
                  <c:v>41152</c:v>
                </c:pt>
                <c:pt idx="80">
                  <c:v>41182</c:v>
                </c:pt>
                <c:pt idx="81">
                  <c:v>41213</c:v>
                </c:pt>
                <c:pt idx="82">
                  <c:v>41243</c:v>
                </c:pt>
                <c:pt idx="83">
                  <c:v>41274</c:v>
                </c:pt>
                <c:pt idx="84">
                  <c:v>41305</c:v>
                </c:pt>
                <c:pt idx="85">
                  <c:v>41333</c:v>
                </c:pt>
                <c:pt idx="86">
                  <c:v>41364</c:v>
                </c:pt>
                <c:pt idx="87">
                  <c:v>41394</c:v>
                </c:pt>
                <c:pt idx="88">
                  <c:v>41425</c:v>
                </c:pt>
                <c:pt idx="89">
                  <c:v>41455</c:v>
                </c:pt>
                <c:pt idx="90">
                  <c:v>41486</c:v>
                </c:pt>
                <c:pt idx="91">
                  <c:v>41517</c:v>
                </c:pt>
                <c:pt idx="92">
                  <c:v>41547</c:v>
                </c:pt>
                <c:pt idx="93">
                  <c:v>41578</c:v>
                </c:pt>
                <c:pt idx="94">
                  <c:v>41608</c:v>
                </c:pt>
                <c:pt idx="95">
                  <c:v>41639</c:v>
                </c:pt>
                <c:pt idx="96">
                  <c:v>41670</c:v>
                </c:pt>
                <c:pt idx="97">
                  <c:v>41698</c:v>
                </c:pt>
                <c:pt idx="98">
                  <c:v>41729</c:v>
                </c:pt>
                <c:pt idx="99">
                  <c:v>41759</c:v>
                </c:pt>
                <c:pt idx="100">
                  <c:v>41790</c:v>
                </c:pt>
                <c:pt idx="101">
                  <c:v>41820</c:v>
                </c:pt>
                <c:pt idx="102">
                  <c:v>41851</c:v>
                </c:pt>
                <c:pt idx="103">
                  <c:v>41882</c:v>
                </c:pt>
                <c:pt idx="104">
                  <c:v>41912</c:v>
                </c:pt>
                <c:pt idx="105">
                  <c:v>41943</c:v>
                </c:pt>
                <c:pt idx="106">
                  <c:v>41973</c:v>
                </c:pt>
                <c:pt idx="107">
                  <c:v>42004</c:v>
                </c:pt>
                <c:pt idx="108">
                  <c:v>42035</c:v>
                </c:pt>
                <c:pt idx="109">
                  <c:v>42063</c:v>
                </c:pt>
                <c:pt idx="110">
                  <c:v>42094</c:v>
                </c:pt>
                <c:pt idx="111">
                  <c:v>42124</c:v>
                </c:pt>
                <c:pt idx="112">
                  <c:v>42155</c:v>
                </c:pt>
                <c:pt idx="113">
                  <c:v>42185</c:v>
                </c:pt>
                <c:pt idx="114">
                  <c:v>42216</c:v>
                </c:pt>
                <c:pt idx="115">
                  <c:v>42247</c:v>
                </c:pt>
                <c:pt idx="116">
                  <c:v>42277</c:v>
                </c:pt>
                <c:pt idx="117">
                  <c:v>42308</c:v>
                </c:pt>
                <c:pt idx="118">
                  <c:v>42338</c:v>
                </c:pt>
                <c:pt idx="119">
                  <c:v>42369</c:v>
                </c:pt>
                <c:pt idx="120">
                  <c:v>42400</c:v>
                </c:pt>
                <c:pt idx="121">
                  <c:v>42429</c:v>
                </c:pt>
                <c:pt idx="122">
                  <c:v>42460</c:v>
                </c:pt>
                <c:pt idx="123">
                  <c:v>42490</c:v>
                </c:pt>
                <c:pt idx="124">
                  <c:v>42521</c:v>
                </c:pt>
                <c:pt idx="125">
                  <c:v>42551</c:v>
                </c:pt>
                <c:pt idx="126">
                  <c:v>42582</c:v>
                </c:pt>
                <c:pt idx="127">
                  <c:v>42613</c:v>
                </c:pt>
                <c:pt idx="128">
                  <c:v>42643</c:v>
                </c:pt>
                <c:pt idx="129">
                  <c:v>42674</c:v>
                </c:pt>
                <c:pt idx="130">
                  <c:v>42704</c:v>
                </c:pt>
                <c:pt idx="131">
                  <c:v>42735</c:v>
                </c:pt>
                <c:pt idx="132">
                  <c:v>42766</c:v>
                </c:pt>
                <c:pt idx="133">
                  <c:v>42794</c:v>
                </c:pt>
                <c:pt idx="134">
                  <c:v>42825</c:v>
                </c:pt>
                <c:pt idx="135">
                  <c:v>42855</c:v>
                </c:pt>
                <c:pt idx="136">
                  <c:v>42886</c:v>
                </c:pt>
                <c:pt idx="137">
                  <c:v>42916</c:v>
                </c:pt>
                <c:pt idx="138">
                  <c:v>42947</c:v>
                </c:pt>
                <c:pt idx="139">
                  <c:v>42978</c:v>
                </c:pt>
                <c:pt idx="140">
                  <c:v>43008</c:v>
                </c:pt>
                <c:pt idx="141">
                  <c:v>43039</c:v>
                </c:pt>
                <c:pt idx="142">
                  <c:v>43069</c:v>
                </c:pt>
                <c:pt idx="143">
                  <c:v>43100</c:v>
                </c:pt>
                <c:pt idx="144">
                  <c:v>43131</c:v>
                </c:pt>
                <c:pt idx="145">
                  <c:v>43159</c:v>
                </c:pt>
                <c:pt idx="146">
                  <c:v>43190</c:v>
                </c:pt>
                <c:pt idx="147">
                  <c:v>43220</c:v>
                </c:pt>
                <c:pt idx="148">
                  <c:v>43251</c:v>
                </c:pt>
                <c:pt idx="149">
                  <c:v>43281</c:v>
                </c:pt>
                <c:pt idx="150">
                  <c:v>43312</c:v>
                </c:pt>
                <c:pt idx="151">
                  <c:v>43343</c:v>
                </c:pt>
                <c:pt idx="152">
                  <c:v>43373</c:v>
                </c:pt>
                <c:pt idx="153">
                  <c:v>43404</c:v>
                </c:pt>
                <c:pt idx="154">
                  <c:v>43434</c:v>
                </c:pt>
                <c:pt idx="155">
                  <c:v>43465</c:v>
                </c:pt>
                <c:pt idx="156">
                  <c:v>43496</c:v>
                </c:pt>
                <c:pt idx="157">
                  <c:v>43524</c:v>
                </c:pt>
                <c:pt idx="158">
                  <c:v>43555</c:v>
                </c:pt>
                <c:pt idx="159">
                  <c:v>43585</c:v>
                </c:pt>
                <c:pt idx="160">
                  <c:v>43616</c:v>
                </c:pt>
                <c:pt idx="161">
                  <c:v>43646</c:v>
                </c:pt>
                <c:pt idx="162">
                  <c:v>43677</c:v>
                </c:pt>
                <c:pt idx="163">
                  <c:v>43708</c:v>
                </c:pt>
                <c:pt idx="164">
                  <c:v>43738</c:v>
                </c:pt>
                <c:pt idx="165">
                  <c:v>43769</c:v>
                </c:pt>
                <c:pt idx="166">
                  <c:v>43799</c:v>
                </c:pt>
                <c:pt idx="167">
                  <c:v>43830</c:v>
                </c:pt>
                <c:pt idx="168">
                  <c:v>43861</c:v>
                </c:pt>
                <c:pt idx="169">
                  <c:v>43890</c:v>
                </c:pt>
                <c:pt idx="170">
                  <c:v>43921</c:v>
                </c:pt>
                <c:pt idx="171">
                  <c:v>43951</c:v>
                </c:pt>
                <c:pt idx="172">
                  <c:v>43982</c:v>
                </c:pt>
                <c:pt idx="173">
                  <c:v>44012</c:v>
                </c:pt>
                <c:pt idx="174">
                  <c:v>44043</c:v>
                </c:pt>
                <c:pt idx="175">
                  <c:v>44074</c:v>
                </c:pt>
                <c:pt idx="176">
                  <c:v>44104</c:v>
                </c:pt>
                <c:pt idx="177">
                  <c:v>44135</c:v>
                </c:pt>
                <c:pt idx="178">
                  <c:v>44165</c:v>
                </c:pt>
                <c:pt idx="179">
                  <c:v>44196</c:v>
                </c:pt>
                <c:pt idx="180">
                  <c:v>44227</c:v>
                </c:pt>
                <c:pt idx="181">
                  <c:v>44255</c:v>
                </c:pt>
                <c:pt idx="182">
                  <c:v>44286</c:v>
                </c:pt>
                <c:pt idx="183">
                  <c:v>44316</c:v>
                </c:pt>
                <c:pt idx="184">
                  <c:v>44347</c:v>
                </c:pt>
                <c:pt idx="185">
                  <c:v>44377</c:v>
                </c:pt>
                <c:pt idx="186">
                  <c:v>44408</c:v>
                </c:pt>
                <c:pt idx="187">
                  <c:v>44439</c:v>
                </c:pt>
                <c:pt idx="188">
                  <c:v>44469</c:v>
                </c:pt>
                <c:pt idx="189">
                  <c:v>44500</c:v>
                </c:pt>
                <c:pt idx="190">
                  <c:v>44530</c:v>
                </c:pt>
                <c:pt idx="191">
                  <c:v>44561</c:v>
                </c:pt>
              </c:numCache>
            </c:numRef>
          </c:cat>
          <c:val>
            <c:numRef>
              <c:f>'Graf 36 '!$L$2:$L$193</c:f>
              <c:numCache>
                <c:formatCode>#,##0</c:formatCode>
                <c:ptCount val="192"/>
                <c:pt idx="0">
                  <c:v>1</c:v>
                </c:pt>
                <c:pt idx="1">
                  <c:v>1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6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7</c:v>
                </c:pt>
                <c:pt idx="29">
                  <c:v>7</c:v>
                </c:pt>
                <c:pt idx="30">
                  <c:v>6</c:v>
                </c:pt>
                <c:pt idx="31">
                  <c:v>5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7</c:v>
                </c:pt>
                <c:pt idx="41">
                  <c:v>6</c:v>
                </c:pt>
                <c:pt idx="42">
                  <c:v>5</c:v>
                </c:pt>
                <c:pt idx="43">
                  <c:v>4</c:v>
                </c:pt>
                <c:pt idx="44">
                  <c:v>4</c:v>
                </c:pt>
                <c:pt idx="45">
                  <c:v>3</c:v>
                </c:pt>
                <c:pt idx="46">
                  <c:v>3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3</c:v>
                </c:pt>
                <c:pt idx="59">
                  <c:v>1</c:v>
                </c:pt>
                <c:pt idx="60">
                  <c:v>3</c:v>
                </c:pt>
                <c:pt idx="61">
                  <c:v>2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5</c:v>
                </c:pt>
                <c:pt idx="67">
                  <c:v>4</c:v>
                </c:pt>
                <c:pt idx="68">
                  <c:v>4</c:v>
                </c:pt>
                <c:pt idx="69">
                  <c:v>3</c:v>
                </c:pt>
                <c:pt idx="70">
                  <c:v>2</c:v>
                </c:pt>
                <c:pt idx="71">
                  <c:v>1</c:v>
                </c:pt>
                <c:pt idx="72">
                  <c:v>2</c:v>
                </c:pt>
                <c:pt idx="73">
                  <c:v>3</c:v>
                </c:pt>
                <c:pt idx="74">
                  <c:v>2</c:v>
                </c:pt>
                <c:pt idx="75">
                  <c:v>3</c:v>
                </c:pt>
                <c:pt idx="76">
                  <c:v>9</c:v>
                </c:pt>
                <c:pt idx="77">
                  <c:v>7</c:v>
                </c:pt>
                <c:pt idx="78">
                  <c:v>7</c:v>
                </c:pt>
                <c:pt idx="79">
                  <c:v>7</c:v>
                </c:pt>
                <c:pt idx="80">
                  <c:v>6</c:v>
                </c:pt>
                <c:pt idx="81">
                  <c:v>5</c:v>
                </c:pt>
                <c:pt idx="82">
                  <c:v>4</c:v>
                </c:pt>
                <c:pt idx="83">
                  <c:v>3</c:v>
                </c:pt>
                <c:pt idx="84">
                  <c:v>3</c:v>
                </c:pt>
                <c:pt idx="85">
                  <c:v>9</c:v>
                </c:pt>
                <c:pt idx="86">
                  <c:v>10</c:v>
                </c:pt>
                <c:pt idx="87">
                  <c:v>9</c:v>
                </c:pt>
                <c:pt idx="88">
                  <c:v>10</c:v>
                </c:pt>
                <c:pt idx="89">
                  <c:v>9</c:v>
                </c:pt>
                <c:pt idx="90">
                  <c:v>8</c:v>
                </c:pt>
                <c:pt idx="91">
                  <c:v>7</c:v>
                </c:pt>
                <c:pt idx="92">
                  <c:v>6</c:v>
                </c:pt>
                <c:pt idx="93">
                  <c:v>6</c:v>
                </c:pt>
                <c:pt idx="94">
                  <c:v>6</c:v>
                </c:pt>
                <c:pt idx="95">
                  <c:v>4</c:v>
                </c:pt>
                <c:pt idx="96">
                  <c:v>9</c:v>
                </c:pt>
                <c:pt idx="97">
                  <c:v>10</c:v>
                </c:pt>
                <c:pt idx="98">
                  <c:v>9</c:v>
                </c:pt>
                <c:pt idx="99">
                  <c:v>10</c:v>
                </c:pt>
                <c:pt idx="100">
                  <c:v>8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7</c:v>
                </c:pt>
                <c:pt idx="105">
                  <c:v>4</c:v>
                </c:pt>
                <c:pt idx="106">
                  <c:v>6</c:v>
                </c:pt>
                <c:pt idx="107">
                  <c:v>1</c:v>
                </c:pt>
                <c:pt idx="108">
                  <c:v>1</c:v>
                </c:pt>
                <c:pt idx="109">
                  <c:v>8</c:v>
                </c:pt>
                <c:pt idx="110">
                  <c:v>7</c:v>
                </c:pt>
                <c:pt idx="111">
                  <c:v>7</c:v>
                </c:pt>
                <c:pt idx="112">
                  <c:v>6</c:v>
                </c:pt>
                <c:pt idx="113">
                  <c:v>8</c:v>
                </c:pt>
                <c:pt idx="114">
                  <c:v>7</c:v>
                </c:pt>
                <c:pt idx="115">
                  <c:v>6</c:v>
                </c:pt>
                <c:pt idx="116">
                  <c:v>5</c:v>
                </c:pt>
                <c:pt idx="117">
                  <c:v>4</c:v>
                </c:pt>
                <c:pt idx="118">
                  <c:v>5</c:v>
                </c:pt>
                <c:pt idx="119">
                  <c:v>2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6</c:v>
                </c:pt>
                <c:pt idx="124">
                  <c:v>6</c:v>
                </c:pt>
                <c:pt idx="125">
                  <c:v>7</c:v>
                </c:pt>
                <c:pt idx="126">
                  <c:v>6</c:v>
                </c:pt>
                <c:pt idx="127" formatCode="General">
                  <c:v>5</c:v>
                </c:pt>
                <c:pt idx="128">
                  <c:v>3</c:v>
                </c:pt>
                <c:pt idx="129">
                  <c:v>2</c:v>
                </c:pt>
                <c:pt idx="130">
                  <c:v>2</c:v>
                </c:pt>
                <c:pt idx="131">
                  <c:v>1</c:v>
                </c:pt>
                <c:pt idx="132">
                  <c:v>2</c:v>
                </c:pt>
                <c:pt idx="133">
                  <c:v>3</c:v>
                </c:pt>
                <c:pt idx="134">
                  <c:v>8</c:v>
                </c:pt>
                <c:pt idx="135">
                  <c:v>6</c:v>
                </c:pt>
                <c:pt idx="136">
                  <c:v>6</c:v>
                </c:pt>
                <c:pt idx="137">
                  <c:v>5</c:v>
                </c:pt>
                <c:pt idx="138">
                  <c:v>6</c:v>
                </c:pt>
                <c:pt idx="139">
                  <c:v>5</c:v>
                </c:pt>
                <c:pt idx="140">
                  <c:v>6</c:v>
                </c:pt>
                <c:pt idx="141">
                  <c:v>7</c:v>
                </c:pt>
                <c:pt idx="142">
                  <c:v>12</c:v>
                </c:pt>
                <c:pt idx="143">
                  <c:v>11</c:v>
                </c:pt>
                <c:pt idx="144">
                  <c:v>9</c:v>
                </c:pt>
                <c:pt idx="145">
                  <c:v>8</c:v>
                </c:pt>
                <c:pt idx="146">
                  <c:v>7</c:v>
                </c:pt>
                <c:pt idx="147">
                  <c:v>6</c:v>
                </c:pt>
                <c:pt idx="148">
                  <c:v>5</c:v>
                </c:pt>
                <c:pt idx="149">
                  <c:v>6</c:v>
                </c:pt>
                <c:pt idx="150">
                  <c:v>4</c:v>
                </c:pt>
                <c:pt idx="151">
                  <c:v>6</c:v>
                </c:pt>
                <c:pt idx="152">
                  <c:v>7</c:v>
                </c:pt>
                <c:pt idx="153">
                  <c:v>6</c:v>
                </c:pt>
                <c:pt idx="154">
                  <c:v>6</c:v>
                </c:pt>
                <c:pt idx="155">
                  <c:v>6</c:v>
                </c:pt>
                <c:pt idx="156">
                  <c:v>6</c:v>
                </c:pt>
                <c:pt idx="157">
                  <c:v>7</c:v>
                </c:pt>
                <c:pt idx="158">
                  <c:v>6</c:v>
                </c:pt>
                <c:pt idx="159">
                  <c:v>6</c:v>
                </c:pt>
                <c:pt idx="160">
                  <c:v>10</c:v>
                </c:pt>
                <c:pt idx="161">
                  <c:v>9</c:v>
                </c:pt>
                <c:pt idx="162">
                  <c:v>8</c:v>
                </c:pt>
                <c:pt idx="163">
                  <c:v>7</c:v>
                </c:pt>
                <c:pt idx="164">
                  <c:v>6</c:v>
                </c:pt>
                <c:pt idx="165">
                  <c:v>5</c:v>
                </c:pt>
                <c:pt idx="166">
                  <c:v>4</c:v>
                </c:pt>
                <c:pt idx="167">
                  <c:v>3</c:v>
                </c:pt>
                <c:pt idx="168">
                  <c:v>2</c:v>
                </c:pt>
                <c:pt idx="169">
                  <c:v>1</c:v>
                </c:pt>
                <c:pt idx="170">
                  <c:v>6</c:v>
                </c:pt>
                <c:pt idx="171">
                  <c:v>7</c:v>
                </c:pt>
                <c:pt idx="172">
                  <c:v>9</c:v>
                </c:pt>
                <c:pt idx="173">
                  <c:v>8</c:v>
                </c:pt>
                <c:pt idx="174">
                  <c:v>7</c:v>
                </c:pt>
                <c:pt idx="175">
                  <c:v>6</c:v>
                </c:pt>
                <c:pt idx="176">
                  <c:v>5</c:v>
                </c:pt>
                <c:pt idx="177">
                  <c:v>11</c:v>
                </c:pt>
                <c:pt idx="178">
                  <c:v>10</c:v>
                </c:pt>
                <c:pt idx="179">
                  <c:v>9</c:v>
                </c:pt>
                <c:pt idx="180" formatCode="General">
                  <c:v>9</c:v>
                </c:pt>
                <c:pt idx="181" formatCode="General">
                  <c:v>9</c:v>
                </c:pt>
                <c:pt idx="182" formatCode="General">
                  <c:v>9</c:v>
                </c:pt>
                <c:pt idx="183" formatCode="General">
                  <c:v>9</c:v>
                </c:pt>
                <c:pt idx="184" formatCode="General">
                  <c:v>9</c:v>
                </c:pt>
                <c:pt idx="185" formatCode="General">
                  <c:v>9</c:v>
                </c:pt>
                <c:pt idx="186" formatCode="General">
                  <c:v>9</c:v>
                </c:pt>
                <c:pt idx="187" formatCode="General">
                  <c:v>9</c:v>
                </c:pt>
                <c:pt idx="188" formatCode="General">
                  <c:v>9</c:v>
                </c:pt>
                <c:pt idx="189" formatCode="General">
                  <c:v>9</c:v>
                </c:pt>
                <c:pt idx="190" formatCode="General">
                  <c:v>9</c:v>
                </c:pt>
                <c:pt idx="191" formatCode="General">
                  <c:v>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71-4A74-9B73-D76089226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237000"/>
        <c:axId val="33023739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2"/>
                <c:order val="1"/>
                <c:spPr>
                  <a:ln>
                    <a:solidFill>
                      <a:srgbClr val="00B050"/>
                    </a:solidFill>
                    <a:prstDash val="solid"/>
                  </a:ln>
                </c:spPr>
                <c:marker>
                  <c:symbol val="none"/>
                </c:marker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'Graf 36 '!$K$2:$K$193</c15:sqref>
                        </c15:formulaRef>
                      </c:ext>
                    </c:extLst>
                    <c:numCache>
                      <c:formatCode>m/d/yyyy</c:formatCode>
                      <c:ptCount val="192"/>
                      <c:pt idx="0">
                        <c:v>38748</c:v>
                      </c:pt>
                      <c:pt idx="1">
                        <c:v>38776</c:v>
                      </c:pt>
                      <c:pt idx="2">
                        <c:v>38807</c:v>
                      </c:pt>
                      <c:pt idx="3">
                        <c:v>38837</c:v>
                      </c:pt>
                      <c:pt idx="4">
                        <c:v>38868</c:v>
                      </c:pt>
                      <c:pt idx="5">
                        <c:v>38898</c:v>
                      </c:pt>
                      <c:pt idx="6">
                        <c:v>38929</c:v>
                      </c:pt>
                      <c:pt idx="7">
                        <c:v>38960</c:v>
                      </c:pt>
                      <c:pt idx="8">
                        <c:v>38990</c:v>
                      </c:pt>
                      <c:pt idx="9">
                        <c:v>39021</c:v>
                      </c:pt>
                      <c:pt idx="10">
                        <c:v>39051</c:v>
                      </c:pt>
                      <c:pt idx="11">
                        <c:v>39082</c:v>
                      </c:pt>
                      <c:pt idx="12">
                        <c:v>39113</c:v>
                      </c:pt>
                      <c:pt idx="13">
                        <c:v>39141</c:v>
                      </c:pt>
                      <c:pt idx="14">
                        <c:v>39172</c:v>
                      </c:pt>
                      <c:pt idx="15">
                        <c:v>39202</c:v>
                      </c:pt>
                      <c:pt idx="16">
                        <c:v>39233</c:v>
                      </c:pt>
                      <c:pt idx="17">
                        <c:v>39263</c:v>
                      </c:pt>
                      <c:pt idx="18">
                        <c:v>39294</c:v>
                      </c:pt>
                      <c:pt idx="19">
                        <c:v>39325</c:v>
                      </c:pt>
                      <c:pt idx="20">
                        <c:v>39355</c:v>
                      </c:pt>
                      <c:pt idx="21">
                        <c:v>39386</c:v>
                      </c:pt>
                      <c:pt idx="22">
                        <c:v>39416</c:v>
                      </c:pt>
                      <c:pt idx="23">
                        <c:v>39447</c:v>
                      </c:pt>
                      <c:pt idx="24">
                        <c:v>39478</c:v>
                      </c:pt>
                      <c:pt idx="25">
                        <c:v>39507</c:v>
                      </c:pt>
                      <c:pt idx="26">
                        <c:v>39538</c:v>
                      </c:pt>
                      <c:pt idx="27">
                        <c:v>39568</c:v>
                      </c:pt>
                      <c:pt idx="28">
                        <c:v>39599</c:v>
                      </c:pt>
                      <c:pt idx="29">
                        <c:v>39629</c:v>
                      </c:pt>
                      <c:pt idx="30">
                        <c:v>39660</c:v>
                      </c:pt>
                      <c:pt idx="31">
                        <c:v>39691</c:v>
                      </c:pt>
                      <c:pt idx="32">
                        <c:v>39721</c:v>
                      </c:pt>
                      <c:pt idx="33">
                        <c:v>39752</c:v>
                      </c:pt>
                      <c:pt idx="34">
                        <c:v>39782</c:v>
                      </c:pt>
                      <c:pt idx="35">
                        <c:v>39813</c:v>
                      </c:pt>
                      <c:pt idx="36">
                        <c:v>39844</c:v>
                      </c:pt>
                      <c:pt idx="37">
                        <c:v>39872</c:v>
                      </c:pt>
                      <c:pt idx="38">
                        <c:v>39903</c:v>
                      </c:pt>
                      <c:pt idx="39">
                        <c:v>39933</c:v>
                      </c:pt>
                      <c:pt idx="40">
                        <c:v>39964</c:v>
                      </c:pt>
                      <c:pt idx="41">
                        <c:v>39994</c:v>
                      </c:pt>
                      <c:pt idx="42">
                        <c:v>40025</c:v>
                      </c:pt>
                      <c:pt idx="43">
                        <c:v>40056</c:v>
                      </c:pt>
                      <c:pt idx="44">
                        <c:v>40086</c:v>
                      </c:pt>
                      <c:pt idx="45">
                        <c:v>40117</c:v>
                      </c:pt>
                      <c:pt idx="46">
                        <c:v>40147</c:v>
                      </c:pt>
                      <c:pt idx="47">
                        <c:v>40178</c:v>
                      </c:pt>
                      <c:pt idx="48">
                        <c:v>40209</c:v>
                      </c:pt>
                      <c:pt idx="49">
                        <c:v>40237</c:v>
                      </c:pt>
                      <c:pt idx="50">
                        <c:v>40268</c:v>
                      </c:pt>
                      <c:pt idx="51">
                        <c:v>40298</c:v>
                      </c:pt>
                      <c:pt idx="52">
                        <c:v>40329</c:v>
                      </c:pt>
                      <c:pt idx="53">
                        <c:v>40359</c:v>
                      </c:pt>
                      <c:pt idx="54">
                        <c:v>40390</c:v>
                      </c:pt>
                      <c:pt idx="55">
                        <c:v>40421</c:v>
                      </c:pt>
                      <c:pt idx="56">
                        <c:v>40451</c:v>
                      </c:pt>
                      <c:pt idx="57">
                        <c:v>40482</c:v>
                      </c:pt>
                      <c:pt idx="58">
                        <c:v>40512</c:v>
                      </c:pt>
                      <c:pt idx="59">
                        <c:v>40543</c:v>
                      </c:pt>
                      <c:pt idx="60">
                        <c:v>40574</c:v>
                      </c:pt>
                      <c:pt idx="61">
                        <c:v>40602</c:v>
                      </c:pt>
                      <c:pt idx="62">
                        <c:v>40633</c:v>
                      </c:pt>
                      <c:pt idx="63">
                        <c:v>40663</c:v>
                      </c:pt>
                      <c:pt idx="64">
                        <c:v>40694</c:v>
                      </c:pt>
                      <c:pt idx="65">
                        <c:v>40724</c:v>
                      </c:pt>
                      <c:pt idx="66">
                        <c:v>40755</c:v>
                      </c:pt>
                      <c:pt idx="67">
                        <c:v>40786</c:v>
                      </c:pt>
                      <c:pt idx="68">
                        <c:v>40816</c:v>
                      </c:pt>
                      <c:pt idx="69">
                        <c:v>40847</c:v>
                      </c:pt>
                      <c:pt idx="70">
                        <c:v>40877</c:v>
                      </c:pt>
                      <c:pt idx="71">
                        <c:v>40908</c:v>
                      </c:pt>
                      <c:pt idx="72">
                        <c:v>40939</c:v>
                      </c:pt>
                      <c:pt idx="73">
                        <c:v>40968</c:v>
                      </c:pt>
                      <c:pt idx="74">
                        <c:v>40999</c:v>
                      </c:pt>
                      <c:pt idx="75">
                        <c:v>41029</c:v>
                      </c:pt>
                      <c:pt idx="76">
                        <c:v>41060</c:v>
                      </c:pt>
                      <c:pt idx="77">
                        <c:v>41090</c:v>
                      </c:pt>
                      <c:pt idx="78">
                        <c:v>41121</c:v>
                      </c:pt>
                      <c:pt idx="79">
                        <c:v>41152</c:v>
                      </c:pt>
                      <c:pt idx="80">
                        <c:v>41182</c:v>
                      </c:pt>
                      <c:pt idx="81">
                        <c:v>41213</c:v>
                      </c:pt>
                      <c:pt idx="82">
                        <c:v>41243</c:v>
                      </c:pt>
                      <c:pt idx="83">
                        <c:v>41274</c:v>
                      </c:pt>
                      <c:pt idx="84">
                        <c:v>41305</c:v>
                      </c:pt>
                      <c:pt idx="85">
                        <c:v>41333</c:v>
                      </c:pt>
                      <c:pt idx="86">
                        <c:v>41364</c:v>
                      </c:pt>
                      <c:pt idx="87">
                        <c:v>41394</c:v>
                      </c:pt>
                      <c:pt idx="88">
                        <c:v>41425</c:v>
                      </c:pt>
                      <c:pt idx="89">
                        <c:v>41455</c:v>
                      </c:pt>
                      <c:pt idx="90">
                        <c:v>41486</c:v>
                      </c:pt>
                      <c:pt idx="91">
                        <c:v>41517</c:v>
                      </c:pt>
                      <c:pt idx="92">
                        <c:v>41547</c:v>
                      </c:pt>
                      <c:pt idx="93">
                        <c:v>41578</c:v>
                      </c:pt>
                      <c:pt idx="94">
                        <c:v>41608</c:v>
                      </c:pt>
                      <c:pt idx="95">
                        <c:v>41639</c:v>
                      </c:pt>
                      <c:pt idx="96">
                        <c:v>41670</c:v>
                      </c:pt>
                      <c:pt idx="97">
                        <c:v>41698</c:v>
                      </c:pt>
                      <c:pt idx="98">
                        <c:v>41729</c:v>
                      </c:pt>
                      <c:pt idx="99">
                        <c:v>41759</c:v>
                      </c:pt>
                      <c:pt idx="100">
                        <c:v>41790</c:v>
                      </c:pt>
                      <c:pt idx="101">
                        <c:v>41820</c:v>
                      </c:pt>
                      <c:pt idx="102">
                        <c:v>41851</c:v>
                      </c:pt>
                      <c:pt idx="103">
                        <c:v>41882</c:v>
                      </c:pt>
                      <c:pt idx="104">
                        <c:v>41912</c:v>
                      </c:pt>
                      <c:pt idx="105">
                        <c:v>41943</c:v>
                      </c:pt>
                      <c:pt idx="106">
                        <c:v>41973</c:v>
                      </c:pt>
                      <c:pt idx="107">
                        <c:v>42004</c:v>
                      </c:pt>
                      <c:pt idx="108">
                        <c:v>42035</c:v>
                      </c:pt>
                      <c:pt idx="109">
                        <c:v>42063</c:v>
                      </c:pt>
                      <c:pt idx="110">
                        <c:v>42094</c:v>
                      </c:pt>
                      <c:pt idx="111">
                        <c:v>42124</c:v>
                      </c:pt>
                      <c:pt idx="112">
                        <c:v>42155</c:v>
                      </c:pt>
                      <c:pt idx="113">
                        <c:v>42185</c:v>
                      </c:pt>
                      <c:pt idx="114">
                        <c:v>42216</c:v>
                      </c:pt>
                      <c:pt idx="115">
                        <c:v>42247</c:v>
                      </c:pt>
                      <c:pt idx="116">
                        <c:v>42277</c:v>
                      </c:pt>
                      <c:pt idx="117">
                        <c:v>42308</c:v>
                      </c:pt>
                      <c:pt idx="118">
                        <c:v>42338</c:v>
                      </c:pt>
                      <c:pt idx="119">
                        <c:v>42369</c:v>
                      </c:pt>
                      <c:pt idx="120">
                        <c:v>42400</c:v>
                      </c:pt>
                      <c:pt idx="121">
                        <c:v>42429</c:v>
                      </c:pt>
                      <c:pt idx="122">
                        <c:v>42460</c:v>
                      </c:pt>
                      <c:pt idx="123">
                        <c:v>42490</c:v>
                      </c:pt>
                      <c:pt idx="124">
                        <c:v>42521</c:v>
                      </c:pt>
                      <c:pt idx="125">
                        <c:v>42551</c:v>
                      </c:pt>
                      <c:pt idx="126">
                        <c:v>42582</c:v>
                      </c:pt>
                      <c:pt idx="127">
                        <c:v>42613</c:v>
                      </c:pt>
                      <c:pt idx="128">
                        <c:v>42643</c:v>
                      </c:pt>
                      <c:pt idx="129">
                        <c:v>42674</c:v>
                      </c:pt>
                      <c:pt idx="130">
                        <c:v>42704</c:v>
                      </c:pt>
                      <c:pt idx="131">
                        <c:v>42735</c:v>
                      </c:pt>
                      <c:pt idx="132">
                        <c:v>42766</c:v>
                      </c:pt>
                      <c:pt idx="133">
                        <c:v>42794</c:v>
                      </c:pt>
                      <c:pt idx="134">
                        <c:v>42825</c:v>
                      </c:pt>
                      <c:pt idx="135">
                        <c:v>42855</c:v>
                      </c:pt>
                      <c:pt idx="136">
                        <c:v>42886</c:v>
                      </c:pt>
                      <c:pt idx="137">
                        <c:v>42916</c:v>
                      </c:pt>
                      <c:pt idx="138">
                        <c:v>42947</c:v>
                      </c:pt>
                      <c:pt idx="139">
                        <c:v>42978</c:v>
                      </c:pt>
                      <c:pt idx="140">
                        <c:v>43008</c:v>
                      </c:pt>
                      <c:pt idx="141">
                        <c:v>43039</c:v>
                      </c:pt>
                      <c:pt idx="142">
                        <c:v>43069</c:v>
                      </c:pt>
                      <c:pt idx="143">
                        <c:v>43100</c:v>
                      </c:pt>
                      <c:pt idx="144">
                        <c:v>43131</c:v>
                      </c:pt>
                      <c:pt idx="145">
                        <c:v>43159</c:v>
                      </c:pt>
                      <c:pt idx="146">
                        <c:v>43190</c:v>
                      </c:pt>
                      <c:pt idx="147">
                        <c:v>43220</c:v>
                      </c:pt>
                      <c:pt idx="148">
                        <c:v>43251</c:v>
                      </c:pt>
                      <c:pt idx="149">
                        <c:v>43281</c:v>
                      </c:pt>
                      <c:pt idx="150">
                        <c:v>43312</c:v>
                      </c:pt>
                      <c:pt idx="151">
                        <c:v>43343</c:v>
                      </c:pt>
                      <c:pt idx="152">
                        <c:v>43373</c:v>
                      </c:pt>
                      <c:pt idx="153">
                        <c:v>43404</c:v>
                      </c:pt>
                      <c:pt idx="154">
                        <c:v>43434</c:v>
                      </c:pt>
                      <c:pt idx="155">
                        <c:v>43465</c:v>
                      </c:pt>
                      <c:pt idx="156">
                        <c:v>43496</c:v>
                      </c:pt>
                      <c:pt idx="157">
                        <c:v>43524</c:v>
                      </c:pt>
                      <c:pt idx="158">
                        <c:v>43555</c:v>
                      </c:pt>
                      <c:pt idx="159">
                        <c:v>43585</c:v>
                      </c:pt>
                      <c:pt idx="160">
                        <c:v>43616</c:v>
                      </c:pt>
                      <c:pt idx="161">
                        <c:v>43646</c:v>
                      </c:pt>
                      <c:pt idx="162">
                        <c:v>43677</c:v>
                      </c:pt>
                      <c:pt idx="163">
                        <c:v>43708</c:v>
                      </c:pt>
                      <c:pt idx="164">
                        <c:v>43738</c:v>
                      </c:pt>
                      <c:pt idx="165">
                        <c:v>43769</c:v>
                      </c:pt>
                      <c:pt idx="166">
                        <c:v>43799</c:v>
                      </c:pt>
                      <c:pt idx="167">
                        <c:v>43830</c:v>
                      </c:pt>
                      <c:pt idx="168">
                        <c:v>43861</c:v>
                      </c:pt>
                      <c:pt idx="169">
                        <c:v>43890</c:v>
                      </c:pt>
                      <c:pt idx="170">
                        <c:v>43921</c:v>
                      </c:pt>
                      <c:pt idx="171">
                        <c:v>43951</c:v>
                      </c:pt>
                      <c:pt idx="172">
                        <c:v>43982</c:v>
                      </c:pt>
                      <c:pt idx="173">
                        <c:v>44012</c:v>
                      </c:pt>
                      <c:pt idx="174">
                        <c:v>44043</c:v>
                      </c:pt>
                      <c:pt idx="175">
                        <c:v>44074</c:v>
                      </c:pt>
                      <c:pt idx="176">
                        <c:v>44104</c:v>
                      </c:pt>
                      <c:pt idx="177">
                        <c:v>44135</c:v>
                      </c:pt>
                      <c:pt idx="178">
                        <c:v>44165</c:v>
                      </c:pt>
                      <c:pt idx="179">
                        <c:v>44196</c:v>
                      </c:pt>
                      <c:pt idx="180">
                        <c:v>44227</c:v>
                      </c:pt>
                      <c:pt idx="181">
                        <c:v>44255</c:v>
                      </c:pt>
                      <c:pt idx="182">
                        <c:v>44286</c:v>
                      </c:pt>
                      <c:pt idx="183">
                        <c:v>44316</c:v>
                      </c:pt>
                      <c:pt idx="184">
                        <c:v>44347</c:v>
                      </c:pt>
                      <c:pt idx="185">
                        <c:v>44377</c:v>
                      </c:pt>
                      <c:pt idx="186">
                        <c:v>44408</c:v>
                      </c:pt>
                      <c:pt idx="187">
                        <c:v>44439</c:v>
                      </c:pt>
                      <c:pt idx="188">
                        <c:v>44469</c:v>
                      </c:pt>
                      <c:pt idx="189">
                        <c:v>44500</c:v>
                      </c:pt>
                      <c:pt idx="190">
                        <c:v>44530</c:v>
                      </c:pt>
                      <c:pt idx="191">
                        <c:v>44561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'Udaje pre výpočet rezervy'!#REF!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7171-4A74-9B73-D76089226231}"/>
                  </c:ext>
                </c:extLst>
              </c15:ser>
            </c15:filteredLineSeries>
          </c:ext>
        </c:extLst>
      </c:lineChart>
      <c:dateAx>
        <c:axId val="330237000"/>
        <c:scaling>
          <c:orientation val="minMax"/>
          <c:min val="39814"/>
        </c:scaling>
        <c:delete val="0"/>
        <c:axPos val="b"/>
        <c:numFmt formatCode="[$-41B]mmm\-yy;@" sourceLinked="0"/>
        <c:majorTickMark val="none"/>
        <c:minorTickMark val="none"/>
        <c:tickLblPos val="low"/>
        <c:crossAx val="330237392"/>
        <c:crosses val="autoZero"/>
        <c:auto val="0"/>
        <c:lblOffset val="100"/>
        <c:baseTimeUnit val="months"/>
        <c:majorUnit val="6"/>
        <c:majorTimeUnit val="months"/>
      </c:dateAx>
      <c:valAx>
        <c:axId val="330237392"/>
        <c:scaling>
          <c:orientation val="minMax"/>
          <c:max val="1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crossAx val="330237000"/>
        <c:crosses val="autoZero"/>
        <c:crossBetween val="between"/>
        <c:majorUnit val="2"/>
      </c:valAx>
      <c:spPr>
        <a:noFill/>
      </c:spPr>
    </c:plotArea>
    <c:legend>
      <c:legendPos val="t"/>
      <c:layout>
        <c:manualLayout>
          <c:xMode val="edge"/>
          <c:yMode val="edge"/>
          <c:x val="7.4999999999999997E-2"/>
          <c:y val="5.4120541205412057E-2"/>
          <c:w val="0.59276815398075244"/>
          <c:h val="7.7083999186448551E-2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8573928258989"/>
          <c:y val="6.0544254884806116E-2"/>
          <c:w val="0.87251137357830344"/>
          <c:h val="0.78209528237014658"/>
        </c:manualLayout>
      </c:layout>
      <c:lineChart>
        <c:grouping val="standard"/>
        <c:varyColors val="0"/>
        <c:ser>
          <c:idx val="0"/>
          <c:order val="0"/>
          <c:tx>
            <c:strRef>
              <c:f>'Graf 36 '!$O$1</c:f>
              <c:strCache>
                <c:ptCount val="1"/>
                <c:pt idx="0">
                  <c:v>Covered months</c:v>
                </c:pt>
              </c:strCache>
            </c:strRef>
          </c:tx>
          <c:spPr>
            <a:ln w="19050">
              <a:solidFill>
                <a:schemeClr val="bg1">
                  <a:lumMod val="50000"/>
                </a:schemeClr>
              </a:solidFill>
              <a:prstDash val="sysDot"/>
            </a:ln>
          </c:spPr>
          <c:marker>
            <c:symbol val="none"/>
          </c:marker>
          <c:trendline>
            <c:name>12M kĺzavý priemer</c:name>
            <c:spPr>
              <a:ln w="19050" cmpd="sng">
                <a:solidFill>
                  <a:srgbClr val="2C9ADC"/>
                </a:solidFill>
                <a:prstDash val="solid"/>
              </a:ln>
            </c:spPr>
            <c:trendlineType val="movingAvg"/>
            <c:period val="12"/>
            <c:dispRSqr val="0"/>
            <c:dispEq val="0"/>
          </c:trendline>
          <c:cat>
            <c:numRef>
              <c:f>'Graf 36 '!$N$2:$N$193</c:f>
              <c:numCache>
                <c:formatCode>m/d/yyyy</c:formatCode>
                <c:ptCount val="192"/>
                <c:pt idx="0">
                  <c:v>38748</c:v>
                </c:pt>
                <c:pt idx="1">
                  <c:v>38776</c:v>
                </c:pt>
                <c:pt idx="2">
                  <c:v>38807</c:v>
                </c:pt>
                <c:pt idx="3">
                  <c:v>38837</c:v>
                </c:pt>
                <c:pt idx="4">
                  <c:v>38868</c:v>
                </c:pt>
                <c:pt idx="5">
                  <c:v>38898</c:v>
                </c:pt>
                <c:pt idx="6">
                  <c:v>38929</c:v>
                </c:pt>
                <c:pt idx="7">
                  <c:v>38960</c:v>
                </c:pt>
                <c:pt idx="8">
                  <c:v>38990</c:v>
                </c:pt>
                <c:pt idx="9">
                  <c:v>39021</c:v>
                </c:pt>
                <c:pt idx="10">
                  <c:v>39051</c:v>
                </c:pt>
                <c:pt idx="11">
                  <c:v>39082</c:v>
                </c:pt>
                <c:pt idx="12">
                  <c:v>39113</c:v>
                </c:pt>
                <c:pt idx="13">
                  <c:v>39141</c:v>
                </c:pt>
                <c:pt idx="14">
                  <c:v>39172</c:v>
                </c:pt>
                <c:pt idx="15">
                  <c:v>39202</c:v>
                </c:pt>
                <c:pt idx="16">
                  <c:v>39233</c:v>
                </c:pt>
                <c:pt idx="17">
                  <c:v>39263</c:v>
                </c:pt>
                <c:pt idx="18">
                  <c:v>39294</c:v>
                </c:pt>
                <c:pt idx="19">
                  <c:v>39325</c:v>
                </c:pt>
                <c:pt idx="20">
                  <c:v>39355</c:v>
                </c:pt>
                <c:pt idx="21">
                  <c:v>39386</c:v>
                </c:pt>
                <c:pt idx="22">
                  <c:v>39416</c:v>
                </c:pt>
                <c:pt idx="23">
                  <c:v>39447</c:v>
                </c:pt>
                <c:pt idx="24">
                  <c:v>39478</c:v>
                </c:pt>
                <c:pt idx="25">
                  <c:v>39507</c:v>
                </c:pt>
                <c:pt idx="26">
                  <c:v>39538</c:v>
                </c:pt>
                <c:pt idx="27">
                  <c:v>39568</c:v>
                </c:pt>
                <c:pt idx="28">
                  <c:v>39599</c:v>
                </c:pt>
                <c:pt idx="29">
                  <c:v>39629</c:v>
                </c:pt>
                <c:pt idx="30">
                  <c:v>39660</c:v>
                </c:pt>
                <c:pt idx="31">
                  <c:v>39691</c:v>
                </c:pt>
                <c:pt idx="32">
                  <c:v>39721</c:v>
                </c:pt>
                <c:pt idx="33">
                  <c:v>39752</c:v>
                </c:pt>
                <c:pt idx="34">
                  <c:v>39782</c:v>
                </c:pt>
                <c:pt idx="35">
                  <c:v>39813</c:v>
                </c:pt>
                <c:pt idx="36">
                  <c:v>39844</c:v>
                </c:pt>
                <c:pt idx="37">
                  <c:v>39872</c:v>
                </c:pt>
                <c:pt idx="38">
                  <c:v>39903</c:v>
                </c:pt>
                <c:pt idx="39">
                  <c:v>39933</c:v>
                </c:pt>
                <c:pt idx="40">
                  <c:v>39964</c:v>
                </c:pt>
                <c:pt idx="41">
                  <c:v>39994</c:v>
                </c:pt>
                <c:pt idx="42">
                  <c:v>40025</c:v>
                </c:pt>
                <c:pt idx="43">
                  <c:v>40056</c:v>
                </c:pt>
                <c:pt idx="44">
                  <c:v>40086</c:v>
                </c:pt>
                <c:pt idx="45">
                  <c:v>40117</c:v>
                </c:pt>
                <c:pt idx="46">
                  <c:v>40147</c:v>
                </c:pt>
                <c:pt idx="47">
                  <c:v>40178</c:v>
                </c:pt>
                <c:pt idx="48">
                  <c:v>40209</c:v>
                </c:pt>
                <c:pt idx="49">
                  <c:v>40237</c:v>
                </c:pt>
                <c:pt idx="50">
                  <c:v>40268</c:v>
                </c:pt>
                <c:pt idx="51">
                  <c:v>40298</c:v>
                </c:pt>
                <c:pt idx="52">
                  <c:v>40329</c:v>
                </c:pt>
                <c:pt idx="53">
                  <c:v>40359</c:v>
                </c:pt>
                <c:pt idx="54">
                  <c:v>40390</c:v>
                </c:pt>
                <c:pt idx="55">
                  <c:v>40421</c:v>
                </c:pt>
                <c:pt idx="56">
                  <c:v>40451</c:v>
                </c:pt>
                <c:pt idx="57">
                  <c:v>40482</c:v>
                </c:pt>
                <c:pt idx="58">
                  <c:v>40512</c:v>
                </c:pt>
                <c:pt idx="59">
                  <c:v>40543</c:v>
                </c:pt>
                <c:pt idx="60">
                  <c:v>40574</c:v>
                </c:pt>
                <c:pt idx="61">
                  <c:v>40602</c:v>
                </c:pt>
                <c:pt idx="62">
                  <c:v>40633</c:v>
                </c:pt>
                <c:pt idx="63">
                  <c:v>40663</c:v>
                </c:pt>
                <c:pt idx="64">
                  <c:v>40694</c:v>
                </c:pt>
                <c:pt idx="65">
                  <c:v>40724</c:v>
                </c:pt>
                <c:pt idx="66">
                  <c:v>40755</c:v>
                </c:pt>
                <c:pt idx="67">
                  <c:v>40786</c:v>
                </c:pt>
                <c:pt idx="68">
                  <c:v>40816</c:v>
                </c:pt>
                <c:pt idx="69">
                  <c:v>40847</c:v>
                </c:pt>
                <c:pt idx="70">
                  <c:v>40877</c:v>
                </c:pt>
                <c:pt idx="71">
                  <c:v>40908</c:v>
                </c:pt>
                <c:pt idx="72">
                  <c:v>40939</c:v>
                </c:pt>
                <c:pt idx="73">
                  <c:v>40968</c:v>
                </c:pt>
                <c:pt idx="74">
                  <c:v>40999</c:v>
                </c:pt>
                <c:pt idx="75">
                  <c:v>41029</c:v>
                </c:pt>
                <c:pt idx="76">
                  <c:v>41060</c:v>
                </c:pt>
                <c:pt idx="77">
                  <c:v>41090</c:v>
                </c:pt>
                <c:pt idx="78">
                  <c:v>41121</c:v>
                </c:pt>
                <c:pt idx="79">
                  <c:v>41152</c:v>
                </c:pt>
                <c:pt idx="80">
                  <c:v>41182</c:v>
                </c:pt>
                <c:pt idx="81">
                  <c:v>41213</c:v>
                </c:pt>
                <c:pt idx="82">
                  <c:v>41243</c:v>
                </c:pt>
                <c:pt idx="83">
                  <c:v>41274</c:v>
                </c:pt>
                <c:pt idx="84">
                  <c:v>41305</c:v>
                </c:pt>
                <c:pt idx="85">
                  <c:v>41333</c:v>
                </c:pt>
                <c:pt idx="86">
                  <c:v>41364</c:v>
                </c:pt>
                <c:pt idx="87">
                  <c:v>41394</c:v>
                </c:pt>
                <c:pt idx="88">
                  <c:v>41425</c:v>
                </c:pt>
                <c:pt idx="89">
                  <c:v>41455</c:v>
                </c:pt>
                <c:pt idx="90">
                  <c:v>41486</c:v>
                </c:pt>
                <c:pt idx="91">
                  <c:v>41517</c:v>
                </c:pt>
                <c:pt idx="92">
                  <c:v>41547</c:v>
                </c:pt>
                <c:pt idx="93">
                  <c:v>41578</c:v>
                </c:pt>
                <c:pt idx="94">
                  <c:v>41608</c:v>
                </c:pt>
                <c:pt idx="95">
                  <c:v>41639</c:v>
                </c:pt>
                <c:pt idx="96">
                  <c:v>41670</c:v>
                </c:pt>
                <c:pt idx="97">
                  <c:v>41698</c:v>
                </c:pt>
                <c:pt idx="98">
                  <c:v>41729</c:v>
                </c:pt>
                <c:pt idx="99">
                  <c:v>41759</c:v>
                </c:pt>
                <c:pt idx="100">
                  <c:v>41790</c:v>
                </c:pt>
                <c:pt idx="101">
                  <c:v>41820</c:v>
                </c:pt>
                <c:pt idx="102">
                  <c:v>41851</c:v>
                </c:pt>
                <c:pt idx="103">
                  <c:v>41882</c:v>
                </c:pt>
                <c:pt idx="104">
                  <c:v>41912</c:v>
                </c:pt>
                <c:pt idx="105">
                  <c:v>41943</c:v>
                </c:pt>
                <c:pt idx="106">
                  <c:v>41973</c:v>
                </c:pt>
                <c:pt idx="107">
                  <c:v>42004</c:v>
                </c:pt>
                <c:pt idx="108">
                  <c:v>42035</c:v>
                </c:pt>
                <c:pt idx="109">
                  <c:v>42063</c:v>
                </c:pt>
                <c:pt idx="110">
                  <c:v>42094</c:v>
                </c:pt>
                <c:pt idx="111">
                  <c:v>42124</c:v>
                </c:pt>
                <c:pt idx="112">
                  <c:v>42155</c:v>
                </c:pt>
                <c:pt idx="113">
                  <c:v>42185</c:v>
                </c:pt>
                <c:pt idx="114">
                  <c:v>42216</c:v>
                </c:pt>
                <c:pt idx="115">
                  <c:v>42247</c:v>
                </c:pt>
                <c:pt idx="116">
                  <c:v>42277</c:v>
                </c:pt>
                <c:pt idx="117">
                  <c:v>42308</c:v>
                </c:pt>
                <c:pt idx="118">
                  <c:v>42338</c:v>
                </c:pt>
                <c:pt idx="119">
                  <c:v>42369</c:v>
                </c:pt>
                <c:pt idx="120">
                  <c:v>42400</c:v>
                </c:pt>
                <c:pt idx="121">
                  <c:v>42429</c:v>
                </c:pt>
                <c:pt idx="122">
                  <c:v>42460</c:v>
                </c:pt>
                <c:pt idx="123">
                  <c:v>42490</c:v>
                </c:pt>
                <c:pt idx="124">
                  <c:v>42521</c:v>
                </c:pt>
                <c:pt idx="125">
                  <c:v>42551</c:v>
                </c:pt>
                <c:pt idx="126">
                  <c:v>42582</c:v>
                </c:pt>
                <c:pt idx="127">
                  <c:v>42613</c:v>
                </c:pt>
                <c:pt idx="128">
                  <c:v>42643</c:v>
                </c:pt>
                <c:pt idx="129">
                  <c:v>42674</c:v>
                </c:pt>
                <c:pt idx="130">
                  <c:v>42704</c:v>
                </c:pt>
                <c:pt idx="131">
                  <c:v>42735</c:v>
                </c:pt>
                <c:pt idx="132">
                  <c:v>42766</c:v>
                </c:pt>
                <c:pt idx="133">
                  <c:v>42794</c:v>
                </c:pt>
                <c:pt idx="134">
                  <c:v>42825</c:v>
                </c:pt>
                <c:pt idx="135">
                  <c:v>42855</c:v>
                </c:pt>
                <c:pt idx="136">
                  <c:v>42886</c:v>
                </c:pt>
                <c:pt idx="137">
                  <c:v>42916</c:v>
                </c:pt>
                <c:pt idx="138">
                  <c:v>42947</c:v>
                </c:pt>
                <c:pt idx="139">
                  <c:v>42978</c:v>
                </c:pt>
                <c:pt idx="140">
                  <c:v>43008</c:v>
                </c:pt>
                <c:pt idx="141">
                  <c:v>43039</c:v>
                </c:pt>
                <c:pt idx="142">
                  <c:v>43069</c:v>
                </c:pt>
                <c:pt idx="143">
                  <c:v>43100</c:v>
                </c:pt>
                <c:pt idx="144">
                  <c:v>43131</c:v>
                </c:pt>
                <c:pt idx="145">
                  <c:v>43159</c:v>
                </c:pt>
                <c:pt idx="146">
                  <c:v>43190</c:v>
                </c:pt>
                <c:pt idx="147">
                  <c:v>43220</c:v>
                </c:pt>
                <c:pt idx="148">
                  <c:v>43251</c:v>
                </c:pt>
                <c:pt idx="149">
                  <c:v>43281</c:v>
                </c:pt>
                <c:pt idx="150">
                  <c:v>43312</c:v>
                </c:pt>
                <c:pt idx="151">
                  <c:v>43343</c:v>
                </c:pt>
                <c:pt idx="152">
                  <c:v>43373</c:v>
                </c:pt>
                <c:pt idx="153">
                  <c:v>43404</c:v>
                </c:pt>
                <c:pt idx="154">
                  <c:v>43434</c:v>
                </c:pt>
                <c:pt idx="155">
                  <c:v>43465</c:v>
                </c:pt>
                <c:pt idx="156">
                  <c:v>43496</c:v>
                </c:pt>
                <c:pt idx="157">
                  <c:v>43524</c:v>
                </c:pt>
                <c:pt idx="158">
                  <c:v>43555</c:v>
                </c:pt>
                <c:pt idx="159">
                  <c:v>43585</c:v>
                </c:pt>
                <c:pt idx="160">
                  <c:v>43616</c:v>
                </c:pt>
                <c:pt idx="161">
                  <c:v>43646</c:v>
                </c:pt>
                <c:pt idx="162">
                  <c:v>43677</c:v>
                </c:pt>
                <c:pt idx="163">
                  <c:v>43708</c:v>
                </c:pt>
                <c:pt idx="164">
                  <c:v>43738</c:v>
                </c:pt>
                <c:pt idx="165">
                  <c:v>43769</c:v>
                </c:pt>
                <c:pt idx="166">
                  <c:v>43799</c:v>
                </c:pt>
                <c:pt idx="167">
                  <c:v>43830</c:v>
                </c:pt>
                <c:pt idx="168">
                  <c:v>43861</c:v>
                </c:pt>
                <c:pt idx="169">
                  <c:v>43890</c:v>
                </c:pt>
                <c:pt idx="170">
                  <c:v>43921</c:v>
                </c:pt>
                <c:pt idx="171">
                  <c:v>43951</c:v>
                </c:pt>
                <c:pt idx="172">
                  <c:v>43982</c:v>
                </c:pt>
                <c:pt idx="173">
                  <c:v>44012</c:v>
                </c:pt>
                <c:pt idx="174">
                  <c:v>44043</c:v>
                </c:pt>
                <c:pt idx="175">
                  <c:v>44074</c:v>
                </c:pt>
                <c:pt idx="176">
                  <c:v>44104</c:v>
                </c:pt>
                <c:pt idx="177">
                  <c:v>44135</c:v>
                </c:pt>
                <c:pt idx="178">
                  <c:v>44165</c:v>
                </c:pt>
                <c:pt idx="179">
                  <c:v>44196</c:v>
                </c:pt>
                <c:pt idx="180">
                  <c:v>44227</c:v>
                </c:pt>
                <c:pt idx="181">
                  <c:v>44255</c:v>
                </c:pt>
                <c:pt idx="182">
                  <c:v>44286</c:v>
                </c:pt>
                <c:pt idx="183">
                  <c:v>44316</c:v>
                </c:pt>
                <c:pt idx="184">
                  <c:v>44347</c:v>
                </c:pt>
                <c:pt idx="185">
                  <c:v>44377</c:v>
                </c:pt>
                <c:pt idx="186">
                  <c:v>44408</c:v>
                </c:pt>
                <c:pt idx="187">
                  <c:v>44439</c:v>
                </c:pt>
                <c:pt idx="188">
                  <c:v>44469</c:v>
                </c:pt>
                <c:pt idx="189">
                  <c:v>44500</c:v>
                </c:pt>
                <c:pt idx="190">
                  <c:v>44530</c:v>
                </c:pt>
                <c:pt idx="191">
                  <c:v>44561</c:v>
                </c:pt>
              </c:numCache>
            </c:numRef>
          </c:cat>
          <c:val>
            <c:numRef>
              <c:f>'Graf 36 '!$O$2:$O$193</c:f>
              <c:numCache>
                <c:formatCode>#,##0</c:formatCode>
                <c:ptCount val="192"/>
                <c:pt idx="0">
                  <c:v>1</c:v>
                </c:pt>
                <c:pt idx="1">
                  <c:v>1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6</c:v>
                </c:pt>
                <c:pt idx="21">
                  <c:v>5</c:v>
                </c:pt>
                <c:pt idx="22">
                  <c:v>6</c:v>
                </c:pt>
                <c:pt idx="23">
                  <c:v>5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7</c:v>
                </c:pt>
                <c:pt idx="29">
                  <c:v>7</c:v>
                </c:pt>
                <c:pt idx="30">
                  <c:v>6</c:v>
                </c:pt>
                <c:pt idx="31">
                  <c:v>5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3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7</c:v>
                </c:pt>
                <c:pt idx="41">
                  <c:v>6</c:v>
                </c:pt>
                <c:pt idx="42">
                  <c:v>5</c:v>
                </c:pt>
                <c:pt idx="43">
                  <c:v>4</c:v>
                </c:pt>
                <c:pt idx="44">
                  <c:v>4</c:v>
                </c:pt>
                <c:pt idx="45">
                  <c:v>3</c:v>
                </c:pt>
                <c:pt idx="46">
                  <c:v>3</c:v>
                </c:pt>
                <c:pt idx="47">
                  <c:v>2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2</c:v>
                </c:pt>
                <c:pt idx="52">
                  <c:v>2</c:v>
                </c:pt>
                <c:pt idx="53">
                  <c:v>1</c:v>
                </c:pt>
                <c:pt idx="54">
                  <c:v>1</c:v>
                </c:pt>
                <c:pt idx="55">
                  <c:v>4</c:v>
                </c:pt>
                <c:pt idx="56">
                  <c:v>3</c:v>
                </c:pt>
                <c:pt idx="57">
                  <c:v>4</c:v>
                </c:pt>
                <c:pt idx="58">
                  <c:v>3</c:v>
                </c:pt>
                <c:pt idx="59">
                  <c:v>1</c:v>
                </c:pt>
                <c:pt idx="60">
                  <c:v>3</c:v>
                </c:pt>
                <c:pt idx="61">
                  <c:v>2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5</c:v>
                </c:pt>
                <c:pt idx="67">
                  <c:v>4</c:v>
                </c:pt>
                <c:pt idx="68">
                  <c:v>4</c:v>
                </c:pt>
                <c:pt idx="69">
                  <c:v>3</c:v>
                </c:pt>
                <c:pt idx="70">
                  <c:v>2</c:v>
                </c:pt>
                <c:pt idx="71">
                  <c:v>1</c:v>
                </c:pt>
                <c:pt idx="72">
                  <c:v>2</c:v>
                </c:pt>
                <c:pt idx="73">
                  <c:v>3</c:v>
                </c:pt>
                <c:pt idx="74">
                  <c:v>2</c:v>
                </c:pt>
                <c:pt idx="75">
                  <c:v>3</c:v>
                </c:pt>
                <c:pt idx="76">
                  <c:v>9</c:v>
                </c:pt>
                <c:pt idx="77">
                  <c:v>7</c:v>
                </c:pt>
                <c:pt idx="78">
                  <c:v>7</c:v>
                </c:pt>
                <c:pt idx="79">
                  <c:v>7</c:v>
                </c:pt>
                <c:pt idx="80">
                  <c:v>6</c:v>
                </c:pt>
                <c:pt idx="81">
                  <c:v>5</c:v>
                </c:pt>
                <c:pt idx="82">
                  <c:v>4</c:v>
                </c:pt>
                <c:pt idx="83">
                  <c:v>3</c:v>
                </c:pt>
                <c:pt idx="84">
                  <c:v>3</c:v>
                </c:pt>
                <c:pt idx="85">
                  <c:v>9</c:v>
                </c:pt>
                <c:pt idx="86">
                  <c:v>10</c:v>
                </c:pt>
                <c:pt idx="87">
                  <c:v>9</c:v>
                </c:pt>
                <c:pt idx="88">
                  <c:v>10</c:v>
                </c:pt>
                <c:pt idx="89">
                  <c:v>9</c:v>
                </c:pt>
                <c:pt idx="90">
                  <c:v>8</c:v>
                </c:pt>
                <c:pt idx="91">
                  <c:v>7</c:v>
                </c:pt>
                <c:pt idx="92">
                  <c:v>6</c:v>
                </c:pt>
                <c:pt idx="93">
                  <c:v>6</c:v>
                </c:pt>
                <c:pt idx="94">
                  <c:v>6</c:v>
                </c:pt>
                <c:pt idx="95">
                  <c:v>4</c:v>
                </c:pt>
                <c:pt idx="96">
                  <c:v>9</c:v>
                </c:pt>
                <c:pt idx="97">
                  <c:v>10</c:v>
                </c:pt>
                <c:pt idx="98">
                  <c:v>9</c:v>
                </c:pt>
                <c:pt idx="99">
                  <c:v>10</c:v>
                </c:pt>
                <c:pt idx="100">
                  <c:v>8</c:v>
                </c:pt>
                <c:pt idx="101">
                  <c:v>7</c:v>
                </c:pt>
                <c:pt idx="102">
                  <c:v>6</c:v>
                </c:pt>
                <c:pt idx="103">
                  <c:v>5</c:v>
                </c:pt>
                <c:pt idx="104">
                  <c:v>7</c:v>
                </c:pt>
                <c:pt idx="105">
                  <c:v>4</c:v>
                </c:pt>
                <c:pt idx="106">
                  <c:v>6</c:v>
                </c:pt>
                <c:pt idx="107">
                  <c:v>1</c:v>
                </c:pt>
                <c:pt idx="108">
                  <c:v>1</c:v>
                </c:pt>
                <c:pt idx="109">
                  <c:v>8</c:v>
                </c:pt>
                <c:pt idx="110">
                  <c:v>7</c:v>
                </c:pt>
                <c:pt idx="111">
                  <c:v>7</c:v>
                </c:pt>
                <c:pt idx="112">
                  <c:v>6</c:v>
                </c:pt>
                <c:pt idx="113">
                  <c:v>8</c:v>
                </c:pt>
                <c:pt idx="114">
                  <c:v>7</c:v>
                </c:pt>
                <c:pt idx="115">
                  <c:v>6</c:v>
                </c:pt>
                <c:pt idx="116">
                  <c:v>5</c:v>
                </c:pt>
                <c:pt idx="117">
                  <c:v>4</c:v>
                </c:pt>
                <c:pt idx="118">
                  <c:v>5</c:v>
                </c:pt>
                <c:pt idx="119">
                  <c:v>2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6</c:v>
                </c:pt>
                <c:pt idx="124">
                  <c:v>6</c:v>
                </c:pt>
                <c:pt idx="125">
                  <c:v>7</c:v>
                </c:pt>
                <c:pt idx="126">
                  <c:v>6</c:v>
                </c:pt>
                <c:pt idx="127" formatCode="General">
                  <c:v>5</c:v>
                </c:pt>
                <c:pt idx="128">
                  <c:v>3</c:v>
                </c:pt>
                <c:pt idx="129">
                  <c:v>2</c:v>
                </c:pt>
                <c:pt idx="130">
                  <c:v>2</c:v>
                </c:pt>
                <c:pt idx="131">
                  <c:v>1</c:v>
                </c:pt>
                <c:pt idx="132">
                  <c:v>2</c:v>
                </c:pt>
                <c:pt idx="133">
                  <c:v>3</c:v>
                </c:pt>
                <c:pt idx="134">
                  <c:v>8</c:v>
                </c:pt>
                <c:pt idx="135">
                  <c:v>6</c:v>
                </c:pt>
                <c:pt idx="136">
                  <c:v>6</c:v>
                </c:pt>
                <c:pt idx="137">
                  <c:v>5</c:v>
                </c:pt>
                <c:pt idx="138">
                  <c:v>6</c:v>
                </c:pt>
                <c:pt idx="139">
                  <c:v>5</c:v>
                </c:pt>
                <c:pt idx="140">
                  <c:v>6</c:v>
                </c:pt>
                <c:pt idx="141">
                  <c:v>7</c:v>
                </c:pt>
                <c:pt idx="142">
                  <c:v>12</c:v>
                </c:pt>
                <c:pt idx="143">
                  <c:v>11</c:v>
                </c:pt>
                <c:pt idx="144">
                  <c:v>9</c:v>
                </c:pt>
                <c:pt idx="145">
                  <c:v>8</c:v>
                </c:pt>
                <c:pt idx="146">
                  <c:v>7</c:v>
                </c:pt>
                <c:pt idx="147">
                  <c:v>6</c:v>
                </c:pt>
                <c:pt idx="148">
                  <c:v>5</c:v>
                </c:pt>
                <c:pt idx="149">
                  <c:v>6</c:v>
                </c:pt>
                <c:pt idx="150">
                  <c:v>4</c:v>
                </c:pt>
                <c:pt idx="151">
                  <c:v>6</c:v>
                </c:pt>
                <c:pt idx="152">
                  <c:v>7</c:v>
                </c:pt>
                <c:pt idx="153">
                  <c:v>6</c:v>
                </c:pt>
                <c:pt idx="154">
                  <c:v>6</c:v>
                </c:pt>
                <c:pt idx="155">
                  <c:v>6</c:v>
                </c:pt>
                <c:pt idx="156">
                  <c:v>6</c:v>
                </c:pt>
                <c:pt idx="157">
                  <c:v>7</c:v>
                </c:pt>
                <c:pt idx="158">
                  <c:v>6</c:v>
                </c:pt>
                <c:pt idx="159">
                  <c:v>6</c:v>
                </c:pt>
                <c:pt idx="160">
                  <c:v>10</c:v>
                </c:pt>
                <c:pt idx="161">
                  <c:v>9</c:v>
                </c:pt>
                <c:pt idx="162">
                  <c:v>8</c:v>
                </c:pt>
                <c:pt idx="163">
                  <c:v>7</c:v>
                </c:pt>
                <c:pt idx="164">
                  <c:v>6</c:v>
                </c:pt>
                <c:pt idx="165">
                  <c:v>5</c:v>
                </c:pt>
                <c:pt idx="166">
                  <c:v>4</c:v>
                </c:pt>
                <c:pt idx="167">
                  <c:v>3</c:v>
                </c:pt>
                <c:pt idx="168">
                  <c:v>2</c:v>
                </c:pt>
                <c:pt idx="169">
                  <c:v>1</c:v>
                </c:pt>
                <c:pt idx="170">
                  <c:v>6</c:v>
                </c:pt>
                <c:pt idx="171">
                  <c:v>7</c:v>
                </c:pt>
                <c:pt idx="172">
                  <c:v>9</c:v>
                </c:pt>
                <c:pt idx="173">
                  <c:v>8</c:v>
                </c:pt>
                <c:pt idx="174">
                  <c:v>7</c:v>
                </c:pt>
                <c:pt idx="175">
                  <c:v>6</c:v>
                </c:pt>
                <c:pt idx="176">
                  <c:v>5</c:v>
                </c:pt>
                <c:pt idx="177">
                  <c:v>11</c:v>
                </c:pt>
                <c:pt idx="178">
                  <c:v>10</c:v>
                </c:pt>
                <c:pt idx="179">
                  <c:v>9</c:v>
                </c:pt>
                <c:pt idx="180" formatCode="General">
                  <c:v>9</c:v>
                </c:pt>
                <c:pt idx="181" formatCode="General">
                  <c:v>9</c:v>
                </c:pt>
                <c:pt idx="182" formatCode="General">
                  <c:v>9</c:v>
                </c:pt>
                <c:pt idx="183" formatCode="General">
                  <c:v>9</c:v>
                </c:pt>
                <c:pt idx="184" formatCode="General">
                  <c:v>9</c:v>
                </c:pt>
                <c:pt idx="185" formatCode="General">
                  <c:v>9</c:v>
                </c:pt>
                <c:pt idx="186" formatCode="General">
                  <c:v>9</c:v>
                </c:pt>
                <c:pt idx="187" formatCode="General">
                  <c:v>9</c:v>
                </c:pt>
                <c:pt idx="188" formatCode="General">
                  <c:v>9</c:v>
                </c:pt>
                <c:pt idx="189" formatCode="General">
                  <c:v>9</c:v>
                </c:pt>
                <c:pt idx="190" formatCode="General">
                  <c:v>9</c:v>
                </c:pt>
                <c:pt idx="191" formatCode="General">
                  <c:v>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95-403E-B48C-E509F9C84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238176"/>
        <c:axId val="330238568"/>
        <c:extLst xmlns:c16r2="http://schemas.microsoft.com/office/drawing/2015/06/chart"/>
      </c:lineChart>
      <c:dateAx>
        <c:axId val="330238176"/>
        <c:scaling>
          <c:orientation val="minMax"/>
        </c:scaling>
        <c:delete val="0"/>
        <c:axPos val="b"/>
        <c:numFmt formatCode="[$-41B]mmm\-yy;@" sourceLinked="0"/>
        <c:majorTickMark val="none"/>
        <c:minorTickMark val="none"/>
        <c:tickLblPos val="low"/>
        <c:txPr>
          <a:bodyPr rot="-5400000" vert="horz"/>
          <a:lstStyle/>
          <a:p>
            <a:pPr>
              <a:defRPr sz="800">
                <a:latin typeface="Arial Narrow" panose="020B0606020202030204" pitchFamily="34" charset="0"/>
              </a:defRPr>
            </a:pPr>
            <a:endParaRPr lang="sk-SK"/>
          </a:p>
        </c:txPr>
        <c:crossAx val="330238568"/>
        <c:crosses val="autoZero"/>
        <c:auto val="0"/>
        <c:lblOffset val="100"/>
        <c:baseTimeUnit val="months"/>
        <c:majorUnit val="9"/>
        <c:majorTimeUnit val="months"/>
      </c:dateAx>
      <c:valAx>
        <c:axId val="330238568"/>
        <c:scaling>
          <c:orientation val="minMax"/>
          <c:max val="13"/>
          <c:min val="0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crossAx val="330238176"/>
        <c:crosses val="autoZero"/>
        <c:crossBetween val="between"/>
        <c:majorUnit val="2"/>
      </c:valAx>
      <c:spPr>
        <a:noFill/>
      </c:spPr>
    </c:plotArea>
    <c:legend>
      <c:legendPos val="t"/>
      <c:layout>
        <c:manualLayout>
          <c:xMode val="edge"/>
          <c:yMode val="edge"/>
          <c:x val="0.24275180327346788"/>
          <c:y val="1.5958150088611872E-2"/>
          <c:w val="0.59276815398075244"/>
          <c:h val="7.7083999186448551E-2"/>
        </c:manualLayout>
      </c:layout>
      <c:overlay val="0"/>
      <c:txPr>
        <a:bodyPr/>
        <a:lstStyle/>
        <a:p>
          <a:pPr>
            <a:defRPr sz="800"/>
          </a:pPr>
          <a:endParaRPr lang="sk-SK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483814523184598E-2"/>
          <c:y val="4.1327423357794553E-2"/>
          <c:w val="0.88396062992125979"/>
          <c:h val="0.69315264163408141"/>
        </c:manualLayout>
      </c:layout>
      <c:lineChart>
        <c:grouping val="standard"/>
        <c:varyColors val="0"/>
        <c:ser>
          <c:idx val="0"/>
          <c:order val="0"/>
          <c:tx>
            <c:strRef>
              <c:f>'Graf 37+38'!$I$6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1.7406440382941847E-2"/>
                  <c:y val="5.3418803418803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D37-4B45-962B-EE47B68AFB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37+38'!$J$5:$N$5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37+38'!$J$6:$N$6</c:f>
              <c:numCache>
                <c:formatCode>0.0</c:formatCode>
                <c:ptCount val="5"/>
                <c:pt idx="0">
                  <c:v>-1.04</c:v>
                </c:pt>
                <c:pt idx="1">
                  <c:v>-0.8</c:v>
                </c:pt>
                <c:pt idx="2">
                  <c:v>-0.315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D37-4B45-962B-EE47B68AFBDA}"/>
            </c:ext>
          </c:extLst>
        </c:ser>
        <c:ser>
          <c:idx val="1"/>
          <c:order val="1"/>
          <c:tx>
            <c:strRef>
              <c:f>'Graf 37+38'!$I$7</c:f>
              <c:strCache>
                <c:ptCount val="1"/>
                <c:pt idx="0">
                  <c:v>lower foreign demand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4812880765883535E-2"/>
                  <c:y val="3.2051282051282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D37-4B45-962B-EE47B68AFB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37+38'!$J$5:$N$5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37+38'!$J$7:$N$7</c:f>
              <c:numCache>
                <c:formatCode>0.0</c:formatCode>
                <c:ptCount val="5"/>
                <c:pt idx="0">
                  <c:v>-1.04</c:v>
                </c:pt>
                <c:pt idx="1">
                  <c:v>-0.9</c:v>
                </c:pt>
                <c:pt idx="2">
                  <c:v>-0.41500000000000004</c:v>
                </c:pt>
                <c:pt idx="3">
                  <c:v>-0.2</c:v>
                </c:pt>
                <c:pt idx="4">
                  <c:v>-0.3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D37-4B45-962B-EE47B68AFBDA}"/>
            </c:ext>
          </c:extLst>
        </c:ser>
        <c:ser>
          <c:idx val="2"/>
          <c:order val="2"/>
          <c:tx>
            <c:strRef>
              <c:f>'Graf 37+38'!$I$8</c:f>
              <c:strCache>
                <c:ptCount val="1"/>
                <c:pt idx="0">
                  <c:v>increase in interest rates 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7320024944662758E-2"/>
                  <c:y val="4.87705262803687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BD37-4B45-962B-EE47B68AFBD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37+38'!$J$5:$N$5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37+38'!$J$8:$N$8</c:f>
              <c:numCache>
                <c:formatCode>0.0</c:formatCode>
                <c:ptCount val="5"/>
                <c:pt idx="0">
                  <c:v>-1.04</c:v>
                </c:pt>
                <c:pt idx="1">
                  <c:v>-0.8</c:v>
                </c:pt>
                <c:pt idx="2">
                  <c:v>-0.34499999999999997</c:v>
                </c:pt>
                <c:pt idx="3">
                  <c:v>-0.06</c:v>
                </c:pt>
                <c:pt idx="4">
                  <c:v>-0.02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BD37-4B45-962B-EE47B68AFBDA}"/>
            </c:ext>
          </c:extLst>
        </c:ser>
        <c:ser>
          <c:idx val="3"/>
          <c:order val="3"/>
          <c:tx>
            <c:strRef>
              <c:f>'Graf 37+38'!$I$9</c:f>
              <c:strCache>
                <c:ptCount val="1"/>
                <c:pt idx="0">
                  <c:v>shock to wage growth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637075718015669E-2"/>
                  <c:y val="-1.068376068376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BD37-4B45-962B-EE47B68AFBDA}"/>
                </c:ext>
                <c:ext xmlns:c15="http://schemas.microsoft.com/office/drawing/2012/chart" uri="{CE6537A1-D6FC-4f65-9D91-7224C49458BB}">
                  <c15:layout>
                    <c:manualLayout>
                      <c:w val="8.8620368276419753E-2"/>
                      <c:h val="7.4706406891446253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37+38'!$J$5:$N$5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37+38'!$J$9:$N$9</c:f>
              <c:numCache>
                <c:formatCode>0.0</c:formatCode>
                <c:ptCount val="5"/>
                <c:pt idx="0">
                  <c:v>-1.04</c:v>
                </c:pt>
                <c:pt idx="1">
                  <c:v>-0.60000000000000009</c:v>
                </c:pt>
                <c:pt idx="2">
                  <c:v>-0.215</c:v>
                </c:pt>
                <c:pt idx="3">
                  <c:v>0.1</c:v>
                </c:pt>
                <c:pt idx="4">
                  <c:v>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BD37-4B45-962B-EE47B68AF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239352"/>
        <c:axId val="330239744"/>
      </c:lineChart>
      <c:catAx>
        <c:axId val="330239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30239744"/>
        <c:crosses val="autoZero"/>
        <c:auto val="1"/>
        <c:lblAlgn val="ctr"/>
        <c:lblOffset val="100"/>
        <c:noMultiLvlLbl val="0"/>
      </c:catAx>
      <c:valAx>
        <c:axId val="330239744"/>
        <c:scaling>
          <c:orientation val="minMax"/>
          <c:max val="0.2"/>
          <c:min val="-1.1000000000000001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30239352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556511705386682"/>
          <c:w val="1"/>
          <c:h val="0.164434854297059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5483814523184598E-2"/>
          <c:y val="3.8379702537182855E-2"/>
          <c:w val="0.88396062992125979"/>
          <c:h val="0.69746877303252264"/>
        </c:manualLayout>
      </c:layout>
      <c:lineChart>
        <c:grouping val="standard"/>
        <c:varyColors val="0"/>
        <c:ser>
          <c:idx val="0"/>
          <c:order val="0"/>
          <c:tx>
            <c:strRef>
              <c:f>'Graf 37+38'!$I$24</c:f>
              <c:strCache>
                <c:ptCount val="1"/>
                <c:pt idx="0">
                  <c:v>baseline scenario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2.508885636629730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4DB-44B1-AE4C-A6D65573CC3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37+38'!$J$23:$N$23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37+38'!$J$24:$N$24</c:f>
              <c:numCache>
                <c:formatCode>0.0</c:formatCode>
                <c:ptCount val="5"/>
                <c:pt idx="0">
                  <c:v>50.863564560753126</c:v>
                </c:pt>
                <c:pt idx="1">
                  <c:v>49.268655037020835</c:v>
                </c:pt>
                <c:pt idx="2">
                  <c:v>46.524524490032888</c:v>
                </c:pt>
                <c:pt idx="3">
                  <c:v>44.858012870079818</c:v>
                </c:pt>
                <c:pt idx="4">
                  <c:v>43.295611962735343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4DB-44B1-AE4C-A6D65573CC35}"/>
            </c:ext>
          </c:extLst>
        </c:ser>
        <c:ser>
          <c:idx val="1"/>
          <c:order val="1"/>
          <c:tx>
            <c:strRef>
              <c:f>'Graf 37+38'!$I$25</c:f>
              <c:strCache>
                <c:ptCount val="1"/>
                <c:pt idx="0">
                  <c:v>lower foreign demand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1.672590424419835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4DB-44B1-AE4C-A6D65573CC3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37+38'!$J$23:$N$23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37+38'!$J$25:$N$25</c:f>
              <c:numCache>
                <c:formatCode>0.0</c:formatCode>
                <c:ptCount val="5"/>
                <c:pt idx="0">
                  <c:v>50.863564560753126</c:v>
                </c:pt>
                <c:pt idx="1">
                  <c:v>49.568655037020832</c:v>
                </c:pt>
                <c:pt idx="2">
                  <c:v>47.224524490032891</c:v>
                </c:pt>
                <c:pt idx="3">
                  <c:v>45.95801287007982</c:v>
                </c:pt>
                <c:pt idx="4">
                  <c:v>44.995611962735346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4DB-44B1-AE4C-A6D65573CC35}"/>
            </c:ext>
          </c:extLst>
        </c:ser>
        <c:ser>
          <c:idx val="2"/>
          <c:order val="2"/>
          <c:tx>
            <c:strRef>
              <c:f>'Graf 37+38'!$I$26</c:f>
              <c:strCache>
                <c:ptCount val="1"/>
                <c:pt idx="0">
                  <c:v>increase in interest rates 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4766504072000409E-2"/>
                  <c:y val="-3.9499763325631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4DB-44B1-AE4C-A6D65573CC3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37+38'!$J$23:$N$23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37+38'!$J$26:$N$26</c:f>
              <c:numCache>
                <c:formatCode>0.0</c:formatCode>
                <c:ptCount val="5"/>
                <c:pt idx="0">
                  <c:v>50.863564560753126</c:v>
                </c:pt>
                <c:pt idx="1">
                  <c:v>49.328655037020837</c:v>
                </c:pt>
                <c:pt idx="2">
                  <c:v>46.614524490032892</c:v>
                </c:pt>
                <c:pt idx="3">
                  <c:v>45.008012870079817</c:v>
                </c:pt>
                <c:pt idx="4">
                  <c:v>43.475611962735343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44DB-44B1-AE4C-A6D65573CC35}"/>
            </c:ext>
          </c:extLst>
        </c:ser>
        <c:ser>
          <c:idx val="3"/>
          <c:order val="3"/>
          <c:tx>
            <c:strRef>
              <c:f>'Graf 37+38'!$I$27</c:f>
              <c:strCache>
                <c:ptCount val="1"/>
                <c:pt idx="0">
                  <c:v>shock to wage growth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5.00000000000001E-2"/>
                  <c:y val="2.4539877300613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4DB-44B1-AE4C-A6D65573CC3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37+38'!$J$23:$N$23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'Graf 37+38'!$J$27:$N$27</c:f>
              <c:numCache>
                <c:formatCode>0.0</c:formatCode>
                <c:ptCount val="5"/>
                <c:pt idx="0">
                  <c:v>50.863564560753126</c:v>
                </c:pt>
                <c:pt idx="1">
                  <c:v>48.968655037020838</c:v>
                </c:pt>
                <c:pt idx="2">
                  <c:v>46.224524490032891</c:v>
                </c:pt>
                <c:pt idx="3">
                  <c:v>44.45801287007982</c:v>
                </c:pt>
                <c:pt idx="4">
                  <c:v>42.895611962735344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4DB-44B1-AE4C-A6D65573C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240528"/>
        <c:axId val="330240920"/>
      </c:lineChart>
      <c:catAx>
        <c:axId val="33024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30240920"/>
        <c:crosses val="autoZero"/>
        <c:auto val="1"/>
        <c:lblAlgn val="ctr"/>
        <c:lblOffset val="100"/>
        <c:noMultiLvlLbl val="0"/>
      </c:catAx>
      <c:valAx>
        <c:axId val="330240920"/>
        <c:scaling>
          <c:orientation val="minMax"/>
          <c:max val="51"/>
          <c:min val="42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3024052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5816227120081603E-2"/>
          <c:y val="0.85244142039203652"/>
          <c:w val="0.98418390931211042"/>
          <c:h val="0.119781870527232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85583785326856E-2"/>
          <c:y val="6.1478205382093427E-2"/>
          <c:w val="0.86853336595843023"/>
          <c:h val="0.64239619776882961"/>
        </c:manualLayout>
      </c:layout>
      <c:areaChart>
        <c:grouping val="standard"/>
        <c:varyColors val="0"/>
        <c:ser>
          <c:idx val="3"/>
          <c:order val="3"/>
          <c:tx>
            <c:strRef>
              <c:f>'Graf 39+40'!$B$11</c:f>
              <c:strCache>
                <c:ptCount val="1"/>
                <c:pt idx="0">
                  <c:v>Vysoké riziko/ High risk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cat>
            <c:numRef>
              <c:f>'Graf 39+40'!$C$5:$K$5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39+40'!$C$11:$K$11</c:f>
              <c:numCache>
                <c:formatCode>0.0</c:formatCode>
                <c:ptCount val="9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98E-4D79-9C8A-9310499D8B95}"/>
            </c:ext>
          </c:extLst>
        </c:ser>
        <c:ser>
          <c:idx val="2"/>
          <c:order val="4"/>
          <c:tx>
            <c:strRef>
              <c:f>'Graf 39+40'!$B$10</c:f>
              <c:strCache>
                <c:ptCount val="1"/>
                <c:pt idx="0">
                  <c:v>Stredné riziko/ Medium risk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f>'Graf 39+40'!$C$5:$K$5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39+40'!$C$10:$K$10</c:f>
              <c:numCache>
                <c:formatCode>0.0</c:formatCode>
                <c:ptCount val="9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98E-4D79-9C8A-9310499D8B95}"/>
            </c:ext>
          </c:extLst>
        </c:ser>
        <c:ser>
          <c:idx val="1"/>
          <c:order val="5"/>
          <c:tx>
            <c:strRef>
              <c:f>'Graf 39+40'!$B$9</c:f>
              <c:strCache>
                <c:ptCount val="1"/>
                <c:pt idx="0">
                  <c:v>Nízke riziko/ Low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'Graf 39+40'!$C$5:$K$5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39+40'!$C$9:$K$9</c:f>
              <c:numCache>
                <c:formatCode>0.0</c:formatCode>
                <c:ptCount val="9"/>
                <c:pt idx="0">
                  <c:v>-4</c:v>
                </c:pt>
                <c:pt idx="1">
                  <c:v>-4</c:v>
                </c:pt>
                <c:pt idx="2">
                  <c:v>-4</c:v>
                </c:pt>
                <c:pt idx="3">
                  <c:v>-4</c:v>
                </c:pt>
                <c:pt idx="4">
                  <c:v>-4</c:v>
                </c:pt>
                <c:pt idx="5">
                  <c:v>-4</c:v>
                </c:pt>
                <c:pt idx="6">
                  <c:v>-4</c:v>
                </c:pt>
                <c:pt idx="7">
                  <c:v>-4</c:v>
                </c:pt>
                <c:pt idx="8">
                  <c:v>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0241704"/>
        <c:axId val="330242096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39+40'!$B$6</c:f>
              <c:strCache>
                <c:ptCount val="1"/>
                <c:pt idx="0">
                  <c:v>EC (ref- debt level 60 % of GDP)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1.7264113752837703E-2"/>
                  <c:y val="2.2356151121086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98E-4D79-9C8A-9310499D8B9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39+40'!$C$5:$K$5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39+40'!$C$6:$K$6</c:f>
              <c:numCache>
                <c:formatCode>0.0</c:formatCode>
                <c:ptCount val="9"/>
                <c:pt idx="1">
                  <c:v>1.3</c:v>
                </c:pt>
                <c:pt idx="2">
                  <c:v>5.7</c:v>
                </c:pt>
                <c:pt idx="3">
                  <c:v>2.2000000000000002</c:v>
                </c:pt>
                <c:pt idx="4">
                  <c:v>-0.7</c:v>
                </c:pt>
                <c:pt idx="5">
                  <c:v>-2.1</c:v>
                </c:pt>
                <c:pt idx="6">
                  <c:v>-2.6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98E-4D79-9C8A-9310499D8B95}"/>
            </c:ext>
          </c:extLst>
        </c:ser>
        <c:ser>
          <c:idx val="5"/>
          <c:order val="1"/>
          <c:tx>
            <c:strRef>
              <c:f>'Graf 39+40'!$B$7</c:f>
              <c:strCache>
                <c:ptCount val="1"/>
                <c:pt idx="0">
                  <c:v>SP 18-21 (ref. level of debt - 60 % HDP)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5754659271644714E-2"/>
                  <c:y val="1.6770303870442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98E-4D79-9C8A-9310499D8B95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4528227505675408E-3"/>
                  <c:y val="1.1181816181486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98E-4D79-9C8A-9310499D8B9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39+40'!$C$5:$K$5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39+40'!$C$7:$K$7</c:f>
              <c:numCache>
                <c:formatCode>0.0</c:formatCode>
                <c:ptCount val="9"/>
                <c:pt idx="6">
                  <c:v>-2.3904865534375515</c:v>
                </c:pt>
                <c:pt idx="7">
                  <c:v>-3.1140168803809267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241704"/>
        <c:axId val="330242096"/>
      </c:barChart>
      <c:lineChart>
        <c:grouping val="standard"/>
        <c:varyColors val="0"/>
        <c:ser>
          <c:idx val="4"/>
          <c:order val="6"/>
          <c:tx>
            <c:strRef>
              <c:f>'Graf 39+40'!$B$12</c:f>
              <c:strCache>
                <c:ptCount val="1"/>
                <c:pt idx="0">
                  <c:v>Hranica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39+40'!$C$5:$K$5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39+40'!$C$12:$K$12</c:f>
              <c:numCache>
                <c:formatCode>0.0</c:formatCode>
                <c:ptCount val="9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241704"/>
        <c:axId val="330242096"/>
      </c:lineChart>
      <c:scatterChart>
        <c:scatterStyle val="lineMarker"/>
        <c:varyColors val="0"/>
        <c:ser>
          <c:idx val="6"/>
          <c:order val="2"/>
          <c:tx>
            <c:strRef>
              <c:f>'Graf 39+40'!$B$8</c:f>
              <c:strCache>
                <c:ptCount val="1"/>
                <c:pt idx="0">
                  <c:v>SP 18-21  (ref. level of debt - 40 % HDP)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2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2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'Graf 39+40'!$C$5:$K$5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xVal>
          <c:yVal>
            <c:numRef>
              <c:f>'Graf 39+40'!$C$8:$K$8</c:f>
              <c:numCache>
                <c:formatCode>0.0</c:formatCode>
                <c:ptCount val="9"/>
                <c:pt idx="6">
                  <c:v>-0.51439333871488757</c:v>
                </c:pt>
                <c:pt idx="7">
                  <c:v>-0.84562912425198888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E-498E-4D79-9C8A-9310499D8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079136"/>
        <c:axId val="328078744"/>
      </c:scatterChart>
      <c:catAx>
        <c:axId val="330241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30242096"/>
        <c:crosses val="autoZero"/>
        <c:auto val="0"/>
        <c:lblAlgn val="ctr"/>
        <c:lblOffset val="100"/>
        <c:noMultiLvlLbl val="0"/>
      </c:catAx>
      <c:valAx>
        <c:axId val="330242096"/>
        <c:scaling>
          <c:orientation val="minMax"/>
          <c:max val="6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30241704"/>
        <c:crosses val="autoZero"/>
        <c:crossBetween val="between"/>
      </c:valAx>
      <c:valAx>
        <c:axId val="32807874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28079136"/>
        <c:crosses val="max"/>
        <c:crossBetween val="midCat"/>
      </c:valAx>
      <c:valAx>
        <c:axId val="328079136"/>
        <c:scaling>
          <c:orientation val="minMax"/>
          <c:max val="2023.9"/>
          <c:min val="2005.1"/>
        </c:scaling>
        <c:delete val="0"/>
        <c:axPos val="t"/>
        <c:numFmt formatCode="#,##0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078744"/>
        <c:crosses val="max"/>
        <c:crossBetween val="midCat"/>
        <c:majorUnit val="3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7.589685031877437E-3"/>
          <c:y val="0.83364930578476015"/>
          <c:w val="0.97791498443511005"/>
          <c:h val="0.16635069421523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3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2"/>
          <c:tx>
            <c:strRef>
              <c:f>'Graf 39+40'!$B$34</c:f>
              <c:strCache>
                <c:ptCount val="1"/>
                <c:pt idx="0">
                  <c:v>Vysoké riziko/ High risk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cat>
            <c:numRef>
              <c:f>'Graf 39+40'!$C$29:$K$29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39+40'!$C$34:$K$34</c:f>
              <c:numCache>
                <c:formatCode>0.0</c:formatCode>
                <c:ptCount val="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04-4129-BD11-38AD28F682BE}"/>
            </c:ext>
          </c:extLst>
        </c:ser>
        <c:ser>
          <c:idx val="2"/>
          <c:order val="3"/>
          <c:tx>
            <c:strRef>
              <c:f>'Graf 39+40'!$B$33</c:f>
              <c:strCache>
                <c:ptCount val="1"/>
                <c:pt idx="0">
                  <c:v>Stredné riziko/ Medium risk</c:v>
                </c:pt>
              </c:strCache>
            </c:strRef>
          </c:tx>
          <c:spPr>
            <a:solidFill>
              <a:srgbClr val="FFFFAF"/>
            </a:solidFill>
            <a:ln>
              <a:noFill/>
            </a:ln>
            <a:effectLst/>
          </c:spPr>
          <c:cat>
            <c:numRef>
              <c:f>'Graf 39+40'!$C$29:$K$29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39+40'!$C$33:$K$33</c:f>
              <c:numCache>
                <c:formatCode>0.0</c:formatCode>
                <c:ptCount val="9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104-4129-BD11-38AD28F682BE}"/>
            </c:ext>
          </c:extLst>
        </c:ser>
        <c:ser>
          <c:idx val="1"/>
          <c:order val="4"/>
          <c:tx>
            <c:strRef>
              <c:f>'Graf 39+40'!$B$32</c:f>
              <c:strCache>
                <c:ptCount val="1"/>
                <c:pt idx="0">
                  <c:v>Nízke riziko/ Low risk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'Graf 39+40'!$C$29:$K$29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39+40'!$C$32:$K$32</c:f>
              <c:numCache>
                <c:formatCode>0.0</c:formatCode>
                <c:ptCount val="9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104-4129-BD11-38AD28F6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079920"/>
        <c:axId val="328080312"/>
      </c:areaChart>
      <c:barChart>
        <c:barDir val="col"/>
        <c:grouping val="clustered"/>
        <c:varyColors val="0"/>
        <c:ser>
          <c:idx val="0"/>
          <c:order val="0"/>
          <c:tx>
            <c:strRef>
              <c:f>'Graf 39+40'!$B$30</c:f>
              <c:strCache>
                <c:ptCount val="1"/>
                <c:pt idx="0">
                  <c:v>EC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39+40'!$C$29:$K$29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39+40'!$C$30:$K$30</c:f>
              <c:numCache>
                <c:formatCode>0.0</c:formatCode>
                <c:ptCount val="9"/>
                <c:pt idx="1">
                  <c:v>3</c:v>
                </c:pt>
                <c:pt idx="2">
                  <c:v>7.4</c:v>
                </c:pt>
                <c:pt idx="3">
                  <c:v>6.9</c:v>
                </c:pt>
                <c:pt idx="4">
                  <c:v>3.5</c:v>
                </c:pt>
                <c:pt idx="5">
                  <c:v>2.4</c:v>
                </c:pt>
                <c:pt idx="6">
                  <c:v>2.4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104-4129-BD11-38AD28F682BE}"/>
            </c:ext>
          </c:extLst>
        </c:ser>
        <c:ser>
          <c:idx val="5"/>
          <c:order val="1"/>
          <c:tx>
            <c:strRef>
              <c:f>'Graf 39+40'!$B$31</c:f>
              <c:strCache>
                <c:ptCount val="1"/>
                <c:pt idx="0">
                  <c:v>SP 18-21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6512138772109228E-2"/>
                  <c:y val="2.2322684065470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104-4129-BD11-38AD28F682B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3.0299587168124833E-2"/>
                  <c:y val="3.348402609820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1104-4129-BD11-38AD28F682B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39+40'!$C$29:$K$29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39+40'!$C$31:$K$31</c:f>
              <c:numCache>
                <c:formatCode>0.0</c:formatCode>
                <c:ptCount val="9"/>
                <c:pt idx="6">
                  <c:v>2.4879608491637724</c:v>
                </c:pt>
                <c:pt idx="7">
                  <c:v>2.3252686022627058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1104-4129-BD11-38AD28F6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079920"/>
        <c:axId val="328080312"/>
      </c:barChart>
      <c:lineChart>
        <c:grouping val="standard"/>
        <c:varyColors val="0"/>
        <c:ser>
          <c:idx val="4"/>
          <c:order val="5"/>
          <c:tx>
            <c:strRef>
              <c:f>'Graf 39+40'!$B$35</c:f>
              <c:strCache>
                <c:ptCount val="1"/>
                <c:pt idx="0">
                  <c:v>Borders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'Graf 39+40'!$C$29:$K$29</c:f>
              <c:numCache>
                <c:formatCode>General</c:formatCode>
                <c:ptCount val="9"/>
                <c:pt idx="1">
                  <c:v>2005</c:v>
                </c:pt>
                <c:pt idx="2">
                  <c:v>2009</c:v>
                </c:pt>
                <c:pt idx="3">
                  <c:v>2014</c:v>
                </c:pt>
                <c:pt idx="4">
                  <c:v>2016</c:v>
                </c:pt>
                <c:pt idx="5">
                  <c:v>2017</c:v>
                </c:pt>
                <c:pt idx="6">
                  <c:v>2019</c:v>
                </c:pt>
                <c:pt idx="7">
                  <c:v>2021</c:v>
                </c:pt>
              </c:numCache>
            </c:numRef>
          </c:cat>
          <c:val>
            <c:numRef>
              <c:f>'Graf 39+40'!$C$35:$K$35</c:f>
              <c:numCache>
                <c:formatCode>0.0</c:formatCode>
                <c:ptCount val="9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1104-4129-BD11-38AD28F6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079920"/>
        <c:axId val="328080312"/>
      </c:lineChart>
      <c:catAx>
        <c:axId val="32807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080312"/>
        <c:crosses val="autoZero"/>
        <c:auto val="1"/>
        <c:lblAlgn val="ctr"/>
        <c:lblOffset val="100"/>
        <c:noMultiLvlLbl val="0"/>
      </c:catAx>
      <c:valAx>
        <c:axId val="328080312"/>
        <c:scaling>
          <c:orientation val="minMax"/>
          <c:max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ot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079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  <c:userShapes r:id="rId4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41+42'!$B$25</c:f>
              <c:strCache>
                <c:ptCount val="1"/>
                <c:pt idx="0">
                  <c:v>AR 2018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41+42'!$A$26:$A$30</c:f>
              <c:strCache>
                <c:ptCount val="5"/>
                <c:pt idx="0">
                  <c:v>Pensions</c:v>
                </c:pt>
                <c:pt idx="1">
                  <c:v>Healthcare</c:v>
                </c:pt>
                <c:pt idx="2">
                  <c:v>Longterm care</c:v>
                </c:pt>
                <c:pt idx="3">
                  <c:v>Education</c:v>
                </c:pt>
                <c:pt idx="4">
                  <c:v>Unemployment benefit</c:v>
                </c:pt>
              </c:strCache>
            </c:strRef>
          </c:cat>
          <c:val>
            <c:numRef>
              <c:f>'Graf 41+42'!$B$26:$B$30</c:f>
              <c:numCache>
                <c:formatCode>0.00%</c:formatCode>
                <c:ptCount val="5"/>
                <c:pt idx="0">
                  <c:v>1.3081353985042676E-2</c:v>
                </c:pt>
                <c:pt idx="1">
                  <c:v>1.3996697169675998E-2</c:v>
                </c:pt>
                <c:pt idx="2">
                  <c:v>5.5725034356187055E-3</c:v>
                </c:pt>
                <c:pt idx="3">
                  <c:v>6.833081156829221E-4</c:v>
                </c:pt>
                <c:pt idx="4">
                  <c:v>-3.007618508497499E-4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629-48B9-BE75-E5A422ABFA91}"/>
            </c:ext>
          </c:extLst>
        </c:ser>
        <c:ser>
          <c:idx val="1"/>
          <c:order val="1"/>
          <c:tx>
            <c:strRef>
              <c:f>'Graf 41+42'!$C$25</c:f>
              <c:strCache>
                <c:ptCount val="1"/>
                <c:pt idx="0">
                  <c:v>2016-2060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'Graf 41+42'!$A$26:$A$30</c:f>
              <c:strCache>
                <c:ptCount val="5"/>
                <c:pt idx="0">
                  <c:v>Pensions</c:v>
                </c:pt>
                <c:pt idx="1">
                  <c:v>Healthcare</c:v>
                </c:pt>
                <c:pt idx="2">
                  <c:v>Longterm care</c:v>
                </c:pt>
                <c:pt idx="3">
                  <c:v>Education</c:v>
                </c:pt>
                <c:pt idx="4">
                  <c:v>Unemployment benefit</c:v>
                </c:pt>
              </c:strCache>
            </c:strRef>
          </c:cat>
          <c:val>
            <c:numRef>
              <c:f>'Graf 41+42'!$C$26:$C$30</c:f>
              <c:numCache>
                <c:formatCode>0.0%</c:formatCode>
                <c:ptCount val="5"/>
                <c:pt idx="0">
                  <c:v>1.9785973801288891E-2</c:v>
                </c:pt>
                <c:pt idx="1">
                  <c:v>1.8319715576120599E-2</c:v>
                </c:pt>
                <c:pt idx="2">
                  <c:v>3.4778771586498496E-3</c:v>
                </c:pt>
                <c:pt idx="3">
                  <c:v>-2.8137010421771967E-3</c:v>
                </c:pt>
                <c:pt idx="4">
                  <c:v>-9.7319517913289271E-4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629-48B9-BE75-E5A422ABF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28081096"/>
        <c:axId val="328081488"/>
      </c:barChart>
      <c:catAx>
        <c:axId val="328081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081488"/>
        <c:crosses val="autoZero"/>
        <c:auto val="1"/>
        <c:lblAlgn val="ctr"/>
        <c:lblOffset val="100"/>
        <c:noMultiLvlLbl val="0"/>
      </c:catAx>
      <c:valAx>
        <c:axId val="328081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081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652720018576776E-2"/>
          <c:y val="5.9261524589763803E-2"/>
          <c:w val="0.88657992817921893"/>
          <c:h val="0.799020874701538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'Graf 41+42'!$B$34</c:f>
              <c:strCache>
                <c:ptCount val="1"/>
                <c:pt idx="0">
                  <c:v>2018-2060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 41+42'!$A$35:$A$37</c:f>
              <c:strCache>
                <c:ptCount val="3"/>
                <c:pt idx="0">
                  <c:v>Pensions</c:v>
                </c:pt>
                <c:pt idx="1">
                  <c:v>Health and Longterm care</c:v>
                </c:pt>
                <c:pt idx="2">
                  <c:v>Education and unemployment benefit</c:v>
                </c:pt>
              </c:strCache>
            </c:strRef>
          </c:cat>
          <c:val>
            <c:numRef>
              <c:f>'Graf 41+42'!$B$35:$B$37</c:f>
              <c:numCache>
                <c:formatCode>General</c:formatCode>
                <c:ptCount val="3"/>
                <c:pt idx="0">
                  <c:v>-5.9258857753932685E-2</c:v>
                </c:pt>
                <c:pt idx="1">
                  <c:v>-4.3237526720624864E-2</c:v>
                </c:pt>
                <c:pt idx="2">
                  <c:v>0.21533943081878737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DC-475E-B9D0-0DF3E2D4FC8C}"/>
            </c:ext>
          </c:extLst>
        </c:ser>
        <c:ser>
          <c:idx val="1"/>
          <c:order val="1"/>
          <c:tx>
            <c:strRef>
              <c:f>'Graf 41+42'!$C$34</c:f>
              <c:strCache>
                <c:ptCount val="1"/>
                <c:pt idx="0">
                  <c:v>2060 - infinity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'Graf 41+42'!$A$35:$A$37</c:f>
              <c:strCache>
                <c:ptCount val="3"/>
                <c:pt idx="0">
                  <c:v>Pensions</c:v>
                </c:pt>
                <c:pt idx="1">
                  <c:v>Health and Longterm care</c:v>
                </c:pt>
                <c:pt idx="2">
                  <c:v>Education and unemployment benefit</c:v>
                </c:pt>
              </c:strCache>
            </c:strRef>
          </c:cat>
          <c:val>
            <c:numRef>
              <c:f>'Graf 41+42'!$C$35:$C$37</c:f>
              <c:numCache>
                <c:formatCode>General</c:formatCode>
                <c:ptCount val="3"/>
                <c:pt idx="0">
                  <c:v>-0.22245425389329698</c:v>
                </c:pt>
                <c:pt idx="1">
                  <c:v>-7.6338205300630957E-2</c:v>
                </c:pt>
                <c:pt idx="2">
                  <c:v>0.24581927513179902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DC-475E-B9D0-0DF3E2D4F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28082272"/>
        <c:axId val="451805280"/>
      </c:barChart>
      <c:catAx>
        <c:axId val="32808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1805280"/>
        <c:crosses val="autoZero"/>
        <c:auto val="1"/>
        <c:lblAlgn val="ctr"/>
        <c:lblOffset val="100"/>
        <c:noMultiLvlLbl val="0"/>
      </c:catAx>
      <c:valAx>
        <c:axId val="451805280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08227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515456401283168"/>
        </c:manualLayout>
      </c:layout>
      <c:lineChart>
        <c:grouping val="standard"/>
        <c:varyColors val="0"/>
        <c:ser>
          <c:idx val="3"/>
          <c:order val="0"/>
          <c:tx>
            <c:strRef>
              <c:f>'Graf 43+44'!$A$47</c:f>
              <c:strCache>
                <c:ptCount val="1"/>
                <c:pt idx="0">
                  <c:v>AR 2018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43+44'!$B$46:$AW$46</c:f>
              <c:numCache>
                <c:formatCode>General</c:formatCode>
                <c:ptCount val="4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  <c:pt idx="38">
                  <c:v>2051</c:v>
                </c:pt>
                <c:pt idx="39">
                  <c:v>2052</c:v>
                </c:pt>
                <c:pt idx="40">
                  <c:v>2053</c:v>
                </c:pt>
                <c:pt idx="41">
                  <c:v>2054</c:v>
                </c:pt>
                <c:pt idx="42">
                  <c:v>2055</c:v>
                </c:pt>
                <c:pt idx="43">
                  <c:v>2056</c:v>
                </c:pt>
                <c:pt idx="44">
                  <c:v>2057</c:v>
                </c:pt>
                <c:pt idx="45">
                  <c:v>2058</c:v>
                </c:pt>
                <c:pt idx="46">
                  <c:v>2059</c:v>
                </c:pt>
                <c:pt idx="47">
                  <c:v>2060</c:v>
                </c:pt>
              </c:numCache>
            </c:numRef>
          </c:cat>
          <c:val>
            <c:numRef>
              <c:f>'Graf 43+44'!$B$47:$AW$47</c:f>
              <c:numCache>
                <c:formatCode>0.0</c:formatCode>
                <c:ptCount val="48"/>
                <c:pt idx="0">
                  <c:v>1.4906579115731011</c:v>
                </c:pt>
                <c:pt idx="1">
                  <c:v>2.5708553468352546</c:v>
                </c:pt>
                <c:pt idx="2">
                  <c:v>3.8310846235940721</c:v>
                </c:pt>
                <c:pt idx="3">
                  <c:v>3.2851495868252423</c:v>
                </c:pt>
                <c:pt idx="4">
                  <c:v>3.0286210728434293</c:v>
                </c:pt>
                <c:pt idx="5">
                  <c:v>3.5948021183181744</c:v>
                </c:pt>
                <c:pt idx="6">
                  <c:v>2.5529034480697765</c:v>
                </c:pt>
                <c:pt idx="7">
                  <c:v>2.4762455895946056</c:v>
                </c:pt>
                <c:pt idx="8">
                  <c:v>2.5920307227492501</c:v>
                </c:pt>
                <c:pt idx="9">
                  <c:v>2.8630266966422013</c:v>
                </c:pt>
                <c:pt idx="10">
                  <c:v>2.8898185203148685</c:v>
                </c:pt>
                <c:pt idx="11">
                  <c:v>2.9233807872740325</c:v>
                </c:pt>
                <c:pt idx="12">
                  <c:v>2.9256135816534856</c:v>
                </c:pt>
                <c:pt idx="13">
                  <c:v>2.9436017336164522</c:v>
                </c:pt>
                <c:pt idx="14">
                  <c:v>2.9382465862146145</c:v>
                </c:pt>
                <c:pt idx="15">
                  <c:v>2.9228904298593528</c:v>
                </c:pt>
                <c:pt idx="16">
                  <c:v>2.8909104537476846</c:v>
                </c:pt>
                <c:pt idx="17">
                  <c:v>2.8443676238187852</c:v>
                </c:pt>
                <c:pt idx="18">
                  <c:v>2.7643357090561058</c:v>
                </c:pt>
                <c:pt idx="19">
                  <c:v>2.6328718328863472</c:v>
                </c:pt>
                <c:pt idx="20">
                  <c:v>2.483558474346645</c:v>
                </c:pt>
                <c:pt idx="21">
                  <c:v>2.3414626923317789</c:v>
                </c:pt>
                <c:pt idx="22">
                  <c:v>2.1849258273755598</c:v>
                </c:pt>
                <c:pt idx="23">
                  <c:v>2.0270279694983531</c:v>
                </c:pt>
                <c:pt idx="24">
                  <c:v>1.9758678345968574</c:v>
                </c:pt>
                <c:pt idx="25">
                  <c:v>1.9287510506634167</c:v>
                </c:pt>
                <c:pt idx="26">
                  <c:v>1.8810272509055581</c:v>
                </c:pt>
                <c:pt idx="27">
                  <c:v>1.7608537923124818</c:v>
                </c:pt>
                <c:pt idx="28">
                  <c:v>1.6497452092690166</c:v>
                </c:pt>
                <c:pt idx="29">
                  <c:v>1.5400017215451292</c:v>
                </c:pt>
                <c:pt idx="30">
                  <c:v>1.4278829645272233</c:v>
                </c:pt>
                <c:pt idx="31">
                  <c:v>1.3160075258151227</c:v>
                </c:pt>
                <c:pt idx="32">
                  <c:v>1.2079541309699446</c:v>
                </c:pt>
                <c:pt idx="33">
                  <c:v>1.198335536550416</c:v>
                </c:pt>
                <c:pt idx="34">
                  <c:v>1.1914676357276068</c:v>
                </c:pt>
                <c:pt idx="35">
                  <c:v>1.1875321366166678</c:v>
                </c:pt>
                <c:pt idx="36">
                  <c:v>1.1862852146104212</c:v>
                </c:pt>
                <c:pt idx="37">
                  <c:v>1.1856960624191664</c:v>
                </c:pt>
                <c:pt idx="38">
                  <c:v>1.1166405933951695</c:v>
                </c:pt>
                <c:pt idx="39">
                  <c:v>1.1093401332041384</c:v>
                </c:pt>
                <c:pt idx="40">
                  <c:v>1.1150565942029294</c:v>
                </c:pt>
                <c:pt idx="41">
                  <c:v>1.1317082227006261</c:v>
                </c:pt>
                <c:pt idx="42">
                  <c:v>1.1493637655310562</c:v>
                </c:pt>
                <c:pt idx="43">
                  <c:v>1.1717730778941489</c:v>
                </c:pt>
                <c:pt idx="44">
                  <c:v>1.1919308956218926</c:v>
                </c:pt>
                <c:pt idx="45">
                  <c:v>1.2173513796400093</c:v>
                </c:pt>
                <c:pt idx="46">
                  <c:v>1.2327042987439216</c:v>
                </c:pt>
                <c:pt idx="47">
                  <c:v>1.2499353669144524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49F-43A0-ACAC-F7FB818BB0DA}"/>
            </c:ext>
          </c:extLst>
        </c:ser>
        <c:ser>
          <c:idx val="0"/>
          <c:order val="1"/>
          <c:tx>
            <c:strRef>
              <c:f>'Graf 43+44'!$A$48</c:f>
              <c:strCache>
                <c:ptCount val="1"/>
                <c:pt idx="0">
                  <c:v>AR 2015</c:v>
                </c:pt>
              </c:strCache>
            </c:strRef>
          </c:tx>
          <c:spPr>
            <a:ln>
              <a:prstDash val="sysDot"/>
            </a:ln>
          </c:spPr>
          <c:marker>
            <c:symbol val="none"/>
          </c:marker>
          <c:cat>
            <c:numRef>
              <c:f>'Graf 43+44'!$B$46:$AW$46</c:f>
              <c:numCache>
                <c:formatCode>General</c:formatCode>
                <c:ptCount val="4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  <c:pt idx="20">
                  <c:v>2033</c:v>
                </c:pt>
                <c:pt idx="21">
                  <c:v>2034</c:v>
                </c:pt>
                <c:pt idx="22">
                  <c:v>2035</c:v>
                </c:pt>
                <c:pt idx="23">
                  <c:v>2036</c:v>
                </c:pt>
                <c:pt idx="24">
                  <c:v>2037</c:v>
                </c:pt>
                <c:pt idx="25">
                  <c:v>2038</c:v>
                </c:pt>
                <c:pt idx="26">
                  <c:v>2039</c:v>
                </c:pt>
                <c:pt idx="27">
                  <c:v>2040</c:v>
                </c:pt>
                <c:pt idx="28">
                  <c:v>2041</c:v>
                </c:pt>
                <c:pt idx="29">
                  <c:v>2042</c:v>
                </c:pt>
                <c:pt idx="30">
                  <c:v>2043</c:v>
                </c:pt>
                <c:pt idx="31">
                  <c:v>2044</c:v>
                </c:pt>
                <c:pt idx="32">
                  <c:v>2045</c:v>
                </c:pt>
                <c:pt idx="33">
                  <c:v>2046</c:v>
                </c:pt>
                <c:pt idx="34">
                  <c:v>2047</c:v>
                </c:pt>
                <c:pt idx="35">
                  <c:v>2048</c:v>
                </c:pt>
                <c:pt idx="36">
                  <c:v>2049</c:v>
                </c:pt>
                <c:pt idx="37">
                  <c:v>2050</c:v>
                </c:pt>
                <c:pt idx="38">
                  <c:v>2051</c:v>
                </c:pt>
                <c:pt idx="39">
                  <c:v>2052</c:v>
                </c:pt>
                <c:pt idx="40">
                  <c:v>2053</c:v>
                </c:pt>
                <c:pt idx="41">
                  <c:v>2054</c:v>
                </c:pt>
                <c:pt idx="42">
                  <c:v>2055</c:v>
                </c:pt>
                <c:pt idx="43">
                  <c:v>2056</c:v>
                </c:pt>
                <c:pt idx="44">
                  <c:v>2057</c:v>
                </c:pt>
                <c:pt idx="45">
                  <c:v>2058</c:v>
                </c:pt>
                <c:pt idx="46">
                  <c:v>2059</c:v>
                </c:pt>
                <c:pt idx="47">
                  <c:v>2060</c:v>
                </c:pt>
              </c:numCache>
            </c:numRef>
          </c:cat>
          <c:val>
            <c:numRef>
              <c:f>'Graf 43+44'!$B$48:$AW$48</c:f>
              <c:numCache>
                <c:formatCode>0.0</c:formatCode>
                <c:ptCount val="48"/>
                <c:pt idx="0">
                  <c:v>0.94082151124590396</c:v>
                </c:pt>
                <c:pt idx="1">
                  <c:v>2.1851989809477335</c:v>
                </c:pt>
                <c:pt idx="2">
                  <c:v>3.0507288432415125</c:v>
                </c:pt>
                <c:pt idx="3">
                  <c:v>3.437666145205065</c:v>
                </c:pt>
                <c:pt idx="4">
                  <c:v>3.4326912772188578</c:v>
                </c:pt>
                <c:pt idx="5">
                  <c:v>3.5491247690438987</c:v>
                </c:pt>
                <c:pt idx="6">
                  <c:v>2.542368539573725</c:v>
                </c:pt>
                <c:pt idx="7">
                  <c:v>2.5939547112274308</c:v>
                </c:pt>
                <c:pt idx="8">
                  <c:v>2.5932707834853908</c:v>
                </c:pt>
                <c:pt idx="9">
                  <c:v>2.5698606108765176</c:v>
                </c:pt>
                <c:pt idx="10">
                  <c:v>2.6161516721099121</c:v>
                </c:pt>
                <c:pt idx="11">
                  <c:v>2.9782504481963312</c:v>
                </c:pt>
                <c:pt idx="12">
                  <c:v>2.9777419231921529</c:v>
                </c:pt>
                <c:pt idx="13">
                  <c:v>2.9079113269540802</c:v>
                </c:pt>
                <c:pt idx="14">
                  <c:v>2.8269563373706674</c:v>
                </c:pt>
                <c:pt idx="15">
                  <c:v>2.7458098535096584</c:v>
                </c:pt>
                <c:pt idx="16">
                  <c:v>2.6561201057878039</c:v>
                </c:pt>
                <c:pt idx="17">
                  <c:v>2.5113100209708565</c:v>
                </c:pt>
                <c:pt idx="18">
                  <c:v>2.2931548910622235</c:v>
                </c:pt>
                <c:pt idx="19">
                  <c:v>2.0345921596699807</c:v>
                </c:pt>
                <c:pt idx="20">
                  <c:v>1.768420048292231</c:v>
                </c:pt>
                <c:pt idx="21">
                  <c:v>1.5088556659301813</c:v>
                </c:pt>
                <c:pt idx="22">
                  <c:v>1.3202569197861844</c:v>
                </c:pt>
                <c:pt idx="23">
                  <c:v>1.2561654921773211</c:v>
                </c:pt>
                <c:pt idx="24">
                  <c:v>1.2010520643930409</c:v>
                </c:pt>
                <c:pt idx="25">
                  <c:v>1.149461656635907</c:v>
                </c:pt>
                <c:pt idx="26">
                  <c:v>1.1131833983252313</c:v>
                </c:pt>
                <c:pt idx="27">
                  <c:v>0.69003059587092275</c:v>
                </c:pt>
                <c:pt idx="28">
                  <c:v>0.66468855183146136</c:v>
                </c:pt>
                <c:pt idx="29">
                  <c:v>0.64503979797117506</c:v>
                </c:pt>
                <c:pt idx="30">
                  <c:v>0.63230416467594397</c:v>
                </c:pt>
                <c:pt idx="31">
                  <c:v>0.61862195923993313</c:v>
                </c:pt>
                <c:pt idx="32">
                  <c:v>0.60663377391880302</c:v>
                </c:pt>
                <c:pt idx="33">
                  <c:v>0.57809410137199624</c:v>
                </c:pt>
                <c:pt idx="34">
                  <c:v>0.55731566287891887</c:v>
                </c:pt>
                <c:pt idx="35">
                  <c:v>0.54649550950644499</c:v>
                </c:pt>
                <c:pt idx="36">
                  <c:v>0.5430908878410392</c:v>
                </c:pt>
                <c:pt idx="37">
                  <c:v>0.5446825307117491</c:v>
                </c:pt>
                <c:pt idx="38">
                  <c:v>0.54737554422944612</c:v>
                </c:pt>
                <c:pt idx="39">
                  <c:v>0.55191941904928443</c:v>
                </c:pt>
                <c:pt idx="40">
                  <c:v>0.56105909284358968</c:v>
                </c:pt>
                <c:pt idx="41">
                  <c:v>0.5768774868075186</c:v>
                </c:pt>
                <c:pt idx="42">
                  <c:v>0.60013685656097548</c:v>
                </c:pt>
                <c:pt idx="43">
                  <c:v>0.63173299057776577</c:v>
                </c:pt>
                <c:pt idx="44">
                  <c:v>0.66557551585112029</c:v>
                </c:pt>
                <c:pt idx="45">
                  <c:v>0.69561002911703906</c:v>
                </c:pt>
                <c:pt idx="46">
                  <c:v>0.72361230325767401</c:v>
                </c:pt>
                <c:pt idx="47">
                  <c:v>0.75101153987157354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49F-43A0-ACAC-F7FB818BB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807632"/>
        <c:axId val="451808024"/>
      </c:lineChart>
      <c:catAx>
        <c:axId val="451807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51808024"/>
        <c:crosses val="autoZero"/>
        <c:auto val="1"/>
        <c:lblAlgn val="ctr"/>
        <c:lblOffset val="100"/>
        <c:noMultiLvlLbl val="0"/>
      </c:catAx>
      <c:valAx>
        <c:axId val="4518080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51807632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1571011956838726"/>
        </c:manualLayout>
      </c:layout>
      <c:lineChart>
        <c:grouping val="standard"/>
        <c:varyColors val="0"/>
        <c:ser>
          <c:idx val="3"/>
          <c:order val="0"/>
          <c:tx>
            <c:strRef>
              <c:f>'Graf 43+44'!$A$21</c:f>
              <c:strCache>
                <c:ptCount val="1"/>
                <c:pt idx="0">
                  <c:v>Výdavky 2015 / Expenditure 2015</c:v>
                </c:pt>
              </c:strCache>
            </c:strRef>
          </c:tx>
          <c:spPr>
            <a:ln w="19050">
              <a:solidFill>
                <a:srgbClr val="2C9ADC"/>
              </a:solidFill>
              <a:prstDash val="solid"/>
            </a:ln>
          </c:spPr>
          <c:marker>
            <c:symbol val="none"/>
          </c:marker>
          <c:cat>
            <c:numRef>
              <c:f>'Graf 43+44'!$B$20:$AT$20</c:f>
              <c:numCache>
                <c:formatCode>General</c:formatCode>
                <c:ptCount val="4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</c:numCache>
            </c:numRef>
          </c:cat>
          <c:val>
            <c:numRef>
              <c:f>'Graf 43+44'!$B$21:$AT$21</c:f>
              <c:numCache>
                <c:formatCode>0.000%</c:formatCode>
                <c:ptCount val="45"/>
                <c:pt idx="0">
                  <c:v>8.7138106549055488E-2</c:v>
                </c:pt>
                <c:pt idx="1">
                  <c:v>8.6433025370603836E-2</c:v>
                </c:pt>
                <c:pt idx="2">
                  <c:v>8.5408516418291419E-2</c:v>
                </c:pt>
                <c:pt idx="3">
                  <c:v>8.4163072406238673E-2</c:v>
                </c:pt>
                <c:pt idx="4">
                  <c:v>8.411548858411691E-2</c:v>
                </c:pt>
                <c:pt idx="5">
                  <c:v>8.3665140339108643E-2</c:v>
                </c:pt>
                <c:pt idx="6">
                  <c:v>8.3483529265742831E-2</c:v>
                </c:pt>
                <c:pt idx="7">
                  <c:v>8.3253025971600156E-2</c:v>
                </c:pt>
                <c:pt idx="8">
                  <c:v>8.2863022471146644E-2</c:v>
                </c:pt>
                <c:pt idx="9">
                  <c:v>8.256530000493506E-2</c:v>
                </c:pt>
                <c:pt idx="10">
                  <c:v>8.1457425735056307E-2</c:v>
                </c:pt>
                <c:pt idx="11">
                  <c:v>8.1225286697118718E-2</c:v>
                </c:pt>
                <c:pt idx="12">
                  <c:v>8.0696476412955867E-2</c:v>
                </c:pt>
                <c:pt idx="13">
                  <c:v>8.0357897753187246E-2</c:v>
                </c:pt>
                <c:pt idx="14">
                  <c:v>8.0013989561639964E-2</c:v>
                </c:pt>
                <c:pt idx="15">
                  <c:v>7.9889659510333291E-2</c:v>
                </c:pt>
                <c:pt idx="16">
                  <c:v>8.0067472390790109E-2</c:v>
                </c:pt>
                <c:pt idx="17">
                  <c:v>7.9694830148649975E-2</c:v>
                </c:pt>
                <c:pt idx="18">
                  <c:v>8.0116168032593804E-2</c:v>
                </c:pt>
                <c:pt idx="19">
                  <c:v>8.0522541207138337E-2</c:v>
                </c:pt>
                <c:pt idx="20">
                  <c:v>8.1165069719844218E-2</c:v>
                </c:pt>
                <c:pt idx="21">
                  <c:v>8.1837460178690147E-2</c:v>
                </c:pt>
                <c:pt idx="22">
                  <c:v>8.2601275073119998E-2</c:v>
                </c:pt>
                <c:pt idx="23">
                  <c:v>8.3503130136252213E-2</c:v>
                </c:pt>
                <c:pt idx="24">
                  <c:v>8.492136711730415E-2</c:v>
                </c:pt>
                <c:pt idx="25">
                  <c:v>8.5366242315261284E-2</c:v>
                </c:pt>
                <c:pt idx="26">
                  <c:v>8.6536499502899905E-2</c:v>
                </c:pt>
                <c:pt idx="27">
                  <c:v>8.7466011696330198E-2</c:v>
                </c:pt>
                <c:pt idx="28">
                  <c:v>8.8627856683267295E-2</c:v>
                </c:pt>
                <c:pt idx="29">
                  <c:v>8.9685095056571212E-2</c:v>
                </c:pt>
                <c:pt idx="30">
                  <c:v>9.0742048809528769E-2</c:v>
                </c:pt>
                <c:pt idx="31">
                  <c:v>9.1885885047023858E-2</c:v>
                </c:pt>
                <c:pt idx="32">
                  <c:v>9.3137560538405856E-2</c:v>
                </c:pt>
                <c:pt idx="33">
                  <c:v>9.4642821829730481E-2</c:v>
                </c:pt>
                <c:pt idx="34">
                  <c:v>9.5100093029205371E-2</c:v>
                </c:pt>
                <c:pt idx="35">
                  <c:v>9.6490634590051971E-2</c:v>
                </c:pt>
                <c:pt idx="36">
                  <c:v>9.741701041750335E-2</c:v>
                </c:pt>
                <c:pt idx="37">
                  <c:v>9.8683176887403204E-2</c:v>
                </c:pt>
                <c:pt idx="38">
                  <c:v>0.10000573082235073</c:v>
                </c:pt>
                <c:pt idx="39">
                  <c:v>0.10144609047995966</c:v>
                </c:pt>
                <c:pt idx="40">
                  <c:v>0.10298720232818449</c:v>
                </c:pt>
                <c:pt idx="41">
                  <c:v>0.10454072870224221</c:v>
                </c:pt>
                <c:pt idx="42">
                  <c:v>0.10481208899967515</c:v>
                </c:pt>
                <c:pt idx="43">
                  <c:v>0.10599831865603974</c:v>
                </c:pt>
                <c:pt idx="44">
                  <c:v>0.10660600719841876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C17-43B0-A56F-948F65C2DFDA}"/>
            </c:ext>
          </c:extLst>
        </c:ser>
        <c:ser>
          <c:idx val="0"/>
          <c:order val="1"/>
          <c:tx>
            <c:strRef>
              <c:f>'Graf 43+44'!$A$22</c:f>
              <c:strCache>
                <c:ptCount val="1"/>
                <c:pt idx="0">
                  <c:v>Príjmy 2015 / Revenue 2015</c:v>
                </c:pt>
              </c:strCache>
            </c:strRef>
          </c:tx>
          <c:marker>
            <c:symbol val="none"/>
          </c:marker>
          <c:cat>
            <c:numRef>
              <c:f>'Graf 43+44'!$B$20:$AT$20</c:f>
              <c:numCache>
                <c:formatCode>General</c:formatCode>
                <c:ptCount val="4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</c:numCache>
            </c:numRef>
          </c:cat>
          <c:val>
            <c:numRef>
              <c:f>'Graf 43+44'!$B$22:$AT$22</c:f>
              <c:numCache>
                <c:formatCode>0.000%</c:formatCode>
                <c:ptCount val="45"/>
                <c:pt idx="0">
                  <c:v>6.0711403582392048E-2</c:v>
                </c:pt>
                <c:pt idx="1">
                  <c:v>5.9916322596213212E-2</c:v>
                </c:pt>
                <c:pt idx="2">
                  <c:v>5.9126589201497902E-2</c:v>
                </c:pt>
                <c:pt idx="3">
                  <c:v>5.8772135654389816E-2</c:v>
                </c:pt>
                <c:pt idx="4">
                  <c:v>5.8394231055381794E-2</c:v>
                </c:pt>
                <c:pt idx="5">
                  <c:v>5.8034383922179675E-2</c:v>
                </c:pt>
                <c:pt idx="6">
                  <c:v>5.7714367632978783E-2</c:v>
                </c:pt>
                <c:pt idx="7">
                  <c:v>5.74139431301686E-2</c:v>
                </c:pt>
                <c:pt idx="8">
                  <c:v>5.719820890456008E-2</c:v>
                </c:pt>
                <c:pt idx="9">
                  <c:v>5.7292742142380684E-2</c:v>
                </c:pt>
                <c:pt idx="10">
                  <c:v>5.7349600269845022E-2</c:v>
                </c:pt>
                <c:pt idx="11">
                  <c:v>5.7468719840253403E-2</c:v>
                </c:pt>
                <c:pt idx="12">
                  <c:v>5.761062650353322E-2</c:v>
                </c:pt>
                <c:pt idx="13">
                  <c:v>5.7761217732421793E-2</c:v>
                </c:pt>
                <c:pt idx="14">
                  <c:v>5.7921382077295337E-2</c:v>
                </c:pt>
                <c:pt idx="15">
                  <c:v>5.8090865420183907E-2</c:v>
                </c:pt>
                <c:pt idx="16">
                  <c:v>5.8232559241194304E-2</c:v>
                </c:pt>
                <c:pt idx="17">
                  <c:v>5.8327066312878054E-2</c:v>
                </c:pt>
                <c:pt idx="18">
                  <c:v>5.8515772125808073E-2</c:v>
                </c:pt>
                <c:pt idx="19">
                  <c:v>5.86824981633879E-2</c:v>
                </c:pt>
                <c:pt idx="20">
                  <c:v>5.8912434807369587E-2</c:v>
                </c:pt>
                <c:pt idx="21">
                  <c:v>5.9129524215731463E-2</c:v>
                </c:pt>
                <c:pt idx="22">
                  <c:v>5.9369738756485102E-2</c:v>
                </c:pt>
                <c:pt idx="23">
                  <c:v>5.9639127025369901E-2</c:v>
                </c:pt>
                <c:pt idx="24">
                  <c:v>5.9835982802796409E-2</c:v>
                </c:pt>
                <c:pt idx="25">
                  <c:v>5.9954654316483155E-2</c:v>
                </c:pt>
                <c:pt idx="26">
                  <c:v>6.021410110140505E-2</c:v>
                </c:pt>
                <c:pt idx="27">
                  <c:v>6.0418878202929412E-2</c:v>
                </c:pt>
                <c:pt idx="28">
                  <c:v>6.0709500255074267E-2</c:v>
                </c:pt>
                <c:pt idx="29">
                  <c:v>6.0955834789917861E-2</c:v>
                </c:pt>
                <c:pt idx="30">
                  <c:v>6.1192321276398232E-2</c:v>
                </c:pt>
                <c:pt idx="31">
                  <c:v>6.1435919310160361E-2</c:v>
                </c:pt>
                <c:pt idx="32">
                  <c:v>6.1675272535319535E-2</c:v>
                </c:pt>
                <c:pt idx="33">
                  <c:v>6.1844878491115647E-2</c:v>
                </c:pt>
                <c:pt idx="34">
                  <c:v>6.1937507923711964E-2</c:v>
                </c:pt>
                <c:pt idx="35">
                  <c:v>6.2099298036041854E-2</c:v>
                </c:pt>
                <c:pt idx="36">
                  <c:v>6.2275267374738395E-2</c:v>
                </c:pt>
                <c:pt idx="37">
                  <c:v>6.2414894301035681E-2</c:v>
                </c:pt>
                <c:pt idx="38">
                  <c:v>6.2518442831229495E-2</c:v>
                </c:pt>
                <c:pt idx="39">
                  <c:v>6.2619650709201932E-2</c:v>
                </c:pt>
                <c:pt idx="40">
                  <c:v>6.268296781737806E-2</c:v>
                </c:pt>
                <c:pt idx="41">
                  <c:v>6.2715774160936252E-2</c:v>
                </c:pt>
                <c:pt idx="42">
                  <c:v>6.2721001065119297E-2</c:v>
                </c:pt>
                <c:pt idx="43">
                  <c:v>6.2761700082919675E-2</c:v>
                </c:pt>
                <c:pt idx="44">
                  <c:v>6.2788533419696119E-2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C17-43B0-A56F-948F65C2DFDA}"/>
            </c:ext>
          </c:extLst>
        </c:ser>
        <c:ser>
          <c:idx val="1"/>
          <c:order val="2"/>
          <c:tx>
            <c:strRef>
              <c:f>'Graf 43+44'!$A$23</c:f>
              <c:strCache>
                <c:ptCount val="1"/>
                <c:pt idx="0">
                  <c:v>Výdavky 2018 / Expenditure 2018</c:v>
                </c:pt>
              </c:strCache>
            </c:strRef>
          </c:tx>
          <c:marker>
            <c:symbol val="none"/>
          </c:marker>
          <c:cat>
            <c:numRef>
              <c:f>'Graf 43+44'!$B$20:$AT$20</c:f>
              <c:numCache>
                <c:formatCode>General</c:formatCode>
                <c:ptCount val="4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</c:numCache>
            </c:numRef>
          </c:cat>
          <c:val>
            <c:numRef>
              <c:f>'Graf 43+44'!$B$23:$AT$23</c:f>
              <c:numCache>
                <c:formatCode>0.0%</c:formatCode>
                <c:ptCount val="45"/>
                <c:pt idx="0">
                  <c:v>8.5871481888352155E-2</c:v>
                </c:pt>
                <c:pt idx="1">
                  <c:v>8.6677305100869809E-2</c:v>
                </c:pt>
                <c:pt idx="2">
                  <c:v>8.520475475949027E-2</c:v>
                </c:pt>
                <c:pt idx="3">
                  <c:v>8.3954429560400681E-2</c:v>
                </c:pt>
                <c:pt idx="4">
                  <c:v>8.2606795942409814E-2</c:v>
                </c:pt>
                <c:pt idx="5">
                  <c:v>8.1502444224115178E-2</c:v>
                </c:pt>
                <c:pt idx="6">
                  <c:v>8.0407518364979169E-2</c:v>
                </c:pt>
                <c:pt idx="7">
                  <c:v>7.8927445356057738E-2</c:v>
                </c:pt>
                <c:pt idx="8">
                  <c:v>7.8341249817429764E-2</c:v>
                </c:pt>
                <c:pt idx="9">
                  <c:v>7.7810968570015668E-2</c:v>
                </c:pt>
                <c:pt idx="10">
                  <c:v>7.7432845938762332E-2</c:v>
                </c:pt>
                <c:pt idx="11">
                  <c:v>7.7106868563674644E-2</c:v>
                </c:pt>
                <c:pt idx="12">
                  <c:v>7.7021917462112691E-2</c:v>
                </c:pt>
                <c:pt idx="13">
                  <c:v>7.6944386737856349E-2</c:v>
                </c:pt>
                <c:pt idx="14">
                  <c:v>7.6419553865300083E-2</c:v>
                </c:pt>
                <c:pt idx="15">
                  <c:v>7.5973153306615748E-2</c:v>
                </c:pt>
                <c:pt idx="16">
                  <c:v>7.5797821707383736E-2</c:v>
                </c:pt>
                <c:pt idx="17">
                  <c:v>7.56906681855853E-2</c:v>
                </c:pt>
                <c:pt idx="18">
                  <c:v>7.554121961678939E-2</c:v>
                </c:pt>
                <c:pt idx="19">
                  <c:v>7.5826307151761391E-2</c:v>
                </c:pt>
                <c:pt idx="20">
                  <c:v>7.6293726726426703E-2</c:v>
                </c:pt>
                <c:pt idx="21">
                  <c:v>7.6805361532191141E-2</c:v>
                </c:pt>
                <c:pt idx="22">
                  <c:v>7.6811800544056591E-2</c:v>
                </c:pt>
                <c:pt idx="23">
                  <c:v>7.7433057791686299E-2</c:v>
                </c:pt>
                <c:pt idx="24">
                  <c:v>7.8242739038634643E-2</c:v>
                </c:pt>
                <c:pt idx="25">
                  <c:v>7.9120460652798041E-2</c:v>
                </c:pt>
                <c:pt idx="26">
                  <c:v>7.9805356711749403E-2</c:v>
                </c:pt>
                <c:pt idx="27">
                  <c:v>8.0929679398695664E-2</c:v>
                </c:pt>
                <c:pt idx="28">
                  <c:v>8.2183581607906328E-2</c:v>
                </c:pt>
                <c:pt idx="29">
                  <c:v>8.3462907845251774E-2</c:v>
                </c:pt>
                <c:pt idx="30">
                  <c:v>8.4225390894183128E-2</c:v>
                </c:pt>
                <c:pt idx="31">
                  <c:v>8.5174112043768777E-2</c:v>
                </c:pt>
                <c:pt idx="32">
                  <c:v>8.5969665287297256E-2</c:v>
                </c:pt>
                <c:pt idx="33">
                  <c:v>8.6926106244429535E-2</c:v>
                </c:pt>
                <c:pt idx="34">
                  <c:v>8.7870405674924101E-2</c:v>
                </c:pt>
                <c:pt idx="35">
                  <c:v>8.9120382885227112E-2</c:v>
                </c:pt>
                <c:pt idx="36">
                  <c:v>9.0447875294912092E-2</c:v>
                </c:pt>
                <c:pt idx="37">
                  <c:v>9.162017140967732E-2</c:v>
                </c:pt>
                <c:pt idx="38">
                  <c:v>9.2640334383228884E-2</c:v>
                </c:pt>
                <c:pt idx="39">
                  <c:v>9.3568436496964752E-2</c:v>
                </c:pt>
                <c:pt idx="40">
                  <c:v>9.4725683461378857E-2</c:v>
                </c:pt>
                <c:pt idx="41">
                  <c:v>9.588651921399019E-2</c:v>
                </c:pt>
                <c:pt idx="42">
                  <c:v>9.6973036140939245E-2</c:v>
                </c:pt>
                <c:pt idx="43">
                  <c:v>9.7920190841806698E-2</c:v>
                </c:pt>
                <c:pt idx="44">
                  <c:v>9.8952835873394832E-2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C17-43B0-A56F-948F65C2DFDA}"/>
            </c:ext>
          </c:extLst>
        </c:ser>
        <c:ser>
          <c:idx val="2"/>
          <c:order val="3"/>
          <c:tx>
            <c:strRef>
              <c:f>'Graf 43+44'!$A$24</c:f>
              <c:strCache>
                <c:ptCount val="1"/>
                <c:pt idx="0">
                  <c:v>Príjmy 2018 / Revenue 2018</c:v>
                </c:pt>
              </c:strCache>
            </c:strRef>
          </c:tx>
          <c:marker>
            <c:symbol val="none"/>
          </c:marker>
          <c:cat>
            <c:numRef>
              <c:f>'Graf 43+44'!$B$20:$AT$20</c:f>
              <c:numCache>
                <c:formatCode>General</c:formatCode>
                <c:ptCount val="4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  <c:pt idx="11">
                  <c:v>2027</c:v>
                </c:pt>
                <c:pt idx="12">
                  <c:v>2028</c:v>
                </c:pt>
                <c:pt idx="13">
                  <c:v>2029</c:v>
                </c:pt>
                <c:pt idx="14">
                  <c:v>2030</c:v>
                </c:pt>
                <c:pt idx="15">
                  <c:v>2031</c:v>
                </c:pt>
                <c:pt idx="16">
                  <c:v>2032</c:v>
                </c:pt>
                <c:pt idx="17">
                  <c:v>2033</c:v>
                </c:pt>
                <c:pt idx="18">
                  <c:v>2034</c:v>
                </c:pt>
                <c:pt idx="19">
                  <c:v>2035</c:v>
                </c:pt>
                <c:pt idx="20">
                  <c:v>2036</c:v>
                </c:pt>
                <c:pt idx="21">
                  <c:v>2037</c:v>
                </c:pt>
                <c:pt idx="22">
                  <c:v>2038</c:v>
                </c:pt>
                <c:pt idx="23">
                  <c:v>2039</c:v>
                </c:pt>
                <c:pt idx="24">
                  <c:v>2040</c:v>
                </c:pt>
                <c:pt idx="25">
                  <c:v>2041</c:v>
                </c:pt>
                <c:pt idx="26">
                  <c:v>2042</c:v>
                </c:pt>
                <c:pt idx="27">
                  <c:v>2043</c:v>
                </c:pt>
                <c:pt idx="28">
                  <c:v>2044</c:v>
                </c:pt>
                <c:pt idx="29">
                  <c:v>2045</c:v>
                </c:pt>
                <c:pt idx="30">
                  <c:v>2046</c:v>
                </c:pt>
                <c:pt idx="31">
                  <c:v>2047</c:v>
                </c:pt>
                <c:pt idx="32">
                  <c:v>2048</c:v>
                </c:pt>
                <c:pt idx="33">
                  <c:v>2049</c:v>
                </c:pt>
                <c:pt idx="34">
                  <c:v>2050</c:v>
                </c:pt>
                <c:pt idx="35">
                  <c:v>2051</c:v>
                </c:pt>
                <c:pt idx="36">
                  <c:v>2052</c:v>
                </c:pt>
                <c:pt idx="37">
                  <c:v>2053</c:v>
                </c:pt>
                <c:pt idx="38">
                  <c:v>2054</c:v>
                </c:pt>
                <c:pt idx="39">
                  <c:v>2055</c:v>
                </c:pt>
                <c:pt idx="40">
                  <c:v>2056</c:v>
                </c:pt>
                <c:pt idx="41">
                  <c:v>2057</c:v>
                </c:pt>
                <c:pt idx="42">
                  <c:v>2058</c:v>
                </c:pt>
                <c:pt idx="43">
                  <c:v>2059</c:v>
                </c:pt>
                <c:pt idx="44">
                  <c:v>2060</c:v>
                </c:pt>
              </c:numCache>
            </c:numRef>
          </c:cat>
          <c:val>
            <c:numRef>
              <c:f>'Graf 43+44'!$B$24:$AT$24</c:f>
              <c:numCache>
                <c:formatCode>0.0%</c:formatCode>
                <c:ptCount val="45"/>
                <c:pt idx="0">
                  <c:v>6.9186440834093976E-2</c:v>
                </c:pt>
                <c:pt idx="1">
                  <c:v>6.91424392497519E-2</c:v>
                </c:pt>
                <c:pt idx="2">
                  <c:v>6.8257672087286156E-2</c:v>
                </c:pt>
                <c:pt idx="3">
                  <c:v>6.8041541131014266E-2</c:v>
                </c:pt>
                <c:pt idx="4">
                  <c:v>6.7751786545823131E-2</c:v>
                </c:pt>
                <c:pt idx="5">
                  <c:v>6.7453926915921628E-2</c:v>
                </c:pt>
                <c:pt idx="6">
                  <c:v>6.7001742946343854E-2</c:v>
                </c:pt>
                <c:pt idx="7">
                  <c:v>6.6547417913319432E-2</c:v>
                </c:pt>
                <c:pt idx="8">
                  <c:v>6.6112809825356944E-2</c:v>
                </c:pt>
                <c:pt idx="9">
                  <c:v>6.6061189380120261E-2</c:v>
                </c:pt>
                <c:pt idx="10">
                  <c:v>6.6026721662224119E-2</c:v>
                </c:pt>
                <c:pt idx="11">
                  <c:v>6.6012927802927931E-2</c:v>
                </c:pt>
                <c:pt idx="12">
                  <c:v>6.602331781012323E-2</c:v>
                </c:pt>
                <c:pt idx="13">
                  <c:v>6.6036048443811349E-2</c:v>
                </c:pt>
                <c:pt idx="14">
                  <c:v>6.6057830921007629E-2</c:v>
                </c:pt>
                <c:pt idx="15">
                  <c:v>6.6075252158897216E-2</c:v>
                </c:pt>
                <c:pt idx="16">
                  <c:v>6.611279371690007E-2</c:v>
                </c:pt>
                <c:pt idx="17">
                  <c:v>6.6154344105160495E-2</c:v>
                </c:pt>
                <c:pt idx="18">
                  <c:v>6.6191966071179484E-2</c:v>
                </c:pt>
                <c:pt idx="19">
                  <c:v>6.62592652326955E-2</c:v>
                </c:pt>
                <c:pt idx="20">
                  <c:v>6.6344576170931993E-2</c:v>
                </c:pt>
                <c:pt idx="21">
                  <c:v>6.6438744253569618E-2</c:v>
                </c:pt>
                <c:pt idx="22">
                  <c:v>6.651682128549892E-2</c:v>
                </c:pt>
                <c:pt idx="23">
                  <c:v>6.6636758497044604E-2</c:v>
                </c:pt>
                <c:pt idx="24">
                  <c:v>6.6769520903627172E-2</c:v>
                </c:pt>
                <c:pt idx="25">
                  <c:v>6.6901293444707188E-2</c:v>
                </c:pt>
                <c:pt idx="26">
                  <c:v>6.7013146178084737E-2</c:v>
                </c:pt>
                <c:pt idx="27">
                  <c:v>6.7158208326007982E-2</c:v>
                </c:pt>
                <c:pt idx="28">
                  <c:v>6.7308472434864625E-2</c:v>
                </c:pt>
                <c:pt idx="29">
                  <c:v>6.7452066789932985E-2</c:v>
                </c:pt>
                <c:pt idx="30">
                  <c:v>6.7579828181477203E-2</c:v>
                </c:pt>
                <c:pt idx="31">
                  <c:v>6.7707118271255029E-2</c:v>
                </c:pt>
                <c:pt idx="32">
                  <c:v>6.7821646625493753E-2</c:v>
                </c:pt>
                <c:pt idx="33">
                  <c:v>6.794435468015414E-2</c:v>
                </c:pt>
                <c:pt idx="34">
                  <c:v>6.8053166725964689E-2</c:v>
                </c:pt>
                <c:pt idx="35">
                  <c:v>6.8163731248204615E-2</c:v>
                </c:pt>
                <c:pt idx="36">
                  <c:v>6.8259288846971078E-2</c:v>
                </c:pt>
                <c:pt idx="37">
                  <c:v>6.832358187850536E-2</c:v>
                </c:pt>
                <c:pt idx="38">
                  <c:v>6.8360917471684476E-2</c:v>
                </c:pt>
                <c:pt idx="39">
                  <c:v>6.8407092527135727E-2</c:v>
                </c:pt>
                <c:pt idx="40">
                  <c:v>6.8436414060989631E-2</c:v>
                </c:pt>
                <c:pt idx="41">
                  <c:v>6.8436723780079756E-2</c:v>
                </c:pt>
                <c:pt idx="42">
                  <c:v>6.8418660257394265E-2</c:v>
                </c:pt>
                <c:pt idx="43">
                  <c:v>6.8387169722497629E-2</c:v>
                </c:pt>
                <c:pt idx="44">
                  <c:v>6.8355565420259334E-2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C17-43B0-A56F-948F65C2D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808808"/>
        <c:axId val="451809200"/>
      </c:lineChart>
      <c:catAx>
        <c:axId val="451808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sk-SK"/>
          </a:p>
        </c:txPr>
        <c:crossAx val="451809200"/>
        <c:crosses val="autoZero"/>
        <c:auto val="1"/>
        <c:lblAlgn val="ctr"/>
        <c:lblOffset val="100"/>
        <c:noMultiLvlLbl val="0"/>
      </c:catAx>
      <c:valAx>
        <c:axId val="451809200"/>
        <c:scaling>
          <c:orientation val="minMax"/>
          <c:min val="4.0000000000000008E-2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sk-SK"/>
          </a:p>
        </c:txPr>
        <c:crossAx val="45180880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0.15"/>
          <c:y val="4.4335812190142931E-2"/>
          <c:w val="0.52630916666666672"/>
          <c:h val="0.2657027777777777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 panose="020B0606020202030204" pitchFamily="34" charset="0"/>
          <a:ea typeface="Calibri"/>
          <a:cs typeface="Calibri"/>
        </a:defRPr>
      </a:pPr>
      <a:endParaRPr lang="sk-SK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703286166719919E-2"/>
          <c:y val="3.884610226641378E-2"/>
          <c:w val="0.87178579421758329"/>
          <c:h val="0.82002413931835161"/>
        </c:manualLayout>
      </c:layout>
      <c:lineChart>
        <c:grouping val="standard"/>
        <c:varyColors val="0"/>
        <c:ser>
          <c:idx val="0"/>
          <c:order val="0"/>
          <c:tx>
            <c:strRef>
              <c:f>'Graf 3+4'!$M$2</c:f>
              <c:strCache>
                <c:ptCount val="1"/>
                <c:pt idx="0">
                  <c:v>S&amp;P 500</c:v>
                </c:pt>
              </c:strCache>
            </c:strRef>
          </c:tx>
          <c:spPr>
            <a:ln w="19050" cap="rnd">
              <a:solidFill>
                <a:srgbClr val="2C9ADC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43172</c:v>
                </c:pt>
                <c:pt idx="1">
                  <c:v>43171</c:v>
                </c:pt>
                <c:pt idx="2">
                  <c:v>43168</c:v>
                </c:pt>
                <c:pt idx="3">
                  <c:v>43167</c:v>
                </c:pt>
                <c:pt idx="4">
                  <c:v>43166</c:v>
                </c:pt>
                <c:pt idx="5">
                  <c:v>43165</c:v>
                </c:pt>
                <c:pt idx="6">
                  <c:v>43164</c:v>
                </c:pt>
                <c:pt idx="7">
                  <c:v>43161</c:v>
                </c:pt>
                <c:pt idx="8">
                  <c:v>43160</c:v>
                </c:pt>
                <c:pt idx="9">
                  <c:v>43159</c:v>
                </c:pt>
                <c:pt idx="10">
                  <c:v>43158</c:v>
                </c:pt>
                <c:pt idx="11">
                  <c:v>43157</c:v>
                </c:pt>
                <c:pt idx="12">
                  <c:v>43154</c:v>
                </c:pt>
                <c:pt idx="13">
                  <c:v>43153</c:v>
                </c:pt>
                <c:pt idx="14">
                  <c:v>43145</c:v>
                </c:pt>
                <c:pt idx="15">
                  <c:v>43144</c:v>
                </c:pt>
                <c:pt idx="16">
                  <c:v>43143</c:v>
                </c:pt>
                <c:pt idx="17">
                  <c:v>43140</c:v>
                </c:pt>
                <c:pt idx="18">
                  <c:v>43139</c:v>
                </c:pt>
                <c:pt idx="19">
                  <c:v>43138</c:v>
                </c:pt>
                <c:pt idx="20">
                  <c:v>43137</c:v>
                </c:pt>
                <c:pt idx="21">
                  <c:v>43136</c:v>
                </c:pt>
                <c:pt idx="22">
                  <c:v>43133</c:v>
                </c:pt>
                <c:pt idx="23">
                  <c:v>43132</c:v>
                </c:pt>
                <c:pt idx="24">
                  <c:v>43131</c:v>
                </c:pt>
                <c:pt idx="25">
                  <c:v>43130</c:v>
                </c:pt>
                <c:pt idx="26">
                  <c:v>43129</c:v>
                </c:pt>
                <c:pt idx="27">
                  <c:v>43126</c:v>
                </c:pt>
                <c:pt idx="28">
                  <c:v>43125</c:v>
                </c:pt>
                <c:pt idx="29">
                  <c:v>43124</c:v>
                </c:pt>
                <c:pt idx="30">
                  <c:v>43123</c:v>
                </c:pt>
                <c:pt idx="31">
                  <c:v>43122</c:v>
                </c:pt>
                <c:pt idx="32">
                  <c:v>43119</c:v>
                </c:pt>
                <c:pt idx="33">
                  <c:v>43118</c:v>
                </c:pt>
                <c:pt idx="34">
                  <c:v>43117</c:v>
                </c:pt>
                <c:pt idx="35">
                  <c:v>43116</c:v>
                </c:pt>
                <c:pt idx="36">
                  <c:v>43112</c:v>
                </c:pt>
                <c:pt idx="37">
                  <c:v>43111</c:v>
                </c:pt>
                <c:pt idx="38">
                  <c:v>43110</c:v>
                </c:pt>
                <c:pt idx="39">
                  <c:v>43109</c:v>
                </c:pt>
                <c:pt idx="40">
                  <c:v>43108</c:v>
                </c:pt>
                <c:pt idx="41">
                  <c:v>43105</c:v>
                </c:pt>
                <c:pt idx="42">
                  <c:v>43104</c:v>
                </c:pt>
                <c:pt idx="43">
                  <c:v>43103</c:v>
                </c:pt>
                <c:pt idx="44">
                  <c:v>43102</c:v>
                </c:pt>
                <c:pt idx="45">
                  <c:v>43098</c:v>
                </c:pt>
                <c:pt idx="46">
                  <c:v>43097</c:v>
                </c:pt>
                <c:pt idx="47">
                  <c:v>43096</c:v>
                </c:pt>
                <c:pt idx="48">
                  <c:v>43091</c:v>
                </c:pt>
                <c:pt idx="49">
                  <c:v>43090</c:v>
                </c:pt>
                <c:pt idx="50">
                  <c:v>43089</c:v>
                </c:pt>
                <c:pt idx="51">
                  <c:v>43088</c:v>
                </c:pt>
                <c:pt idx="52">
                  <c:v>43087</c:v>
                </c:pt>
                <c:pt idx="53">
                  <c:v>43084</c:v>
                </c:pt>
                <c:pt idx="54">
                  <c:v>43083</c:v>
                </c:pt>
                <c:pt idx="55">
                  <c:v>43082</c:v>
                </c:pt>
                <c:pt idx="56">
                  <c:v>43081</c:v>
                </c:pt>
                <c:pt idx="57">
                  <c:v>43080</c:v>
                </c:pt>
                <c:pt idx="58">
                  <c:v>43077</c:v>
                </c:pt>
                <c:pt idx="59">
                  <c:v>43076</c:v>
                </c:pt>
                <c:pt idx="60">
                  <c:v>43075</c:v>
                </c:pt>
                <c:pt idx="61">
                  <c:v>43074</c:v>
                </c:pt>
                <c:pt idx="62">
                  <c:v>43073</c:v>
                </c:pt>
                <c:pt idx="63">
                  <c:v>43070</c:v>
                </c:pt>
                <c:pt idx="64">
                  <c:v>43069</c:v>
                </c:pt>
                <c:pt idx="65">
                  <c:v>43068</c:v>
                </c:pt>
                <c:pt idx="66">
                  <c:v>43067</c:v>
                </c:pt>
                <c:pt idx="67">
                  <c:v>43066</c:v>
                </c:pt>
                <c:pt idx="68">
                  <c:v>43063</c:v>
                </c:pt>
                <c:pt idx="69">
                  <c:v>43061</c:v>
                </c:pt>
                <c:pt idx="70">
                  <c:v>43060</c:v>
                </c:pt>
                <c:pt idx="71">
                  <c:v>43059</c:v>
                </c:pt>
                <c:pt idx="72">
                  <c:v>43056</c:v>
                </c:pt>
                <c:pt idx="73">
                  <c:v>43055</c:v>
                </c:pt>
                <c:pt idx="74">
                  <c:v>43054</c:v>
                </c:pt>
                <c:pt idx="75">
                  <c:v>43053</c:v>
                </c:pt>
                <c:pt idx="76">
                  <c:v>43052</c:v>
                </c:pt>
                <c:pt idx="77">
                  <c:v>43049</c:v>
                </c:pt>
                <c:pt idx="78">
                  <c:v>43048</c:v>
                </c:pt>
                <c:pt idx="79">
                  <c:v>43047</c:v>
                </c:pt>
                <c:pt idx="80">
                  <c:v>43046</c:v>
                </c:pt>
                <c:pt idx="81">
                  <c:v>43045</c:v>
                </c:pt>
                <c:pt idx="82">
                  <c:v>43042</c:v>
                </c:pt>
                <c:pt idx="83">
                  <c:v>43041</c:v>
                </c:pt>
                <c:pt idx="84">
                  <c:v>43040</c:v>
                </c:pt>
                <c:pt idx="85">
                  <c:v>43038</c:v>
                </c:pt>
                <c:pt idx="86">
                  <c:v>43035</c:v>
                </c:pt>
                <c:pt idx="87">
                  <c:v>43034</c:v>
                </c:pt>
                <c:pt idx="88">
                  <c:v>43033</c:v>
                </c:pt>
                <c:pt idx="89">
                  <c:v>43032</c:v>
                </c:pt>
                <c:pt idx="90">
                  <c:v>43031</c:v>
                </c:pt>
                <c:pt idx="91">
                  <c:v>43028</c:v>
                </c:pt>
                <c:pt idx="92">
                  <c:v>43027</c:v>
                </c:pt>
                <c:pt idx="93">
                  <c:v>43026</c:v>
                </c:pt>
                <c:pt idx="94">
                  <c:v>43025</c:v>
                </c:pt>
                <c:pt idx="95">
                  <c:v>43024</c:v>
                </c:pt>
                <c:pt idx="96">
                  <c:v>43021</c:v>
                </c:pt>
                <c:pt idx="97">
                  <c:v>43020</c:v>
                </c:pt>
                <c:pt idx="98">
                  <c:v>43019</c:v>
                </c:pt>
                <c:pt idx="99">
                  <c:v>43018</c:v>
                </c:pt>
                <c:pt idx="100">
                  <c:v>43017</c:v>
                </c:pt>
                <c:pt idx="101">
                  <c:v>43007</c:v>
                </c:pt>
                <c:pt idx="102">
                  <c:v>43006</c:v>
                </c:pt>
                <c:pt idx="103">
                  <c:v>43005</c:v>
                </c:pt>
                <c:pt idx="104">
                  <c:v>43004</c:v>
                </c:pt>
                <c:pt idx="105">
                  <c:v>43003</c:v>
                </c:pt>
                <c:pt idx="106">
                  <c:v>43000</c:v>
                </c:pt>
                <c:pt idx="107">
                  <c:v>42999</c:v>
                </c:pt>
                <c:pt idx="108">
                  <c:v>42998</c:v>
                </c:pt>
                <c:pt idx="109">
                  <c:v>42997</c:v>
                </c:pt>
                <c:pt idx="110">
                  <c:v>42996</c:v>
                </c:pt>
                <c:pt idx="111">
                  <c:v>42993</c:v>
                </c:pt>
                <c:pt idx="112">
                  <c:v>42992</c:v>
                </c:pt>
                <c:pt idx="113">
                  <c:v>42991</c:v>
                </c:pt>
                <c:pt idx="114">
                  <c:v>42990</c:v>
                </c:pt>
                <c:pt idx="115">
                  <c:v>42989</c:v>
                </c:pt>
                <c:pt idx="116">
                  <c:v>42986</c:v>
                </c:pt>
                <c:pt idx="117">
                  <c:v>42985</c:v>
                </c:pt>
                <c:pt idx="118">
                  <c:v>42984</c:v>
                </c:pt>
                <c:pt idx="119">
                  <c:v>42983</c:v>
                </c:pt>
                <c:pt idx="120">
                  <c:v>42979</c:v>
                </c:pt>
                <c:pt idx="121">
                  <c:v>42978</c:v>
                </c:pt>
                <c:pt idx="122">
                  <c:v>42977</c:v>
                </c:pt>
                <c:pt idx="123">
                  <c:v>42976</c:v>
                </c:pt>
                <c:pt idx="124">
                  <c:v>42975</c:v>
                </c:pt>
                <c:pt idx="125">
                  <c:v>42972</c:v>
                </c:pt>
                <c:pt idx="126">
                  <c:v>42971</c:v>
                </c:pt>
                <c:pt idx="127">
                  <c:v>42970</c:v>
                </c:pt>
                <c:pt idx="128">
                  <c:v>42969</c:v>
                </c:pt>
                <c:pt idx="129">
                  <c:v>42968</c:v>
                </c:pt>
                <c:pt idx="130">
                  <c:v>42965</c:v>
                </c:pt>
                <c:pt idx="131">
                  <c:v>42964</c:v>
                </c:pt>
                <c:pt idx="132">
                  <c:v>42963</c:v>
                </c:pt>
                <c:pt idx="133">
                  <c:v>42962</c:v>
                </c:pt>
                <c:pt idx="134">
                  <c:v>42961</c:v>
                </c:pt>
                <c:pt idx="135">
                  <c:v>42958</c:v>
                </c:pt>
                <c:pt idx="136">
                  <c:v>42957</c:v>
                </c:pt>
                <c:pt idx="137">
                  <c:v>42956</c:v>
                </c:pt>
                <c:pt idx="138">
                  <c:v>42955</c:v>
                </c:pt>
                <c:pt idx="139">
                  <c:v>42954</c:v>
                </c:pt>
                <c:pt idx="140">
                  <c:v>42951</c:v>
                </c:pt>
                <c:pt idx="141">
                  <c:v>42950</c:v>
                </c:pt>
                <c:pt idx="142">
                  <c:v>42949</c:v>
                </c:pt>
                <c:pt idx="143">
                  <c:v>42948</c:v>
                </c:pt>
                <c:pt idx="144">
                  <c:v>42947</c:v>
                </c:pt>
                <c:pt idx="145">
                  <c:v>42944</c:v>
                </c:pt>
                <c:pt idx="146">
                  <c:v>42943</c:v>
                </c:pt>
                <c:pt idx="147">
                  <c:v>42942</c:v>
                </c:pt>
                <c:pt idx="148">
                  <c:v>42941</c:v>
                </c:pt>
                <c:pt idx="149">
                  <c:v>42940</c:v>
                </c:pt>
                <c:pt idx="150">
                  <c:v>42937</c:v>
                </c:pt>
                <c:pt idx="151">
                  <c:v>42936</c:v>
                </c:pt>
                <c:pt idx="152">
                  <c:v>42935</c:v>
                </c:pt>
                <c:pt idx="153">
                  <c:v>42934</c:v>
                </c:pt>
                <c:pt idx="154">
                  <c:v>42933</c:v>
                </c:pt>
                <c:pt idx="155">
                  <c:v>42930</c:v>
                </c:pt>
                <c:pt idx="156">
                  <c:v>42929</c:v>
                </c:pt>
                <c:pt idx="157">
                  <c:v>42928</c:v>
                </c:pt>
                <c:pt idx="158">
                  <c:v>42927</c:v>
                </c:pt>
                <c:pt idx="159">
                  <c:v>42926</c:v>
                </c:pt>
                <c:pt idx="160">
                  <c:v>42923</c:v>
                </c:pt>
                <c:pt idx="161">
                  <c:v>42922</c:v>
                </c:pt>
                <c:pt idx="162">
                  <c:v>42921</c:v>
                </c:pt>
                <c:pt idx="163">
                  <c:v>42919</c:v>
                </c:pt>
                <c:pt idx="164">
                  <c:v>42916</c:v>
                </c:pt>
                <c:pt idx="165">
                  <c:v>42915</c:v>
                </c:pt>
                <c:pt idx="166">
                  <c:v>42914</c:v>
                </c:pt>
                <c:pt idx="167">
                  <c:v>42913</c:v>
                </c:pt>
                <c:pt idx="168">
                  <c:v>42912</c:v>
                </c:pt>
                <c:pt idx="169">
                  <c:v>42909</c:v>
                </c:pt>
                <c:pt idx="170">
                  <c:v>42908</c:v>
                </c:pt>
                <c:pt idx="171">
                  <c:v>42907</c:v>
                </c:pt>
                <c:pt idx="172">
                  <c:v>42906</c:v>
                </c:pt>
                <c:pt idx="173">
                  <c:v>42905</c:v>
                </c:pt>
                <c:pt idx="174">
                  <c:v>42902</c:v>
                </c:pt>
                <c:pt idx="175">
                  <c:v>42901</c:v>
                </c:pt>
                <c:pt idx="176">
                  <c:v>42900</c:v>
                </c:pt>
                <c:pt idx="177">
                  <c:v>42899</c:v>
                </c:pt>
                <c:pt idx="178">
                  <c:v>42898</c:v>
                </c:pt>
                <c:pt idx="179">
                  <c:v>42895</c:v>
                </c:pt>
                <c:pt idx="180">
                  <c:v>42894</c:v>
                </c:pt>
                <c:pt idx="181">
                  <c:v>42893</c:v>
                </c:pt>
                <c:pt idx="182">
                  <c:v>42892</c:v>
                </c:pt>
                <c:pt idx="183">
                  <c:v>42888</c:v>
                </c:pt>
                <c:pt idx="184">
                  <c:v>42887</c:v>
                </c:pt>
                <c:pt idx="185">
                  <c:v>42886</c:v>
                </c:pt>
                <c:pt idx="186">
                  <c:v>42881</c:v>
                </c:pt>
                <c:pt idx="187">
                  <c:v>42880</c:v>
                </c:pt>
                <c:pt idx="188">
                  <c:v>42879</c:v>
                </c:pt>
                <c:pt idx="189">
                  <c:v>42878</c:v>
                </c:pt>
                <c:pt idx="190">
                  <c:v>42877</c:v>
                </c:pt>
                <c:pt idx="191">
                  <c:v>42874</c:v>
                </c:pt>
                <c:pt idx="192">
                  <c:v>42873</c:v>
                </c:pt>
                <c:pt idx="193">
                  <c:v>42872</c:v>
                </c:pt>
                <c:pt idx="194">
                  <c:v>42871</c:v>
                </c:pt>
                <c:pt idx="195">
                  <c:v>42870</c:v>
                </c:pt>
                <c:pt idx="196">
                  <c:v>42867</c:v>
                </c:pt>
                <c:pt idx="197">
                  <c:v>42866</c:v>
                </c:pt>
                <c:pt idx="198">
                  <c:v>42865</c:v>
                </c:pt>
                <c:pt idx="199">
                  <c:v>42864</c:v>
                </c:pt>
                <c:pt idx="200">
                  <c:v>42863</c:v>
                </c:pt>
                <c:pt idx="201">
                  <c:v>42860</c:v>
                </c:pt>
                <c:pt idx="202">
                  <c:v>42859</c:v>
                </c:pt>
                <c:pt idx="203">
                  <c:v>42858</c:v>
                </c:pt>
                <c:pt idx="204">
                  <c:v>42857</c:v>
                </c:pt>
                <c:pt idx="205">
                  <c:v>42853</c:v>
                </c:pt>
                <c:pt idx="206">
                  <c:v>42852</c:v>
                </c:pt>
                <c:pt idx="207">
                  <c:v>42851</c:v>
                </c:pt>
                <c:pt idx="208">
                  <c:v>42850</c:v>
                </c:pt>
                <c:pt idx="209">
                  <c:v>42849</c:v>
                </c:pt>
                <c:pt idx="210">
                  <c:v>42846</c:v>
                </c:pt>
                <c:pt idx="211">
                  <c:v>42845</c:v>
                </c:pt>
                <c:pt idx="212">
                  <c:v>42844</c:v>
                </c:pt>
                <c:pt idx="213">
                  <c:v>42843</c:v>
                </c:pt>
                <c:pt idx="214">
                  <c:v>42838</c:v>
                </c:pt>
                <c:pt idx="215">
                  <c:v>42837</c:v>
                </c:pt>
                <c:pt idx="216">
                  <c:v>42836</c:v>
                </c:pt>
                <c:pt idx="217">
                  <c:v>42835</c:v>
                </c:pt>
                <c:pt idx="218">
                  <c:v>42832</c:v>
                </c:pt>
                <c:pt idx="219">
                  <c:v>42831</c:v>
                </c:pt>
                <c:pt idx="220">
                  <c:v>42830</c:v>
                </c:pt>
                <c:pt idx="221">
                  <c:v>42825</c:v>
                </c:pt>
                <c:pt idx="222">
                  <c:v>42824</c:v>
                </c:pt>
                <c:pt idx="223">
                  <c:v>42823</c:v>
                </c:pt>
                <c:pt idx="224">
                  <c:v>42822</c:v>
                </c:pt>
                <c:pt idx="225">
                  <c:v>42821</c:v>
                </c:pt>
                <c:pt idx="226">
                  <c:v>42818</c:v>
                </c:pt>
                <c:pt idx="227">
                  <c:v>42817</c:v>
                </c:pt>
                <c:pt idx="228">
                  <c:v>42816</c:v>
                </c:pt>
                <c:pt idx="229">
                  <c:v>42815</c:v>
                </c:pt>
                <c:pt idx="230">
                  <c:v>42814</c:v>
                </c:pt>
                <c:pt idx="231">
                  <c:v>42811</c:v>
                </c:pt>
                <c:pt idx="232">
                  <c:v>42810</c:v>
                </c:pt>
                <c:pt idx="233">
                  <c:v>42809</c:v>
                </c:pt>
                <c:pt idx="234">
                  <c:v>42808</c:v>
                </c:pt>
                <c:pt idx="235">
                  <c:v>42807</c:v>
                </c:pt>
                <c:pt idx="236">
                  <c:v>42804</c:v>
                </c:pt>
                <c:pt idx="237">
                  <c:v>42803</c:v>
                </c:pt>
                <c:pt idx="238">
                  <c:v>42802</c:v>
                </c:pt>
                <c:pt idx="239">
                  <c:v>42801</c:v>
                </c:pt>
                <c:pt idx="240">
                  <c:v>42800</c:v>
                </c:pt>
                <c:pt idx="241">
                  <c:v>42797</c:v>
                </c:pt>
                <c:pt idx="242">
                  <c:v>42796</c:v>
                </c:pt>
                <c:pt idx="243">
                  <c:v>42795</c:v>
                </c:pt>
                <c:pt idx="244">
                  <c:v>42794</c:v>
                </c:pt>
                <c:pt idx="245">
                  <c:v>42793</c:v>
                </c:pt>
                <c:pt idx="246">
                  <c:v>42790</c:v>
                </c:pt>
                <c:pt idx="247">
                  <c:v>42789</c:v>
                </c:pt>
                <c:pt idx="248">
                  <c:v>42788</c:v>
                </c:pt>
                <c:pt idx="249">
                  <c:v>42787</c:v>
                </c:pt>
                <c:pt idx="250">
                  <c:v>42783</c:v>
                </c:pt>
                <c:pt idx="251">
                  <c:v>42782</c:v>
                </c:pt>
                <c:pt idx="252">
                  <c:v>42781</c:v>
                </c:pt>
                <c:pt idx="253">
                  <c:v>42780</c:v>
                </c:pt>
                <c:pt idx="254">
                  <c:v>42779</c:v>
                </c:pt>
                <c:pt idx="255">
                  <c:v>42776</c:v>
                </c:pt>
                <c:pt idx="256">
                  <c:v>42775</c:v>
                </c:pt>
                <c:pt idx="257">
                  <c:v>42774</c:v>
                </c:pt>
                <c:pt idx="258">
                  <c:v>42773</c:v>
                </c:pt>
                <c:pt idx="259">
                  <c:v>42772</c:v>
                </c:pt>
                <c:pt idx="260">
                  <c:v>42769</c:v>
                </c:pt>
                <c:pt idx="261">
                  <c:v>42761</c:v>
                </c:pt>
                <c:pt idx="262">
                  <c:v>42760</c:v>
                </c:pt>
                <c:pt idx="263">
                  <c:v>42759</c:v>
                </c:pt>
                <c:pt idx="264">
                  <c:v>42758</c:v>
                </c:pt>
                <c:pt idx="265">
                  <c:v>42755</c:v>
                </c:pt>
                <c:pt idx="266">
                  <c:v>42754</c:v>
                </c:pt>
                <c:pt idx="267">
                  <c:v>42753</c:v>
                </c:pt>
                <c:pt idx="268">
                  <c:v>42752</c:v>
                </c:pt>
                <c:pt idx="269">
                  <c:v>42748</c:v>
                </c:pt>
                <c:pt idx="270">
                  <c:v>42747</c:v>
                </c:pt>
                <c:pt idx="271">
                  <c:v>42746</c:v>
                </c:pt>
                <c:pt idx="272">
                  <c:v>42745</c:v>
                </c:pt>
                <c:pt idx="273">
                  <c:v>42744</c:v>
                </c:pt>
                <c:pt idx="274">
                  <c:v>42741</c:v>
                </c:pt>
                <c:pt idx="275">
                  <c:v>42740</c:v>
                </c:pt>
                <c:pt idx="276">
                  <c:v>42739</c:v>
                </c:pt>
                <c:pt idx="277">
                  <c:v>42738</c:v>
                </c:pt>
                <c:pt idx="278">
                  <c:v>42734</c:v>
                </c:pt>
                <c:pt idx="279">
                  <c:v>42733</c:v>
                </c:pt>
                <c:pt idx="280">
                  <c:v>42732</c:v>
                </c:pt>
                <c:pt idx="281">
                  <c:v>42731</c:v>
                </c:pt>
                <c:pt idx="282">
                  <c:v>42727</c:v>
                </c:pt>
                <c:pt idx="283">
                  <c:v>42726</c:v>
                </c:pt>
                <c:pt idx="284">
                  <c:v>42725</c:v>
                </c:pt>
                <c:pt idx="285">
                  <c:v>42724</c:v>
                </c:pt>
                <c:pt idx="286">
                  <c:v>42723</c:v>
                </c:pt>
                <c:pt idx="287">
                  <c:v>42720</c:v>
                </c:pt>
                <c:pt idx="288">
                  <c:v>42719</c:v>
                </c:pt>
                <c:pt idx="289">
                  <c:v>42718</c:v>
                </c:pt>
                <c:pt idx="290">
                  <c:v>42717</c:v>
                </c:pt>
                <c:pt idx="291">
                  <c:v>42716</c:v>
                </c:pt>
                <c:pt idx="292">
                  <c:v>42713</c:v>
                </c:pt>
                <c:pt idx="293">
                  <c:v>42712</c:v>
                </c:pt>
                <c:pt idx="294">
                  <c:v>42711</c:v>
                </c:pt>
                <c:pt idx="295">
                  <c:v>42710</c:v>
                </c:pt>
                <c:pt idx="296">
                  <c:v>42709</c:v>
                </c:pt>
                <c:pt idx="297">
                  <c:v>42706</c:v>
                </c:pt>
                <c:pt idx="298">
                  <c:v>42705</c:v>
                </c:pt>
                <c:pt idx="299">
                  <c:v>42704</c:v>
                </c:pt>
                <c:pt idx="300">
                  <c:v>42703</c:v>
                </c:pt>
                <c:pt idx="301">
                  <c:v>42702</c:v>
                </c:pt>
                <c:pt idx="302">
                  <c:v>42699</c:v>
                </c:pt>
                <c:pt idx="303">
                  <c:v>42697</c:v>
                </c:pt>
                <c:pt idx="304">
                  <c:v>42696</c:v>
                </c:pt>
                <c:pt idx="305">
                  <c:v>42695</c:v>
                </c:pt>
                <c:pt idx="306">
                  <c:v>42692</c:v>
                </c:pt>
                <c:pt idx="307">
                  <c:v>42691</c:v>
                </c:pt>
                <c:pt idx="308">
                  <c:v>42690</c:v>
                </c:pt>
                <c:pt idx="309">
                  <c:v>42689</c:v>
                </c:pt>
                <c:pt idx="310">
                  <c:v>42688</c:v>
                </c:pt>
                <c:pt idx="311">
                  <c:v>42685</c:v>
                </c:pt>
                <c:pt idx="312">
                  <c:v>42684</c:v>
                </c:pt>
                <c:pt idx="313">
                  <c:v>42683</c:v>
                </c:pt>
                <c:pt idx="314">
                  <c:v>42682</c:v>
                </c:pt>
                <c:pt idx="315">
                  <c:v>42681</c:v>
                </c:pt>
                <c:pt idx="316">
                  <c:v>42678</c:v>
                </c:pt>
                <c:pt idx="317">
                  <c:v>42677</c:v>
                </c:pt>
                <c:pt idx="318">
                  <c:v>42676</c:v>
                </c:pt>
                <c:pt idx="319">
                  <c:v>42675</c:v>
                </c:pt>
                <c:pt idx="320">
                  <c:v>42674</c:v>
                </c:pt>
                <c:pt idx="321">
                  <c:v>42671</c:v>
                </c:pt>
                <c:pt idx="322">
                  <c:v>42670</c:v>
                </c:pt>
                <c:pt idx="323">
                  <c:v>42669</c:v>
                </c:pt>
                <c:pt idx="324">
                  <c:v>42668</c:v>
                </c:pt>
                <c:pt idx="325">
                  <c:v>42667</c:v>
                </c:pt>
                <c:pt idx="326">
                  <c:v>42664</c:v>
                </c:pt>
                <c:pt idx="327">
                  <c:v>42663</c:v>
                </c:pt>
                <c:pt idx="328">
                  <c:v>42662</c:v>
                </c:pt>
                <c:pt idx="329">
                  <c:v>42661</c:v>
                </c:pt>
                <c:pt idx="330">
                  <c:v>42660</c:v>
                </c:pt>
                <c:pt idx="331">
                  <c:v>42657</c:v>
                </c:pt>
                <c:pt idx="332">
                  <c:v>42656</c:v>
                </c:pt>
                <c:pt idx="333">
                  <c:v>42655</c:v>
                </c:pt>
                <c:pt idx="334">
                  <c:v>42654</c:v>
                </c:pt>
                <c:pt idx="335">
                  <c:v>42653</c:v>
                </c:pt>
                <c:pt idx="336">
                  <c:v>42643</c:v>
                </c:pt>
                <c:pt idx="337">
                  <c:v>42642</c:v>
                </c:pt>
                <c:pt idx="338">
                  <c:v>42641</c:v>
                </c:pt>
                <c:pt idx="339">
                  <c:v>42640</c:v>
                </c:pt>
                <c:pt idx="340">
                  <c:v>42639</c:v>
                </c:pt>
                <c:pt idx="341">
                  <c:v>42636</c:v>
                </c:pt>
                <c:pt idx="342">
                  <c:v>42635</c:v>
                </c:pt>
                <c:pt idx="343">
                  <c:v>42634</c:v>
                </c:pt>
                <c:pt idx="344">
                  <c:v>42633</c:v>
                </c:pt>
                <c:pt idx="345">
                  <c:v>42632</c:v>
                </c:pt>
                <c:pt idx="346">
                  <c:v>42627</c:v>
                </c:pt>
                <c:pt idx="347">
                  <c:v>42626</c:v>
                </c:pt>
                <c:pt idx="348">
                  <c:v>42625</c:v>
                </c:pt>
                <c:pt idx="349">
                  <c:v>42622</c:v>
                </c:pt>
                <c:pt idx="350">
                  <c:v>42621</c:v>
                </c:pt>
                <c:pt idx="351">
                  <c:v>42620</c:v>
                </c:pt>
                <c:pt idx="352">
                  <c:v>42619</c:v>
                </c:pt>
                <c:pt idx="353">
                  <c:v>42615</c:v>
                </c:pt>
                <c:pt idx="354">
                  <c:v>42614</c:v>
                </c:pt>
                <c:pt idx="355">
                  <c:v>42613</c:v>
                </c:pt>
                <c:pt idx="356">
                  <c:v>42612</c:v>
                </c:pt>
                <c:pt idx="357">
                  <c:v>42611</c:v>
                </c:pt>
                <c:pt idx="358">
                  <c:v>42608</c:v>
                </c:pt>
                <c:pt idx="359">
                  <c:v>42607</c:v>
                </c:pt>
                <c:pt idx="360">
                  <c:v>42606</c:v>
                </c:pt>
                <c:pt idx="361">
                  <c:v>42605</c:v>
                </c:pt>
                <c:pt idx="362">
                  <c:v>42604</c:v>
                </c:pt>
                <c:pt idx="363">
                  <c:v>42601</c:v>
                </c:pt>
                <c:pt idx="364">
                  <c:v>42600</c:v>
                </c:pt>
                <c:pt idx="365">
                  <c:v>42599</c:v>
                </c:pt>
                <c:pt idx="366">
                  <c:v>42598</c:v>
                </c:pt>
                <c:pt idx="367">
                  <c:v>42597</c:v>
                </c:pt>
                <c:pt idx="368">
                  <c:v>42594</c:v>
                </c:pt>
                <c:pt idx="369">
                  <c:v>42593</c:v>
                </c:pt>
                <c:pt idx="370">
                  <c:v>42592</c:v>
                </c:pt>
                <c:pt idx="371">
                  <c:v>42591</c:v>
                </c:pt>
                <c:pt idx="372">
                  <c:v>42590</c:v>
                </c:pt>
                <c:pt idx="373">
                  <c:v>42587</c:v>
                </c:pt>
                <c:pt idx="374">
                  <c:v>42586</c:v>
                </c:pt>
                <c:pt idx="375">
                  <c:v>42585</c:v>
                </c:pt>
                <c:pt idx="376">
                  <c:v>42584</c:v>
                </c:pt>
                <c:pt idx="377">
                  <c:v>42583</c:v>
                </c:pt>
                <c:pt idx="378">
                  <c:v>42580</c:v>
                </c:pt>
                <c:pt idx="379">
                  <c:v>42579</c:v>
                </c:pt>
                <c:pt idx="380">
                  <c:v>42578</c:v>
                </c:pt>
                <c:pt idx="381">
                  <c:v>42577</c:v>
                </c:pt>
                <c:pt idx="382">
                  <c:v>42576</c:v>
                </c:pt>
                <c:pt idx="383">
                  <c:v>42573</c:v>
                </c:pt>
                <c:pt idx="384">
                  <c:v>42572</c:v>
                </c:pt>
                <c:pt idx="385">
                  <c:v>42571</c:v>
                </c:pt>
                <c:pt idx="386">
                  <c:v>42570</c:v>
                </c:pt>
                <c:pt idx="387">
                  <c:v>42569</c:v>
                </c:pt>
                <c:pt idx="388">
                  <c:v>42566</c:v>
                </c:pt>
                <c:pt idx="389">
                  <c:v>42565</c:v>
                </c:pt>
                <c:pt idx="390">
                  <c:v>42564</c:v>
                </c:pt>
                <c:pt idx="391">
                  <c:v>42563</c:v>
                </c:pt>
                <c:pt idx="392">
                  <c:v>42562</c:v>
                </c:pt>
                <c:pt idx="393">
                  <c:v>42559</c:v>
                </c:pt>
                <c:pt idx="394">
                  <c:v>42558</c:v>
                </c:pt>
                <c:pt idx="395">
                  <c:v>42557</c:v>
                </c:pt>
                <c:pt idx="396">
                  <c:v>42556</c:v>
                </c:pt>
                <c:pt idx="397">
                  <c:v>42552</c:v>
                </c:pt>
                <c:pt idx="398">
                  <c:v>42551</c:v>
                </c:pt>
                <c:pt idx="399">
                  <c:v>42550</c:v>
                </c:pt>
                <c:pt idx="400">
                  <c:v>42549</c:v>
                </c:pt>
                <c:pt idx="401">
                  <c:v>42548</c:v>
                </c:pt>
                <c:pt idx="402">
                  <c:v>42545</c:v>
                </c:pt>
                <c:pt idx="403">
                  <c:v>42544</c:v>
                </c:pt>
                <c:pt idx="404">
                  <c:v>42543</c:v>
                </c:pt>
                <c:pt idx="405">
                  <c:v>42542</c:v>
                </c:pt>
                <c:pt idx="406">
                  <c:v>42541</c:v>
                </c:pt>
                <c:pt idx="407">
                  <c:v>42538</c:v>
                </c:pt>
                <c:pt idx="408">
                  <c:v>42537</c:v>
                </c:pt>
                <c:pt idx="409">
                  <c:v>42536</c:v>
                </c:pt>
                <c:pt idx="410">
                  <c:v>42535</c:v>
                </c:pt>
                <c:pt idx="411">
                  <c:v>42534</c:v>
                </c:pt>
                <c:pt idx="412">
                  <c:v>42529</c:v>
                </c:pt>
                <c:pt idx="413">
                  <c:v>42528</c:v>
                </c:pt>
                <c:pt idx="414">
                  <c:v>42527</c:v>
                </c:pt>
                <c:pt idx="415">
                  <c:v>42524</c:v>
                </c:pt>
                <c:pt idx="416">
                  <c:v>42523</c:v>
                </c:pt>
                <c:pt idx="417">
                  <c:v>42522</c:v>
                </c:pt>
                <c:pt idx="418">
                  <c:v>42521</c:v>
                </c:pt>
                <c:pt idx="419">
                  <c:v>42517</c:v>
                </c:pt>
                <c:pt idx="420">
                  <c:v>42516</c:v>
                </c:pt>
                <c:pt idx="421">
                  <c:v>42515</c:v>
                </c:pt>
                <c:pt idx="422">
                  <c:v>42514</c:v>
                </c:pt>
                <c:pt idx="423">
                  <c:v>42513</c:v>
                </c:pt>
                <c:pt idx="424">
                  <c:v>42510</c:v>
                </c:pt>
                <c:pt idx="425">
                  <c:v>42509</c:v>
                </c:pt>
                <c:pt idx="426">
                  <c:v>42508</c:v>
                </c:pt>
                <c:pt idx="427">
                  <c:v>42507</c:v>
                </c:pt>
                <c:pt idx="428">
                  <c:v>42503</c:v>
                </c:pt>
                <c:pt idx="429">
                  <c:v>42502</c:v>
                </c:pt>
                <c:pt idx="430">
                  <c:v>42501</c:v>
                </c:pt>
                <c:pt idx="431">
                  <c:v>42500</c:v>
                </c:pt>
                <c:pt idx="432">
                  <c:v>42499</c:v>
                </c:pt>
                <c:pt idx="433">
                  <c:v>42496</c:v>
                </c:pt>
                <c:pt idx="434">
                  <c:v>42495</c:v>
                </c:pt>
                <c:pt idx="435">
                  <c:v>42494</c:v>
                </c:pt>
                <c:pt idx="436">
                  <c:v>42493</c:v>
                </c:pt>
                <c:pt idx="437">
                  <c:v>42489</c:v>
                </c:pt>
                <c:pt idx="438">
                  <c:v>42488</c:v>
                </c:pt>
                <c:pt idx="439">
                  <c:v>42487</c:v>
                </c:pt>
                <c:pt idx="440">
                  <c:v>42486</c:v>
                </c:pt>
                <c:pt idx="441">
                  <c:v>42485</c:v>
                </c:pt>
                <c:pt idx="442">
                  <c:v>42482</c:v>
                </c:pt>
                <c:pt idx="443">
                  <c:v>42481</c:v>
                </c:pt>
                <c:pt idx="444">
                  <c:v>42480</c:v>
                </c:pt>
                <c:pt idx="445">
                  <c:v>42479</c:v>
                </c:pt>
                <c:pt idx="446">
                  <c:v>42478</c:v>
                </c:pt>
                <c:pt idx="447">
                  <c:v>42475</c:v>
                </c:pt>
                <c:pt idx="448">
                  <c:v>42474</c:v>
                </c:pt>
                <c:pt idx="449">
                  <c:v>42473</c:v>
                </c:pt>
                <c:pt idx="450">
                  <c:v>42472</c:v>
                </c:pt>
                <c:pt idx="451">
                  <c:v>42471</c:v>
                </c:pt>
                <c:pt idx="452">
                  <c:v>42468</c:v>
                </c:pt>
                <c:pt idx="453">
                  <c:v>42467</c:v>
                </c:pt>
                <c:pt idx="454">
                  <c:v>42466</c:v>
                </c:pt>
                <c:pt idx="455">
                  <c:v>42465</c:v>
                </c:pt>
                <c:pt idx="456">
                  <c:v>42461</c:v>
                </c:pt>
                <c:pt idx="457">
                  <c:v>42460</c:v>
                </c:pt>
                <c:pt idx="458">
                  <c:v>42459</c:v>
                </c:pt>
                <c:pt idx="459">
                  <c:v>42458</c:v>
                </c:pt>
                <c:pt idx="460">
                  <c:v>42453</c:v>
                </c:pt>
                <c:pt idx="461">
                  <c:v>42452</c:v>
                </c:pt>
                <c:pt idx="462">
                  <c:v>42451</c:v>
                </c:pt>
                <c:pt idx="463">
                  <c:v>42450</c:v>
                </c:pt>
                <c:pt idx="464">
                  <c:v>42447</c:v>
                </c:pt>
                <c:pt idx="465">
                  <c:v>42446</c:v>
                </c:pt>
                <c:pt idx="466">
                  <c:v>42445</c:v>
                </c:pt>
                <c:pt idx="467">
                  <c:v>42444</c:v>
                </c:pt>
                <c:pt idx="468">
                  <c:v>42443</c:v>
                </c:pt>
                <c:pt idx="469">
                  <c:v>42440</c:v>
                </c:pt>
                <c:pt idx="470">
                  <c:v>42439</c:v>
                </c:pt>
                <c:pt idx="471">
                  <c:v>42438</c:v>
                </c:pt>
                <c:pt idx="472">
                  <c:v>42437</c:v>
                </c:pt>
                <c:pt idx="473">
                  <c:v>42436</c:v>
                </c:pt>
                <c:pt idx="474">
                  <c:v>42433</c:v>
                </c:pt>
                <c:pt idx="475">
                  <c:v>42432</c:v>
                </c:pt>
                <c:pt idx="476">
                  <c:v>42431</c:v>
                </c:pt>
                <c:pt idx="477">
                  <c:v>42430</c:v>
                </c:pt>
                <c:pt idx="478">
                  <c:v>42429</c:v>
                </c:pt>
                <c:pt idx="479">
                  <c:v>42426</c:v>
                </c:pt>
                <c:pt idx="480">
                  <c:v>42425</c:v>
                </c:pt>
                <c:pt idx="481">
                  <c:v>42424</c:v>
                </c:pt>
                <c:pt idx="482">
                  <c:v>42423</c:v>
                </c:pt>
                <c:pt idx="483">
                  <c:v>42422</c:v>
                </c:pt>
                <c:pt idx="484">
                  <c:v>42419</c:v>
                </c:pt>
                <c:pt idx="485">
                  <c:v>42418</c:v>
                </c:pt>
                <c:pt idx="486">
                  <c:v>42417</c:v>
                </c:pt>
                <c:pt idx="487">
                  <c:v>42416</c:v>
                </c:pt>
                <c:pt idx="488">
                  <c:v>42405</c:v>
                </c:pt>
                <c:pt idx="489">
                  <c:v>42404</c:v>
                </c:pt>
                <c:pt idx="490">
                  <c:v>42403</c:v>
                </c:pt>
                <c:pt idx="491">
                  <c:v>42402</c:v>
                </c:pt>
                <c:pt idx="492">
                  <c:v>42401</c:v>
                </c:pt>
                <c:pt idx="493">
                  <c:v>42398</c:v>
                </c:pt>
                <c:pt idx="494">
                  <c:v>42397</c:v>
                </c:pt>
                <c:pt idx="495">
                  <c:v>42396</c:v>
                </c:pt>
                <c:pt idx="496">
                  <c:v>42395</c:v>
                </c:pt>
                <c:pt idx="497">
                  <c:v>42394</c:v>
                </c:pt>
                <c:pt idx="498">
                  <c:v>42391</c:v>
                </c:pt>
                <c:pt idx="499">
                  <c:v>42390</c:v>
                </c:pt>
                <c:pt idx="500">
                  <c:v>42389</c:v>
                </c:pt>
                <c:pt idx="501">
                  <c:v>42388</c:v>
                </c:pt>
                <c:pt idx="502">
                  <c:v>42384</c:v>
                </c:pt>
                <c:pt idx="503">
                  <c:v>42383</c:v>
                </c:pt>
                <c:pt idx="504">
                  <c:v>42382</c:v>
                </c:pt>
                <c:pt idx="505">
                  <c:v>42381</c:v>
                </c:pt>
                <c:pt idx="506">
                  <c:v>42380</c:v>
                </c:pt>
                <c:pt idx="507">
                  <c:v>42377</c:v>
                </c:pt>
                <c:pt idx="508">
                  <c:v>42376</c:v>
                </c:pt>
                <c:pt idx="509">
                  <c:v>42375</c:v>
                </c:pt>
                <c:pt idx="510">
                  <c:v>42374</c:v>
                </c:pt>
                <c:pt idx="511">
                  <c:v>42373</c:v>
                </c:pt>
              </c:numCache>
            </c:numRef>
          </c:cat>
          <c:val>
            <c:numRef>
              <c:f>'Graf 3+4'!$M$3:$M$600</c:f>
              <c:numCache>
                <c:formatCode>General</c:formatCode>
                <c:ptCount val="598"/>
                <c:pt idx="0">
                  <c:v>1.3887690916498563</c:v>
                </c:pt>
                <c:pt idx="1">
                  <c:v>1.3827571472578577</c:v>
                </c:pt>
                <c:pt idx="2">
                  <c:v>1.3845209821827831</c:v>
                </c:pt>
                <c:pt idx="3">
                  <c:v>1.360870688541532</c:v>
                </c:pt>
                <c:pt idx="4">
                  <c:v>1.3548239643059434</c:v>
                </c:pt>
                <c:pt idx="5">
                  <c:v>1.3554798127850705</c:v>
                </c:pt>
                <c:pt idx="6">
                  <c:v>1.3519123945425457</c:v>
                </c:pt>
                <c:pt idx="7">
                  <c:v>1.3371607723112695</c:v>
                </c:pt>
                <c:pt idx="8">
                  <c:v>1.3304134826547951</c:v>
                </c:pt>
                <c:pt idx="9">
                  <c:v>1.3483797561436108</c:v>
                </c:pt>
                <c:pt idx="10">
                  <c:v>1.3635089881052935</c:v>
                </c:pt>
                <c:pt idx="11">
                  <c:v>1.3810579034710282</c:v>
                </c:pt>
                <c:pt idx="12">
                  <c:v>1.365009489928751</c:v>
                </c:pt>
                <c:pt idx="13">
                  <c:v>1.3434757981974104</c:v>
                </c:pt>
                <c:pt idx="14">
                  <c:v>1.3408275615354803</c:v>
                </c:pt>
                <c:pt idx="15">
                  <c:v>1.3230948098536266</c:v>
                </c:pt>
                <c:pt idx="16">
                  <c:v>1.3196466367891249</c:v>
                </c:pt>
                <c:pt idx="17">
                  <c:v>1.3015362753768644</c:v>
                </c:pt>
                <c:pt idx="18">
                  <c:v>1.2823825186569018</c:v>
                </c:pt>
                <c:pt idx="19">
                  <c:v>1.3323959337394293</c:v>
                </c:pt>
                <c:pt idx="20">
                  <c:v>1.3390935379050608</c:v>
                </c:pt>
                <c:pt idx="21">
                  <c:v>1.3161388411356116</c:v>
                </c:pt>
                <c:pt idx="22">
                  <c:v>1.3723778482207625</c:v>
                </c:pt>
                <c:pt idx="23">
                  <c:v>1.4021146144902765</c:v>
                </c:pt>
                <c:pt idx="24">
                  <c:v>1.4030238589727027</c:v>
                </c:pt>
                <c:pt idx="25">
                  <c:v>1.4023381991990698</c:v>
                </c:pt>
                <c:pt idx="26">
                  <c:v>1.4177903868512318</c:v>
                </c:pt>
                <c:pt idx="27">
                  <c:v>1.4273995607802608</c:v>
                </c:pt>
                <c:pt idx="28">
                  <c:v>1.4106952987588564</c:v>
                </c:pt>
                <c:pt idx="29">
                  <c:v>1.4098456768654417</c:v>
                </c:pt>
                <c:pt idx="30">
                  <c:v>1.4106356761698449</c:v>
                </c:pt>
                <c:pt idx="31">
                  <c:v>1.4075750499339181</c:v>
                </c:pt>
                <c:pt idx="32">
                  <c:v>1.3963113491598185</c:v>
                </c:pt>
                <c:pt idx="33">
                  <c:v>1.3902149394333867</c:v>
                </c:pt>
                <c:pt idx="34">
                  <c:v>1.3924656921685727</c:v>
                </c:pt>
                <c:pt idx="35">
                  <c:v>1.3794779048622221</c:v>
                </c:pt>
                <c:pt idx="36">
                  <c:v>1.3843570200630011</c:v>
                </c:pt>
                <c:pt idx="37">
                  <c:v>1.3750757703735355</c:v>
                </c:pt>
                <c:pt idx="38">
                  <c:v>1.3654715649935905</c:v>
                </c:pt>
                <c:pt idx="39">
                  <c:v>1.3669919410133853</c:v>
                </c:pt>
                <c:pt idx="40">
                  <c:v>1.3652132004412072</c:v>
                </c:pt>
                <c:pt idx="41">
                  <c:v>1.362947542058768</c:v>
                </c:pt>
                <c:pt idx="42">
                  <c:v>1.353427802013256</c:v>
                </c:pt>
                <c:pt idx="43">
                  <c:v>1.34799717786412</c:v>
                </c:pt>
                <c:pt idx="44">
                  <c:v>1.3394264306937087</c:v>
                </c:pt>
                <c:pt idx="45">
                  <c:v>1.3283962517265708</c:v>
                </c:pt>
                <c:pt idx="46">
                  <c:v>1.3353174406009956</c:v>
                </c:pt>
                <c:pt idx="47">
                  <c:v>1.3328729144515217</c:v>
                </c:pt>
                <c:pt idx="48">
                  <c:v>1.3332306499855913</c:v>
                </c:pt>
                <c:pt idx="49">
                  <c:v>1.3338417815229597</c:v>
                </c:pt>
                <c:pt idx="50">
                  <c:v>1.3311985134101139</c:v>
                </c:pt>
                <c:pt idx="51">
                  <c:v>1.3323015313068276</c:v>
                </c:pt>
                <c:pt idx="52">
                  <c:v>1.3366192004610813</c:v>
                </c:pt>
                <c:pt idx="53">
                  <c:v>1.329489332525116</c:v>
                </c:pt>
                <c:pt idx="54">
                  <c:v>1.3176641857044906</c:v>
                </c:pt>
                <c:pt idx="55">
                  <c:v>1.3230500929118678</c:v>
                </c:pt>
                <c:pt idx="56">
                  <c:v>1.3236761300964892</c:v>
                </c:pt>
                <c:pt idx="57">
                  <c:v>1.3216290878737589</c:v>
                </c:pt>
                <c:pt idx="58">
                  <c:v>1.3174107897011913</c:v>
                </c:pt>
                <c:pt idx="59">
                  <c:v>1.3101964564307931</c:v>
                </c:pt>
                <c:pt idx="60">
                  <c:v>1.3063657050868005</c:v>
                </c:pt>
                <c:pt idx="61">
                  <c:v>1.3065147615593296</c:v>
                </c:pt>
                <c:pt idx="62">
                  <c:v>1.31141871950553</c:v>
                </c:pt>
                <c:pt idx="63">
                  <c:v>1.3127999761509643</c:v>
                </c:pt>
                <c:pt idx="64">
                  <c:v>1.3154631184601471</c:v>
                </c:pt>
                <c:pt idx="65">
                  <c:v>1.3047757693798256</c:v>
                </c:pt>
                <c:pt idx="66">
                  <c:v>1.3052577186410024</c:v>
                </c:pt>
                <c:pt idx="67">
                  <c:v>1.292528295887035</c:v>
                </c:pt>
                <c:pt idx="68">
                  <c:v>1.2930251507954647</c:v>
                </c:pt>
                <c:pt idx="69">
                  <c:v>1.2903719455844502</c:v>
                </c:pt>
                <c:pt idx="70">
                  <c:v>1.2913408126558883</c:v>
                </c:pt>
                <c:pt idx="71">
                  <c:v>1.2829489332525115</c:v>
                </c:pt>
                <c:pt idx="72">
                  <c:v>1.2813142806037781</c:v>
                </c:pt>
                <c:pt idx="73">
                  <c:v>1.2846879254320152</c:v>
                </c:pt>
                <c:pt idx="74">
                  <c:v>1.2742440352568243</c:v>
                </c:pt>
                <c:pt idx="75">
                  <c:v>1.2813242177019466</c:v>
                </c:pt>
                <c:pt idx="76">
                  <c:v>1.2842904415052716</c:v>
                </c:pt>
                <c:pt idx="77">
                  <c:v>1.2830284300378605</c:v>
                </c:pt>
                <c:pt idx="78">
                  <c:v>1.284181133425417</c:v>
                </c:pt>
                <c:pt idx="79">
                  <c:v>1.2890304373316903</c:v>
                </c:pt>
                <c:pt idx="80">
                  <c:v>1.2871721999741634</c:v>
                </c:pt>
                <c:pt idx="81">
                  <c:v>1.287415658879294</c:v>
                </c:pt>
                <c:pt idx="82">
                  <c:v>1.2857810062305606</c:v>
                </c:pt>
                <c:pt idx="83">
                  <c:v>1.2818111355122077</c:v>
                </c:pt>
                <c:pt idx="84">
                  <c:v>1.2815676766070772</c:v>
                </c:pt>
                <c:pt idx="85">
                  <c:v>1.2783232140550316</c:v>
                </c:pt>
                <c:pt idx="86">
                  <c:v>1.282417298500492</c:v>
                </c:pt>
                <c:pt idx="87">
                  <c:v>1.2721473075432512</c:v>
                </c:pt>
                <c:pt idx="88">
                  <c:v>1.2705325290908549</c:v>
                </c:pt>
                <c:pt idx="89">
                  <c:v>1.276484850893842</c:v>
                </c:pt>
                <c:pt idx="90">
                  <c:v>1.274422903023859</c:v>
                </c:pt>
                <c:pt idx="91">
                  <c:v>1.2795057287370941</c:v>
                </c:pt>
                <c:pt idx="92">
                  <c:v>1.2729919608875815</c:v>
                </c:pt>
                <c:pt idx="93">
                  <c:v>1.2725746027645009</c:v>
                </c:pt>
                <c:pt idx="94">
                  <c:v>1.2716305784384845</c:v>
                </c:pt>
                <c:pt idx="95">
                  <c:v>1.2707759879959852</c:v>
                </c:pt>
                <c:pt idx="96">
                  <c:v>1.2685550465553048</c:v>
                </c:pt>
                <c:pt idx="97">
                  <c:v>1.2674420915604223</c:v>
                </c:pt>
                <c:pt idx="98">
                  <c:v>1.2695835362157541</c:v>
                </c:pt>
                <c:pt idx="99">
                  <c:v>1.2672980036369779</c:v>
                </c:pt>
                <c:pt idx="100">
                  <c:v>1.2643615911281587</c:v>
                </c:pt>
                <c:pt idx="101">
                  <c:v>1.2517563821012987</c:v>
                </c:pt>
                <c:pt idx="102">
                  <c:v>1.247135631452903</c:v>
                </c:pt>
                <c:pt idx="103">
                  <c:v>1.2456351296294454</c:v>
                </c:pt>
                <c:pt idx="104">
                  <c:v>1.2405672095634632</c:v>
                </c:pt>
                <c:pt idx="105">
                  <c:v>1.2404777756799459</c:v>
                </c:pt>
                <c:pt idx="106">
                  <c:v>1.2432402889708145</c:v>
                </c:pt>
                <c:pt idx="107">
                  <c:v>1.2424353840191587</c:v>
                </c:pt>
                <c:pt idx="108">
                  <c:v>1.246231355519561</c:v>
                </c:pt>
                <c:pt idx="109">
                  <c:v>1.2454413562151581</c:v>
                </c:pt>
                <c:pt idx="110">
                  <c:v>1.2440600995697235</c:v>
                </c:pt>
                <c:pt idx="111">
                  <c:v>1.2422515477030398</c:v>
                </c:pt>
                <c:pt idx="112">
                  <c:v>1.2399610465751789</c:v>
                </c:pt>
                <c:pt idx="113">
                  <c:v>1.2413273975733605</c:v>
                </c:pt>
                <c:pt idx="114">
                  <c:v>1.2403883417964285</c:v>
                </c:pt>
                <c:pt idx="115">
                  <c:v>1.2362296662128724</c:v>
                </c:pt>
                <c:pt idx="116">
                  <c:v>1.2229735772559696</c:v>
                </c:pt>
                <c:pt idx="117">
                  <c:v>1.2247970347699064</c:v>
                </c:pt>
                <c:pt idx="118">
                  <c:v>1.2250156509296155</c:v>
                </c:pt>
                <c:pt idx="119">
                  <c:v>1.2211948366837915</c:v>
                </c:pt>
                <c:pt idx="120">
                  <c:v>1.2304860234714259</c:v>
                </c:pt>
                <c:pt idx="121">
                  <c:v>1.2280514344201205</c:v>
                </c:pt>
                <c:pt idx="122">
                  <c:v>1.2210656544076</c:v>
                </c:pt>
                <c:pt idx="123">
                  <c:v>1.2154561624914293</c:v>
                </c:pt>
                <c:pt idx="124">
                  <c:v>1.2144326413800641</c:v>
                </c:pt>
                <c:pt idx="125">
                  <c:v>1.213841384039033</c:v>
                </c:pt>
                <c:pt idx="126">
                  <c:v>1.2118142160126399</c:v>
                </c:pt>
                <c:pt idx="127">
                  <c:v>1.2143332703983782</c:v>
                </c:pt>
                <c:pt idx="128">
                  <c:v>1.2185416314727773</c:v>
                </c:pt>
                <c:pt idx="129">
                  <c:v>1.2065475539832857</c:v>
                </c:pt>
                <c:pt idx="130">
                  <c:v>1.2051464231415143</c:v>
                </c:pt>
                <c:pt idx="131">
                  <c:v>1.2073623960331106</c:v>
                </c:pt>
                <c:pt idx="132">
                  <c:v>1.2262925680442798</c:v>
                </c:pt>
                <c:pt idx="133">
                  <c:v>1.2245535758647761</c:v>
                </c:pt>
                <c:pt idx="134">
                  <c:v>1.2251647074021443</c:v>
                </c:pt>
                <c:pt idx="135">
                  <c:v>1.2129818250474498</c:v>
                </c:pt>
                <c:pt idx="136">
                  <c:v>1.2114366062822335</c:v>
                </c:pt>
                <c:pt idx="137">
                  <c:v>1.2292289805530989</c:v>
                </c:pt>
                <c:pt idx="138">
                  <c:v>1.2296761499706856</c:v>
                </c:pt>
                <c:pt idx="139">
                  <c:v>1.232652310872179</c:v>
                </c:pt>
                <c:pt idx="140">
                  <c:v>1.2306251428457862</c:v>
                </c:pt>
                <c:pt idx="141">
                  <c:v>1.2283048304234196</c:v>
                </c:pt>
                <c:pt idx="142">
                  <c:v>1.2309928154780241</c:v>
                </c:pt>
                <c:pt idx="143">
                  <c:v>1.2303866524897398</c:v>
                </c:pt>
                <c:pt idx="144">
                  <c:v>1.2273806802937406</c:v>
                </c:pt>
                <c:pt idx="145">
                  <c:v>1.2282750191289138</c:v>
                </c:pt>
                <c:pt idx="146">
                  <c:v>1.2299245774249004</c:v>
                </c:pt>
                <c:pt idx="147">
                  <c:v>1.2311219977542158</c:v>
                </c:pt>
                <c:pt idx="148">
                  <c:v>1.230774199318315</c:v>
                </c:pt>
                <c:pt idx="149">
                  <c:v>1.227186906879453</c:v>
                </c:pt>
                <c:pt idx="150">
                  <c:v>1.2284936352886229</c:v>
                </c:pt>
                <c:pt idx="151">
                  <c:v>1.2289457732552937</c:v>
                </c:pt>
                <c:pt idx="152">
                  <c:v>1.2291345781204972</c:v>
                </c:pt>
                <c:pt idx="153">
                  <c:v>1.2225661562310575</c:v>
                </c:pt>
                <c:pt idx="154">
                  <c:v>1.2218357795156658</c:v>
                </c:pt>
                <c:pt idx="155">
                  <c:v>1.2219003706537617</c:v>
                </c:pt>
                <c:pt idx="156">
                  <c:v>1.2162163505013266</c:v>
                </c:pt>
                <c:pt idx="157">
                  <c:v>1.2139407550207189</c:v>
                </c:pt>
                <c:pt idx="158">
                  <c:v>1.2051364860433458</c:v>
                </c:pt>
                <c:pt idx="159">
                  <c:v>1.2060805103693617</c:v>
                </c:pt>
                <c:pt idx="160">
                  <c:v>1.204962586825395</c:v>
                </c:pt>
                <c:pt idx="161">
                  <c:v>1.1972961155883259</c:v>
                </c:pt>
                <c:pt idx="162">
                  <c:v>1.2086194389514373</c:v>
                </c:pt>
                <c:pt idx="163">
                  <c:v>1.2068655411246809</c:v>
                </c:pt>
                <c:pt idx="164">
                  <c:v>1.2040831536374748</c:v>
                </c:pt>
                <c:pt idx="165">
                  <c:v>1.2022398219272006</c:v>
                </c:pt>
                <c:pt idx="166">
                  <c:v>1.212668806455139</c:v>
                </c:pt>
                <c:pt idx="167">
                  <c:v>1.2020808283565034</c:v>
                </c:pt>
                <c:pt idx="168">
                  <c:v>1.2118639015034829</c:v>
                </c:pt>
                <c:pt idx="169">
                  <c:v>1.2114813232239923</c:v>
                </c:pt>
                <c:pt idx="170">
                  <c:v>1.2095932745719595</c:v>
                </c:pt>
                <c:pt idx="171">
                  <c:v>1.2101447835203165</c:v>
                </c:pt>
                <c:pt idx="172">
                  <c:v>1.2108503174902865</c:v>
                </c:pt>
                <c:pt idx="173">
                  <c:v>1.2190136436357855</c:v>
                </c:pt>
                <c:pt idx="174">
                  <c:v>1.2089225204455796</c:v>
                </c:pt>
                <c:pt idx="175">
                  <c:v>1.2085796905587629</c:v>
                </c:pt>
                <c:pt idx="176">
                  <c:v>1.2112925183587888</c:v>
                </c:pt>
                <c:pt idx="177">
                  <c:v>1.2124998757862728</c:v>
                </c:pt>
                <c:pt idx="178">
                  <c:v>1.2070543459898839</c:v>
                </c:pt>
                <c:pt idx="179">
                  <c:v>1.2082368606719465</c:v>
                </c:pt>
                <c:pt idx="180">
                  <c:v>1.2092405075869743</c:v>
                </c:pt>
                <c:pt idx="181">
                  <c:v>1.208917551896495</c:v>
                </c:pt>
                <c:pt idx="182">
                  <c:v>1.2070245346953781</c:v>
                </c:pt>
                <c:pt idx="183">
                  <c:v>1.2118639015034829</c:v>
                </c:pt>
                <c:pt idx="184">
                  <c:v>1.2073872387785318</c:v>
                </c:pt>
                <c:pt idx="185">
                  <c:v>1.1983146681506067</c:v>
                </c:pt>
                <c:pt idx="186">
                  <c:v>1.2003120248824939</c:v>
                </c:pt>
                <c:pt idx="187">
                  <c:v>1.1999393837011716</c:v>
                </c:pt>
                <c:pt idx="188">
                  <c:v>1.194632973279143</c:v>
                </c:pt>
                <c:pt idx="189">
                  <c:v>1.191666749475818</c:v>
                </c:pt>
                <c:pt idx="190">
                  <c:v>1.1894805878787276</c:v>
                </c:pt>
                <c:pt idx="191">
                  <c:v>1.1833742410541273</c:v>
                </c:pt>
                <c:pt idx="192">
                  <c:v>1.1754195939701686</c:v>
                </c:pt>
                <c:pt idx="193">
                  <c:v>1.1711019248159154</c:v>
                </c:pt>
                <c:pt idx="194">
                  <c:v>1.1927846730197849</c:v>
                </c:pt>
                <c:pt idx="195">
                  <c:v>1.1936044836186936</c:v>
                </c:pt>
                <c:pt idx="196">
                  <c:v>1.1879304005644271</c:v>
                </c:pt>
                <c:pt idx="197">
                  <c:v>1.1896892669402681</c:v>
                </c:pt>
                <c:pt idx="198">
                  <c:v>1.1922679439150179</c:v>
                </c:pt>
                <c:pt idx="199">
                  <c:v>1.1909214671131736</c:v>
                </c:pt>
                <c:pt idx="200">
                  <c:v>1.1921437301879105</c:v>
                </c:pt>
                <c:pt idx="201">
                  <c:v>1.1920990132461518</c:v>
                </c:pt>
                <c:pt idx="202">
                  <c:v>1.1872447407907942</c:v>
                </c:pt>
                <c:pt idx="203">
                  <c:v>1.1865541124680772</c:v>
                </c:pt>
                <c:pt idx="204">
                  <c:v>1.1880645513897032</c:v>
                </c:pt>
                <c:pt idx="205">
                  <c:v>1.1846014726779484</c:v>
                </c:pt>
                <c:pt idx="206">
                  <c:v>1.1868720996094719</c:v>
                </c:pt>
                <c:pt idx="207">
                  <c:v>1.1862162511303447</c:v>
                </c:pt>
                <c:pt idx="208">
                  <c:v>1.1867926028241234</c:v>
                </c:pt>
                <c:pt idx="209">
                  <c:v>1.1796080808482308</c:v>
                </c:pt>
                <c:pt idx="210">
                  <c:v>1.166958154879612</c:v>
                </c:pt>
                <c:pt idx="211">
                  <c:v>1.170510667474884</c:v>
                </c:pt>
                <c:pt idx="212">
                  <c:v>1.1617312412429321</c:v>
                </c:pt>
                <c:pt idx="213">
                  <c:v>1.1637285979748193</c:v>
                </c:pt>
                <c:pt idx="214">
                  <c:v>1.1571502389872108</c:v>
                </c:pt>
                <c:pt idx="215">
                  <c:v>1.1650899804239165</c:v>
                </c:pt>
                <c:pt idx="216">
                  <c:v>1.169487146363519</c:v>
                </c:pt>
                <c:pt idx="217">
                  <c:v>1.171166515954011</c:v>
                </c:pt>
                <c:pt idx="218">
                  <c:v>1.1703616110023549</c:v>
                </c:pt>
                <c:pt idx="219">
                  <c:v>1.1713304780737928</c:v>
                </c:pt>
                <c:pt idx="220">
                  <c:v>1.1690747567895221</c:v>
                </c:pt>
                <c:pt idx="221">
                  <c:v>1.1739290292448799</c:v>
                </c:pt>
                <c:pt idx="222">
                  <c:v>1.176582234455894</c:v>
                </c:pt>
                <c:pt idx="223">
                  <c:v>1.1731390299404767</c:v>
                </c:pt>
                <c:pt idx="224">
                  <c:v>1.171867081374897</c:v>
                </c:pt>
                <c:pt idx="225">
                  <c:v>1.1634304850297617</c:v>
                </c:pt>
                <c:pt idx="226">
                  <c:v>1.1646179682609084</c:v>
                </c:pt>
                <c:pt idx="227">
                  <c:v>1.1656017409795991</c:v>
                </c:pt>
                <c:pt idx="228">
                  <c:v>1.1668389097015888</c:v>
                </c:pt>
                <c:pt idx="229">
                  <c:v>1.1646378424572457</c:v>
                </c:pt>
                <c:pt idx="230">
                  <c:v>1.1792702195104985</c:v>
                </c:pt>
                <c:pt idx="231">
                  <c:v>1.1816451859727921</c:v>
                </c:pt>
                <c:pt idx="232">
                  <c:v>1.1832003418361769</c:v>
                </c:pt>
                <c:pt idx="233">
                  <c:v>1.1851281388808841</c:v>
                </c:pt>
                <c:pt idx="234">
                  <c:v>1.1752854431448927</c:v>
                </c:pt>
                <c:pt idx="235">
                  <c:v>1.1792702195104985</c:v>
                </c:pt>
                <c:pt idx="236">
                  <c:v>1.1788379557401647</c:v>
                </c:pt>
                <c:pt idx="237">
                  <c:v>1.1749972672980036</c:v>
                </c:pt>
                <c:pt idx="238">
                  <c:v>1.1740582115210716</c:v>
                </c:pt>
                <c:pt idx="239">
                  <c:v>1.1767461965756758</c:v>
                </c:pt>
                <c:pt idx="240">
                  <c:v>1.180184432542009</c:v>
                </c:pt>
                <c:pt idx="241">
                  <c:v>1.1840648693768445</c:v>
                </c:pt>
                <c:pt idx="242">
                  <c:v>1.183468643486729</c:v>
                </c:pt>
                <c:pt idx="243">
                  <c:v>1.190444486401081</c:v>
                </c:pt>
                <c:pt idx="244">
                  <c:v>1.1743861357606351</c:v>
                </c:pt>
                <c:pt idx="245">
                  <c:v>1.1774219192511401</c:v>
                </c:pt>
                <c:pt idx="246">
                  <c:v>1.1762244989218249</c:v>
                </c:pt>
                <c:pt idx="247">
                  <c:v>1.1744706010950681</c:v>
                </c:pt>
                <c:pt idx="248">
                  <c:v>1.173978714735723</c:v>
                </c:pt>
                <c:pt idx="249">
                  <c:v>1.1752506633013027</c:v>
                </c:pt>
                <c:pt idx="250">
                  <c:v>1.1681853865034331</c:v>
                </c:pt>
                <c:pt idx="251">
                  <c:v>1.1662277781642203</c:v>
                </c:pt>
                <c:pt idx="252">
                  <c:v>1.1672363936283325</c:v>
                </c:pt>
                <c:pt idx="253">
                  <c:v>1.1614380968469586</c:v>
                </c:pt>
                <c:pt idx="254">
                  <c:v>1.1568024405513102</c:v>
                </c:pt>
                <c:pt idx="255">
                  <c:v>1.1507656534138899</c:v>
                </c:pt>
                <c:pt idx="256">
                  <c:v>1.1466765375175141</c:v>
                </c:pt>
                <c:pt idx="257">
                  <c:v>1.1401180527262429</c:v>
                </c:pt>
                <c:pt idx="258">
                  <c:v>1.1393280534218397</c:v>
                </c:pt>
                <c:pt idx="259">
                  <c:v>1.1390696888694563</c:v>
                </c:pt>
                <c:pt idx="260">
                  <c:v>1.1414844037244243</c:v>
                </c:pt>
                <c:pt idx="261">
                  <c:v>1.1411167310921864</c:v>
                </c:pt>
                <c:pt idx="262">
                  <c:v>1.1419564158874325</c:v>
                </c:pt>
                <c:pt idx="263">
                  <c:v>1.1328639710631703</c:v>
                </c:pt>
                <c:pt idx="264">
                  <c:v>1.1254757385748213</c:v>
                </c:pt>
                <c:pt idx="265">
                  <c:v>1.1285115220653263</c:v>
                </c:pt>
                <c:pt idx="266">
                  <c:v>1.1247254876630925</c:v>
                </c:pt>
                <c:pt idx="267">
                  <c:v>1.1287996979122155</c:v>
                </c:pt>
                <c:pt idx="268">
                  <c:v>1.1268122782784971</c:v>
                </c:pt>
                <c:pt idx="269">
                  <c:v>1.1301660489103971</c:v>
                </c:pt>
                <c:pt idx="270">
                  <c:v>1.1280792582949928</c:v>
                </c:pt>
                <c:pt idx="271">
                  <c:v>1.1305039102481294</c:v>
                </c:pt>
                <c:pt idx="272">
                  <c:v>1.1273141017360111</c:v>
                </c:pt>
                <c:pt idx="273">
                  <c:v>1.1273141017360111</c:v>
                </c:pt>
                <c:pt idx="274">
                  <c:v>1.1313286893961225</c:v>
                </c:pt>
                <c:pt idx="275">
                  <c:v>1.127363787226854</c:v>
                </c:pt>
                <c:pt idx="276">
                  <c:v>1.1282332833166058</c:v>
                </c:pt>
                <c:pt idx="277">
                  <c:v>1.1218139178996949</c:v>
                </c:pt>
                <c:pt idx="278">
                  <c:v>1.1123736746395316</c:v>
                </c:pt>
                <c:pt idx="279">
                  <c:v>1.1175558713344529</c:v>
                </c:pt>
                <c:pt idx="280">
                  <c:v>1.1178837955740164</c:v>
                </c:pt>
                <c:pt idx="281">
                  <c:v>1.1273041646378426</c:v>
                </c:pt>
                <c:pt idx="282">
                  <c:v>1.1247751731539355</c:v>
                </c:pt>
                <c:pt idx="283">
                  <c:v>1.1233690737630797</c:v>
                </c:pt>
                <c:pt idx="284">
                  <c:v>1.1254658014766528</c:v>
                </c:pt>
                <c:pt idx="285">
                  <c:v>1.1282382518656902</c:v>
                </c:pt>
                <c:pt idx="286">
                  <c:v>1.1241491359693143</c:v>
                </c:pt>
                <c:pt idx="287">
                  <c:v>1.1219331630777181</c:v>
                </c:pt>
                <c:pt idx="288">
                  <c:v>1.1239007085150994</c:v>
                </c:pt>
                <c:pt idx="289">
                  <c:v>1.1195532280663401</c:v>
                </c:pt>
                <c:pt idx="290">
                  <c:v>1.1287152325777825</c:v>
                </c:pt>
                <c:pt idx="291">
                  <c:v>1.1213816541293611</c:v>
                </c:pt>
                <c:pt idx="292">
                  <c:v>1.1226585712440253</c:v>
                </c:pt>
                <c:pt idx="293">
                  <c:v>1.1160305267655739</c:v>
                </c:pt>
                <c:pt idx="294">
                  <c:v>1.1136257490087744</c:v>
                </c:pt>
                <c:pt idx="295">
                  <c:v>1.0991573340753034</c:v>
                </c:pt>
                <c:pt idx="296">
                  <c:v>1.0954209851639125</c:v>
                </c:pt>
                <c:pt idx="297">
                  <c:v>1.0890811165323502</c:v>
                </c:pt>
                <c:pt idx="298">
                  <c:v>1.0886488527620164</c:v>
                </c:pt>
                <c:pt idx="299">
                  <c:v>1.0924895412041775</c:v>
                </c:pt>
                <c:pt idx="300">
                  <c:v>1.0953961424184908</c:v>
                </c:pt>
                <c:pt idx="301">
                  <c:v>1.0939353889877077</c:v>
                </c:pt>
                <c:pt idx="302">
                  <c:v>1.0997138115727445</c:v>
                </c:pt>
                <c:pt idx="303">
                  <c:v>1.0954259537129967</c:v>
                </c:pt>
                <c:pt idx="304">
                  <c:v>1.094541551975992</c:v>
                </c:pt>
                <c:pt idx="305">
                  <c:v>1.0921765226118667</c:v>
                </c:pt>
                <c:pt idx="306">
                  <c:v>1.0840877247026324</c:v>
                </c:pt>
                <c:pt idx="307">
                  <c:v>1.0866813073246349</c:v>
                </c:pt>
                <c:pt idx="308">
                  <c:v>1.0816233243568214</c:v>
                </c:pt>
                <c:pt idx="309">
                  <c:v>1.0833374737909034</c:v>
                </c:pt>
                <c:pt idx="310">
                  <c:v>1.0752933928234276</c:v>
                </c:pt>
                <c:pt idx="311">
                  <c:v>1.075417606550535</c:v>
                </c:pt>
                <c:pt idx="312">
                  <c:v>1.0769230769230769</c:v>
                </c:pt>
                <c:pt idx="313">
                  <c:v>1.0748263492095038</c:v>
                </c:pt>
                <c:pt idx="314">
                  <c:v>1.0630508878797214</c:v>
                </c:pt>
                <c:pt idx="315">
                  <c:v>1.059056174415947</c:v>
                </c:pt>
                <c:pt idx="316">
                  <c:v>1.0360319179593174</c:v>
                </c:pt>
                <c:pt idx="317">
                  <c:v>1.0377609730406525</c:v>
                </c:pt>
                <c:pt idx="318">
                  <c:v>1.0423717865908797</c:v>
                </c:pt>
                <c:pt idx="319">
                  <c:v>1.04921844722904</c:v>
                </c:pt>
                <c:pt idx="320">
                  <c:v>1.0563880635576799</c:v>
                </c:pt>
                <c:pt idx="321">
                  <c:v>1.0565172458338714</c:v>
                </c:pt>
                <c:pt idx="322">
                  <c:v>1.0598113938767602</c:v>
                </c:pt>
                <c:pt idx="323">
                  <c:v>1.0629862967416255</c:v>
                </c:pt>
                <c:pt idx="324">
                  <c:v>1.064839565550068</c:v>
                </c:pt>
                <c:pt idx="325">
                  <c:v>1.0688988701519382</c:v>
                </c:pt>
                <c:pt idx="326">
                  <c:v>1.0638458557332087</c:v>
                </c:pt>
                <c:pt idx="327">
                  <c:v>1.0639352896167262</c:v>
                </c:pt>
                <c:pt idx="328">
                  <c:v>1.0654010115965935</c:v>
                </c:pt>
                <c:pt idx="329">
                  <c:v>1.0630707620760584</c:v>
                </c:pt>
                <c:pt idx="330">
                  <c:v>1.0565619627756302</c:v>
                </c:pt>
                <c:pt idx="331">
                  <c:v>1.0597815825822543</c:v>
                </c:pt>
                <c:pt idx="332">
                  <c:v>1.0595679349716296</c:v>
                </c:pt>
                <c:pt idx="333">
                  <c:v>1.0628620830145179</c:v>
                </c:pt>
                <c:pt idx="334">
                  <c:v>1.0616447884888653</c:v>
                </c:pt>
                <c:pt idx="335">
                  <c:v>1.0750250911728756</c:v>
                </c:pt>
                <c:pt idx="336">
                  <c:v>1.0773155923007363</c:v>
                </c:pt>
                <c:pt idx="337">
                  <c:v>1.0687994991702523</c:v>
                </c:pt>
                <c:pt idx="338">
                  <c:v>1.0788558425168682</c:v>
                </c:pt>
                <c:pt idx="339">
                  <c:v>1.0731718223644331</c:v>
                </c:pt>
                <c:pt idx="340">
                  <c:v>1.0663003189808511</c:v>
                </c:pt>
                <c:pt idx="341">
                  <c:v>1.0755368517285582</c:v>
                </c:pt>
                <c:pt idx="342">
                  <c:v>1.0817425695348444</c:v>
                </c:pt>
                <c:pt idx="343">
                  <c:v>1.0747567895223236</c:v>
                </c:pt>
                <c:pt idx="344">
                  <c:v>1.0631502588614075</c:v>
                </c:pt>
                <c:pt idx="345">
                  <c:v>1.0628322717200123</c:v>
                </c:pt>
                <c:pt idx="346">
                  <c:v>1.0561992586924767</c:v>
                </c:pt>
                <c:pt idx="347">
                  <c:v>1.0568203273280137</c:v>
                </c:pt>
                <c:pt idx="348">
                  <c:v>1.0727296214959308</c:v>
                </c:pt>
                <c:pt idx="349">
                  <c:v>1.0572128427056731</c:v>
                </c:pt>
                <c:pt idx="350">
                  <c:v>1.0837896117575745</c:v>
                </c:pt>
                <c:pt idx="351">
                  <c:v>1.0862043266125425</c:v>
                </c:pt>
                <c:pt idx="352">
                  <c:v>1.0863633201832401</c:v>
                </c:pt>
                <c:pt idx="353">
                  <c:v>1.0831337632784475</c:v>
                </c:pt>
                <c:pt idx="354">
                  <c:v>1.0786024465135691</c:v>
                </c:pt>
                <c:pt idx="355">
                  <c:v>1.0786471634553276</c:v>
                </c:pt>
                <c:pt idx="356">
                  <c:v>1.0812159033319089</c:v>
                </c:pt>
                <c:pt idx="357">
                  <c:v>1.0833325052418192</c:v>
                </c:pt>
                <c:pt idx="358">
                  <c:v>1.0776981705802271</c:v>
                </c:pt>
                <c:pt idx="359">
                  <c:v>1.0794023829161408</c:v>
                </c:pt>
                <c:pt idx="360">
                  <c:v>1.0808780419941768</c:v>
                </c:pt>
                <c:pt idx="361">
                  <c:v>1.0865719992447807</c:v>
                </c:pt>
                <c:pt idx="362">
                  <c:v>1.0844553973348701</c:v>
                </c:pt>
                <c:pt idx="363">
                  <c:v>1.0850665288722385</c:v>
                </c:pt>
                <c:pt idx="364">
                  <c:v>1.0866316218337921</c:v>
                </c:pt>
                <c:pt idx="365">
                  <c:v>1.0842467182733297</c:v>
                </c:pt>
                <c:pt idx="366">
                  <c:v>1.0822245187960211</c:v>
                </c:pt>
                <c:pt idx="367">
                  <c:v>1.088186777697177</c:v>
                </c:pt>
                <c:pt idx="368">
                  <c:v>1.0851559627557561</c:v>
                </c:pt>
                <c:pt idx="369">
                  <c:v>1.0860204902964237</c:v>
                </c:pt>
                <c:pt idx="370">
                  <c:v>1.0809028847395983</c:v>
                </c:pt>
                <c:pt idx="371">
                  <c:v>1.0840082279172834</c:v>
                </c:pt>
                <c:pt idx="372">
                  <c:v>1.0835859012451183</c:v>
                </c:pt>
                <c:pt idx="373">
                  <c:v>1.0845696739638091</c:v>
                </c:pt>
                <c:pt idx="374">
                  <c:v>1.0753182355688491</c:v>
                </c:pt>
                <c:pt idx="375">
                  <c:v>1.0750896823109715</c:v>
                </c:pt>
                <c:pt idx="376">
                  <c:v>1.0717309431299873</c:v>
                </c:pt>
                <c:pt idx="377">
                  <c:v>1.0785925094154005</c:v>
                </c:pt>
                <c:pt idx="378">
                  <c:v>1.0799638289626663</c:v>
                </c:pt>
                <c:pt idx="379">
                  <c:v>1.0782049625868253</c:v>
                </c:pt>
                <c:pt idx="380">
                  <c:v>1.0764759075054902</c:v>
                </c:pt>
                <c:pt idx="381">
                  <c:v>1.0777677302674071</c:v>
                </c:pt>
                <c:pt idx="382">
                  <c:v>1.0774199318315065</c:v>
                </c:pt>
                <c:pt idx="383">
                  <c:v>1.0806743314817209</c:v>
                </c:pt>
                <c:pt idx="384">
                  <c:v>1.0757753420846043</c:v>
                </c:pt>
                <c:pt idx="385">
                  <c:v>1.0796756531157772</c:v>
                </c:pt>
                <c:pt idx="386">
                  <c:v>1.0750847137618873</c:v>
                </c:pt>
                <c:pt idx="387">
                  <c:v>1.0766299325271034</c:v>
                </c:pt>
                <c:pt idx="388">
                  <c:v>1.0740711297486907</c:v>
                </c:pt>
                <c:pt idx="389">
                  <c:v>1.0750698081146344</c:v>
                </c:pt>
                <c:pt idx="390">
                  <c:v>1.0694454105512108</c:v>
                </c:pt>
                <c:pt idx="391">
                  <c:v>1.0693013226277661</c:v>
                </c:pt>
                <c:pt idx="392">
                  <c:v>1.06185843609949</c:v>
                </c:pt>
                <c:pt idx="393">
                  <c:v>1.0582512694642909</c:v>
                </c:pt>
                <c:pt idx="394">
                  <c:v>1.0423519123945426</c:v>
                </c:pt>
                <c:pt idx="395">
                  <c:v>1.0432611568769687</c:v>
                </c:pt>
                <c:pt idx="396">
                  <c:v>1.0377063190007254</c:v>
                </c:pt>
                <c:pt idx="397">
                  <c:v>1.0448610296821121</c:v>
                </c:pt>
                <c:pt idx="398">
                  <c:v>1.042828893106635</c:v>
                </c:pt>
                <c:pt idx="399">
                  <c:v>1.0288722387288463</c:v>
                </c:pt>
                <c:pt idx="400">
                  <c:v>1.0116413105045063</c:v>
                </c:pt>
                <c:pt idx="401">
                  <c:v>0.99397811850983275</c:v>
                </c:pt>
                <c:pt idx="402">
                  <c:v>1.0122971589836336</c:v>
                </c:pt>
                <c:pt idx="403">
                  <c:v>1.0500134150825275</c:v>
                </c:pt>
                <c:pt idx="404">
                  <c:v>1.0361660687845935</c:v>
                </c:pt>
                <c:pt idx="405">
                  <c:v>1.0378802182186757</c:v>
                </c:pt>
                <c:pt idx="406">
                  <c:v>1.0350729879860483</c:v>
                </c:pt>
                <c:pt idx="407">
                  <c:v>1.0290958234376395</c:v>
                </c:pt>
                <c:pt idx="408">
                  <c:v>1.0324595311677083</c:v>
                </c:pt>
                <c:pt idx="409">
                  <c:v>1.029234942812</c:v>
                </c:pt>
                <c:pt idx="410">
                  <c:v>1.0311329285622013</c:v>
                </c:pt>
                <c:pt idx="411">
                  <c:v>1.0329911659197279</c:v>
                </c:pt>
                <c:pt idx="412">
                  <c:v>1.0528951735514194</c:v>
                </c:pt>
                <c:pt idx="413">
                  <c:v>1.0494221577414964</c:v>
                </c:pt>
                <c:pt idx="414">
                  <c:v>1.0480707123905675</c:v>
                </c:pt>
                <c:pt idx="415">
                  <c:v>1.0429630439319111</c:v>
                </c:pt>
                <c:pt idx="416">
                  <c:v>1.0460087645205847</c:v>
                </c:pt>
                <c:pt idx="417">
                  <c:v>1.0430624149135967</c:v>
                </c:pt>
                <c:pt idx="418">
                  <c:v>1.0418848687806186</c:v>
                </c:pt>
                <c:pt idx="419">
                  <c:v>1.0429282640883208</c:v>
                </c:pt>
                <c:pt idx="420">
                  <c:v>1.0384764441087913</c:v>
                </c:pt>
                <c:pt idx="421">
                  <c:v>1.0386950602685003</c:v>
                </c:pt>
                <c:pt idx="422">
                  <c:v>1.0315006011944392</c:v>
                </c:pt>
                <c:pt idx="423">
                  <c:v>1.0175787266602405</c:v>
                </c:pt>
                <c:pt idx="424">
                  <c:v>1.0197052656683196</c:v>
                </c:pt>
                <c:pt idx="425">
                  <c:v>1.0136038873928035</c:v>
                </c:pt>
                <c:pt idx="426">
                  <c:v>1.0173750161477846</c:v>
                </c:pt>
                <c:pt idx="427">
                  <c:v>1.017166337086244</c:v>
                </c:pt>
                <c:pt idx="428">
                  <c:v>1.0168682241411862</c:v>
                </c:pt>
                <c:pt idx="429">
                  <c:v>1.025563185038705</c:v>
                </c:pt>
                <c:pt idx="430">
                  <c:v>1.0257370842566553</c:v>
                </c:pt>
                <c:pt idx="431">
                  <c:v>1.035639402581658</c:v>
                </c:pt>
                <c:pt idx="432">
                  <c:v>1.0228702314350164</c:v>
                </c:pt>
                <c:pt idx="433">
                  <c:v>1.0221001063269504</c:v>
                </c:pt>
                <c:pt idx="434">
                  <c:v>1.0188655808730736</c:v>
                </c:pt>
                <c:pt idx="435">
                  <c:v>1.0191090397782039</c:v>
                </c:pt>
                <c:pt idx="436">
                  <c:v>1.0251955124064669</c:v>
                </c:pt>
                <c:pt idx="437">
                  <c:v>1.0261544423797364</c:v>
                </c:pt>
                <c:pt idx="438">
                  <c:v>1.0313763874673316</c:v>
                </c:pt>
                <c:pt idx="439">
                  <c:v>1.040985561396361</c:v>
                </c:pt>
                <c:pt idx="440">
                  <c:v>1.0392714119622786</c:v>
                </c:pt>
                <c:pt idx="441">
                  <c:v>1.0373287092703187</c:v>
                </c:pt>
                <c:pt idx="442">
                  <c:v>1.0392117893732671</c:v>
                </c:pt>
                <c:pt idx="443">
                  <c:v>1.0391621038824241</c:v>
                </c:pt>
                <c:pt idx="444">
                  <c:v>1.044587759482476</c:v>
                </c:pt>
                <c:pt idx="445">
                  <c:v>1.0437927916289886</c:v>
                </c:pt>
                <c:pt idx="446">
                  <c:v>1.0405831089205331</c:v>
                </c:pt>
                <c:pt idx="447">
                  <c:v>1.0338209136168055</c:v>
                </c:pt>
                <c:pt idx="448">
                  <c:v>1.0348394661790865</c:v>
                </c:pt>
                <c:pt idx="449">
                  <c:v>1.0346605984120516</c:v>
                </c:pt>
                <c:pt idx="450">
                  <c:v>1.0243757018075581</c:v>
                </c:pt>
                <c:pt idx="451">
                  <c:v>1.0145727544642413</c:v>
                </c:pt>
                <c:pt idx="452">
                  <c:v>1.0173601105005317</c:v>
                </c:pt>
                <c:pt idx="453">
                  <c:v>1.0145330060715669</c:v>
                </c:pt>
                <c:pt idx="454">
                  <c:v>1.0268301650552005</c:v>
                </c:pt>
                <c:pt idx="455">
                  <c:v>1.0161527530730476</c:v>
                </c:pt>
                <c:pt idx="456">
                  <c:v>1.02987091709479</c:v>
                </c:pt>
                <c:pt idx="457">
                  <c:v>1.0233919290888673</c:v>
                </c:pt>
                <c:pt idx="458">
                  <c:v>1.0254836882533562</c:v>
                </c:pt>
                <c:pt idx="459">
                  <c:v>1.0210418053719954</c:v>
                </c:pt>
                <c:pt idx="460">
                  <c:v>1.0115667822682419</c:v>
                </c:pt>
                <c:pt idx="461">
                  <c:v>1.0119493605477328</c:v>
                </c:pt>
                <c:pt idx="462">
                  <c:v>1.0184531912990769</c:v>
                </c:pt>
                <c:pt idx="463">
                  <c:v>1.0193475301342501</c:v>
                </c:pt>
                <c:pt idx="464">
                  <c:v>1.0183438832192222</c:v>
                </c:pt>
                <c:pt idx="465">
                  <c:v>1.0138771575924397</c:v>
                </c:pt>
                <c:pt idx="466">
                  <c:v>1.0072342074667355</c:v>
                </c:pt>
                <c:pt idx="467">
                  <c:v>1.0016247155505649</c:v>
                </c:pt>
                <c:pt idx="468">
                  <c:v>1.0034680472608388</c:v>
                </c:pt>
                <c:pt idx="469">
                  <c:v>1.0047350272773345</c:v>
                </c:pt>
                <c:pt idx="470">
                  <c:v>0.98852762016435958</c:v>
                </c:pt>
                <c:pt idx="471">
                  <c:v>0.98837359514274636</c:v>
                </c:pt>
                <c:pt idx="472">
                  <c:v>0.98340504605844992</c:v>
                </c:pt>
                <c:pt idx="473">
                  <c:v>0.99458428149811684</c:v>
                </c:pt>
                <c:pt idx="474">
                  <c:v>0.99370484831019645</c:v>
                </c:pt>
                <c:pt idx="475">
                  <c:v>0.99043057446364513</c:v>
                </c:pt>
                <c:pt idx="476">
                  <c:v>0.98697743285005912</c:v>
                </c:pt>
                <c:pt idx="477">
                  <c:v>0.98295290809177893</c:v>
                </c:pt>
                <c:pt idx="478">
                  <c:v>0.96003795971500394</c:v>
                </c:pt>
                <c:pt idx="479">
                  <c:v>0.96789820436636087</c:v>
                </c:pt>
                <c:pt idx="480">
                  <c:v>0.96971172478212908</c:v>
                </c:pt>
                <c:pt idx="481">
                  <c:v>0.95883060228751993</c:v>
                </c:pt>
                <c:pt idx="482">
                  <c:v>0.95459242991861515</c:v>
                </c:pt>
                <c:pt idx="483">
                  <c:v>0.96663122434986526</c:v>
                </c:pt>
                <c:pt idx="484">
                  <c:v>0.95285840628819563</c:v>
                </c:pt>
                <c:pt idx="485">
                  <c:v>0.9528832490336171</c:v>
                </c:pt>
                <c:pt idx="486">
                  <c:v>0.95734997466039962</c:v>
                </c:pt>
                <c:pt idx="487">
                  <c:v>0.94182822732105764</c:v>
                </c:pt>
                <c:pt idx="488">
                  <c:v>0.93411207059314538</c:v>
                </c:pt>
                <c:pt idx="489">
                  <c:v>0.95170073435155467</c:v>
                </c:pt>
                <c:pt idx="490">
                  <c:v>0.9502499180189401</c:v>
                </c:pt>
                <c:pt idx="491">
                  <c:v>0.94552979638885848</c:v>
                </c:pt>
                <c:pt idx="492">
                  <c:v>0.96359047231027595</c:v>
                </c:pt>
                <c:pt idx="493">
                  <c:v>0.96401776753152546</c:v>
                </c:pt>
                <c:pt idx="494">
                  <c:v>0.94072520942434379</c:v>
                </c:pt>
                <c:pt idx="495">
                  <c:v>0.9355529498275913</c:v>
                </c:pt>
                <c:pt idx="496">
                  <c:v>0.94582790933391636</c:v>
                </c:pt>
                <c:pt idx="497">
                  <c:v>0.93263641151510923</c:v>
                </c:pt>
                <c:pt idx="498">
                  <c:v>0.94745262488448123</c:v>
                </c:pt>
                <c:pt idx="499">
                  <c:v>0.92861685530591354</c:v>
                </c:pt>
                <c:pt idx="500">
                  <c:v>0.92381723689048312</c:v>
                </c:pt>
                <c:pt idx="501">
                  <c:v>0.93474804487593521</c:v>
                </c:pt>
                <c:pt idx="502">
                  <c:v>0.93425118996750567</c:v>
                </c:pt>
                <c:pt idx="503">
                  <c:v>0.95487563721641999</c:v>
                </c:pt>
                <c:pt idx="504">
                  <c:v>0.93919489630638053</c:v>
                </c:pt>
                <c:pt idx="505">
                  <c:v>0.96324267387437523</c:v>
                </c:pt>
                <c:pt idx="506">
                  <c:v>0.95578488169884634</c:v>
                </c:pt>
                <c:pt idx="507">
                  <c:v>0.95497003964902161</c:v>
                </c:pt>
                <c:pt idx="508">
                  <c:v>0.96543380402054979</c:v>
                </c:pt>
                <c:pt idx="509">
                  <c:v>0.98887045005117602</c:v>
                </c:pt>
                <c:pt idx="510">
                  <c:v>1.0020122623791401</c:v>
                </c:pt>
                <c:pt idx="51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845-49C1-A22D-C8D81172587F}"/>
            </c:ext>
          </c:extLst>
        </c:ser>
        <c:ser>
          <c:idx val="1"/>
          <c:order val="1"/>
          <c:tx>
            <c:strRef>
              <c:f>'Graf 3+4'!$N$2</c:f>
              <c:strCache>
                <c:ptCount val="1"/>
                <c:pt idx="0">
                  <c:v>Eurostoxx 50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43172</c:v>
                </c:pt>
                <c:pt idx="1">
                  <c:v>43171</c:v>
                </c:pt>
                <c:pt idx="2">
                  <c:v>43168</c:v>
                </c:pt>
                <c:pt idx="3">
                  <c:v>43167</c:v>
                </c:pt>
                <c:pt idx="4">
                  <c:v>43166</c:v>
                </c:pt>
                <c:pt idx="5">
                  <c:v>43165</c:v>
                </c:pt>
                <c:pt idx="6">
                  <c:v>43164</c:v>
                </c:pt>
                <c:pt idx="7">
                  <c:v>43161</c:v>
                </c:pt>
                <c:pt idx="8">
                  <c:v>43160</c:v>
                </c:pt>
                <c:pt idx="9">
                  <c:v>43159</c:v>
                </c:pt>
                <c:pt idx="10">
                  <c:v>43158</c:v>
                </c:pt>
                <c:pt idx="11">
                  <c:v>43157</c:v>
                </c:pt>
                <c:pt idx="12">
                  <c:v>43154</c:v>
                </c:pt>
                <c:pt idx="13">
                  <c:v>43153</c:v>
                </c:pt>
                <c:pt idx="14">
                  <c:v>43145</c:v>
                </c:pt>
                <c:pt idx="15">
                  <c:v>43144</c:v>
                </c:pt>
                <c:pt idx="16">
                  <c:v>43143</c:v>
                </c:pt>
                <c:pt idx="17">
                  <c:v>43140</c:v>
                </c:pt>
                <c:pt idx="18">
                  <c:v>43139</c:v>
                </c:pt>
                <c:pt idx="19">
                  <c:v>43138</c:v>
                </c:pt>
                <c:pt idx="20">
                  <c:v>43137</c:v>
                </c:pt>
                <c:pt idx="21">
                  <c:v>43136</c:v>
                </c:pt>
                <c:pt idx="22">
                  <c:v>43133</c:v>
                </c:pt>
                <c:pt idx="23">
                  <c:v>43132</c:v>
                </c:pt>
                <c:pt idx="24">
                  <c:v>43131</c:v>
                </c:pt>
                <c:pt idx="25">
                  <c:v>43130</c:v>
                </c:pt>
                <c:pt idx="26">
                  <c:v>43129</c:v>
                </c:pt>
                <c:pt idx="27">
                  <c:v>43126</c:v>
                </c:pt>
                <c:pt idx="28">
                  <c:v>43125</c:v>
                </c:pt>
                <c:pt idx="29">
                  <c:v>43124</c:v>
                </c:pt>
                <c:pt idx="30">
                  <c:v>43123</c:v>
                </c:pt>
                <c:pt idx="31">
                  <c:v>43122</c:v>
                </c:pt>
                <c:pt idx="32">
                  <c:v>43119</c:v>
                </c:pt>
                <c:pt idx="33">
                  <c:v>43118</c:v>
                </c:pt>
                <c:pt idx="34">
                  <c:v>43117</c:v>
                </c:pt>
                <c:pt idx="35">
                  <c:v>43116</c:v>
                </c:pt>
                <c:pt idx="36">
                  <c:v>43112</c:v>
                </c:pt>
                <c:pt idx="37">
                  <c:v>43111</c:v>
                </c:pt>
                <c:pt idx="38">
                  <c:v>43110</c:v>
                </c:pt>
                <c:pt idx="39">
                  <c:v>43109</c:v>
                </c:pt>
                <c:pt idx="40">
                  <c:v>43108</c:v>
                </c:pt>
                <c:pt idx="41">
                  <c:v>43105</c:v>
                </c:pt>
                <c:pt idx="42">
                  <c:v>43104</c:v>
                </c:pt>
                <c:pt idx="43">
                  <c:v>43103</c:v>
                </c:pt>
                <c:pt idx="44">
                  <c:v>43102</c:v>
                </c:pt>
                <c:pt idx="45">
                  <c:v>43098</c:v>
                </c:pt>
                <c:pt idx="46">
                  <c:v>43097</c:v>
                </c:pt>
                <c:pt idx="47">
                  <c:v>43096</c:v>
                </c:pt>
                <c:pt idx="48">
                  <c:v>43091</c:v>
                </c:pt>
                <c:pt idx="49">
                  <c:v>43090</c:v>
                </c:pt>
                <c:pt idx="50">
                  <c:v>43089</c:v>
                </c:pt>
                <c:pt idx="51">
                  <c:v>43088</c:v>
                </c:pt>
                <c:pt idx="52">
                  <c:v>43087</c:v>
                </c:pt>
                <c:pt idx="53">
                  <c:v>43084</c:v>
                </c:pt>
                <c:pt idx="54">
                  <c:v>43083</c:v>
                </c:pt>
                <c:pt idx="55">
                  <c:v>43082</c:v>
                </c:pt>
                <c:pt idx="56">
                  <c:v>43081</c:v>
                </c:pt>
                <c:pt idx="57">
                  <c:v>43080</c:v>
                </c:pt>
                <c:pt idx="58">
                  <c:v>43077</c:v>
                </c:pt>
                <c:pt idx="59">
                  <c:v>43076</c:v>
                </c:pt>
                <c:pt idx="60">
                  <c:v>43075</c:v>
                </c:pt>
                <c:pt idx="61">
                  <c:v>43074</c:v>
                </c:pt>
                <c:pt idx="62">
                  <c:v>43073</c:v>
                </c:pt>
                <c:pt idx="63">
                  <c:v>43070</c:v>
                </c:pt>
                <c:pt idx="64">
                  <c:v>43069</c:v>
                </c:pt>
                <c:pt idx="65">
                  <c:v>43068</c:v>
                </c:pt>
                <c:pt idx="66">
                  <c:v>43067</c:v>
                </c:pt>
                <c:pt idx="67">
                  <c:v>43066</c:v>
                </c:pt>
                <c:pt idx="68">
                  <c:v>43063</c:v>
                </c:pt>
                <c:pt idx="69">
                  <c:v>43061</c:v>
                </c:pt>
                <c:pt idx="70">
                  <c:v>43060</c:v>
                </c:pt>
                <c:pt idx="71">
                  <c:v>43059</c:v>
                </c:pt>
                <c:pt idx="72">
                  <c:v>43056</c:v>
                </c:pt>
                <c:pt idx="73">
                  <c:v>43055</c:v>
                </c:pt>
                <c:pt idx="74">
                  <c:v>43054</c:v>
                </c:pt>
                <c:pt idx="75">
                  <c:v>43053</c:v>
                </c:pt>
                <c:pt idx="76">
                  <c:v>43052</c:v>
                </c:pt>
                <c:pt idx="77">
                  <c:v>43049</c:v>
                </c:pt>
                <c:pt idx="78">
                  <c:v>43048</c:v>
                </c:pt>
                <c:pt idx="79">
                  <c:v>43047</c:v>
                </c:pt>
                <c:pt idx="80">
                  <c:v>43046</c:v>
                </c:pt>
                <c:pt idx="81">
                  <c:v>43045</c:v>
                </c:pt>
                <c:pt idx="82">
                  <c:v>43042</c:v>
                </c:pt>
                <c:pt idx="83">
                  <c:v>43041</c:v>
                </c:pt>
                <c:pt idx="84">
                  <c:v>43040</c:v>
                </c:pt>
                <c:pt idx="85">
                  <c:v>43038</c:v>
                </c:pt>
                <c:pt idx="86">
                  <c:v>43035</c:v>
                </c:pt>
                <c:pt idx="87">
                  <c:v>43034</c:v>
                </c:pt>
                <c:pt idx="88">
                  <c:v>43033</c:v>
                </c:pt>
                <c:pt idx="89">
                  <c:v>43032</c:v>
                </c:pt>
                <c:pt idx="90">
                  <c:v>43031</c:v>
                </c:pt>
                <c:pt idx="91">
                  <c:v>43028</c:v>
                </c:pt>
                <c:pt idx="92">
                  <c:v>43027</c:v>
                </c:pt>
                <c:pt idx="93">
                  <c:v>43026</c:v>
                </c:pt>
                <c:pt idx="94">
                  <c:v>43025</c:v>
                </c:pt>
                <c:pt idx="95">
                  <c:v>43024</c:v>
                </c:pt>
                <c:pt idx="96">
                  <c:v>43021</c:v>
                </c:pt>
                <c:pt idx="97">
                  <c:v>43020</c:v>
                </c:pt>
                <c:pt idx="98">
                  <c:v>43019</c:v>
                </c:pt>
                <c:pt idx="99">
                  <c:v>43018</c:v>
                </c:pt>
                <c:pt idx="100">
                  <c:v>43017</c:v>
                </c:pt>
                <c:pt idx="101">
                  <c:v>43007</c:v>
                </c:pt>
                <c:pt idx="102">
                  <c:v>43006</c:v>
                </c:pt>
                <c:pt idx="103">
                  <c:v>43005</c:v>
                </c:pt>
                <c:pt idx="104">
                  <c:v>43004</c:v>
                </c:pt>
                <c:pt idx="105">
                  <c:v>43003</c:v>
                </c:pt>
                <c:pt idx="106">
                  <c:v>43000</c:v>
                </c:pt>
                <c:pt idx="107">
                  <c:v>42999</c:v>
                </c:pt>
                <c:pt idx="108">
                  <c:v>42998</c:v>
                </c:pt>
                <c:pt idx="109">
                  <c:v>42997</c:v>
                </c:pt>
                <c:pt idx="110">
                  <c:v>42996</c:v>
                </c:pt>
                <c:pt idx="111">
                  <c:v>42993</c:v>
                </c:pt>
                <c:pt idx="112">
                  <c:v>42992</c:v>
                </c:pt>
                <c:pt idx="113">
                  <c:v>42991</c:v>
                </c:pt>
                <c:pt idx="114">
                  <c:v>42990</c:v>
                </c:pt>
                <c:pt idx="115">
                  <c:v>42989</c:v>
                </c:pt>
                <c:pt idx="116">
                  <c:v>42986</c:v>
                </c:pt>
                <c:pt idx="117">
                  <c:v>42985</c:v>
                </c:pt>
                <c:pt idx="118">
                  <c:v>42984</c:v>
                </c:pt>
                <c:pt idx="119">
                  <c:v>42983</c:v>
                </c:pt>
                <c:pt idx="120">
                  <c:v>42979</c:v>
                </c:pt>
                <c:pt idx="121">
                  <c:v>42978</c:v>
                </c:pt>
                <c:pt idx="122">
                  <c:v>42977</c:v>
                </c:pt>
                <c:pt idx="123">
                  <c:v>42976</c:v>
                </c:pt>
                <c:pt idx="124">
                  <c:v>42975</c:v>
                </c:pt>
                <c:pt idx="125">
                  <c:v>42972</c:v>
                </c:pt>
                <c:pt idx="126">
                  <c:v>42971</c:v>
                </c:pt>
                <c:pt idx="127">
                  <c:v>42970</c:v>
                </c:pt>
                <c:pt idx="128">
                  <c:v>42969</c:v>
                </c:pt>
                <c:pt idx="129">
                  <c:v>42968</c:v>
                </c:pt>
                <c:pt idx="130">
                  <c:v>42965</c:v>
                </c:pt>
                <c:pt idx="131">
                  <c:v>42964</c:v>
                </c:pt>
                <c:pt idx="132">
                  <c:v>42963</c:v>
                </c:pt>
                <c:pt idx="133">
                  <c:v>42962</c:v>
                </c:pt>
                <c:pt idx="134">
                  <c:v>42961</c:v>
                </c:pt>
                <c:pt idx="135">
                  <c:v>42958</c:v>
                </c:pt>
                <c:pt idx="136">
                  <c:v>42957</c:v>
                </c:pt>
                <c:pt idx="137">
                  <c:v>42956</c:v>
                </c:pt>
                <c:pt idx="138">
                  <c:v>42955</c:v>
                </c:pt>
                <c:pt idx="139">
                  <c:v>42954</c:v>
                </c:pt>
                <c:pt idx="140">
                  <c:v>42951</c:v>
                </c:pt>
                <c:pt idx="141">
                  <c:v>42950</c:v>
                </c:pt>
                <c:pt idx="142">
                  <c:v>42949</c:v>
                </c:pt>
                <c:pt idx="143">
                  <c:v>42948</c:v>
                </c:pt>
                <c:pt idx="144">
                  <c:v>42947</c:v>
                </c:pt>
                <c:pt idx="145">
                  <c:v>42944</c:v>
                </c:pt>
                <c:pt idx="146">
                  <c:v>42943</c:v>
                </c:pt>
                <c:pt idx="147">
                  <c:v>42942</c:v>
                </c:pt>
                <c:pt idx="148">
                  <c:v>42941</c:v>
                </c:pt>
                <c:pt idx="149">
                  <c:v>42940</c:v>
                </c:pt>
                <c:pt idx="150">
                  <c:v>42937</c:v>
                </c:pt>
                <c:pt idx="151">
                  <c:v>42936</c:v>
                </c:pt>
                <c:pt idx="152">
                  <c:v>42935</c:v>
                </c:pt>
                <c:pt idx="153">
                  <c:v>42934</c:v>
                </c:pt>
                <c:pt idx="154">
                  <c:v>42933</c:v>
                </c:pt>
                <c:pt idx="155">
                  <c:v>42930</c:v>
                </c:pt>
                <c:pt idx="156">
                  <c:v>42929</c:v>
                </c:pt>
                <c:pt idx="157">
                  <c:v>42928</c:v>
                </c:pt>
                <c:pt idx="158">
                  <c:v>42927</c:v>
                </c:pt>
                <c:pt idx="159">
                  <c:v>42926</c:v>
                </c:pt>
                <c:pt idx="160">
                  <c:v>42923</c:v>
                </c:pt>
                <c:pt idx="161">
                  <c:v>42922</c:v>
                </c:pt>
                <c:pt idx="162">
                  <c:v>42921</c:v>
                </c:pt>
                <c:pt idx="163">
                  <c:v>42919</c:v>
                </c:pt>
                <c:pt idx="164">
                  <c:v>42916</c:v>
                </c:pt>
                <c:pt idx="165">
                  <c:v>42915</c:v>
                </c:pt>
                <c:pt idx="166">
                  <c:v>42914</c:v>
                </c:pt>
                <c:pt idx="167">
                  <c:v>42913</c:v>
                </c:pt>
                <c:pt idx="168">
                  <c:v>42912</c:v>
                </c:pt>
                <c:pt idx="169">
                  <c:v>42909</c:v>
                </c:pt>
                <c:pt idx="170">
                  <c:v>42908</c:v>
                </c:pt>
                <c:pt idx="171">
                  <c:v>42907</c:v>
                </c:pt>
                <c:pt idx="172">
                  <c:v>42906</c:v>
                </c:pt>
                <c:pt idx="173">
                  <c:v>42905</c:v>
                </c:pt>
                <c:pt idx="174">
                  <c:v>42902</c:v>
                </c:pt>
                <c:pt idx="175">
                  <c:v>42901</c:v>
                </c:pt>
                <c:pt idx="176">
                  <c:v>42900</c:v>
                </c:pt>
                <c:pt idx="177">
                  <c:v>42899</c:v>
                </c:pt>
                <c:pt idx="178">
                  <c:v>42898</c:v>
                </c:pt>
                <c:pt idx="179">
                  <c:v>42895</c:v>
                </c:pt>
                <c:pt idx="180">
                  <c:v>42894</c:v>
                </c:pt>
                <c:pt idx="181">
                  <c:v>42893</c:v>
                </c:pt>
                <c:pt idx="182">
                  <c:v>42892</c:v>
                </c:pt>
                <c:pt idx="183">
                  <c:v>42888</c:v>
                </c:pt>
                <c:pt idx="184">
                  <c:v>42887</c:v>
                </c:pt>
                <c:pt idx="185">
                  <c:v>42886</c:v>
                </c:pt>
                <c:pt idx="186">
                  <c:v>42881</c:v>
                </c:pt>
                <c:pt idx="187">
                  <c:v>42880</c:v>
                </c:pt>
                <c:pt idx="188">
                  <c:v>42879</c:v>
                </c:pt>
                <c:pt idx="189">
                  <c:v>42878</c:v>
                </c:pt>
                <c:pt idx="190">
                  <c:v>42877</c:v>
                </c:pt>
                <c:pt idx="191">
                  <c:v>42874</c:v>
                </c:pt>
                <c:pt idx="192">
                  <c:v>42873</c:v>
                </c:pt>
                <c:pt idx="193">
                  <c:v>42872</c:v>
                </c:pt>
                <c:pt idx="194">
                  <c:v>42871</c:v>
                </c:pt>
                <c:pt idx="195">
                  <c:v>42870</c:v>
                </c:pt>
                <c:pt idx="196">
                  <c:v>42867</c:v>
                </c:pt>
                <c:pt idx="197">
                  <c:v>42866</c:v>
                </c:pt>
                <c:pt idx="198">
                  <c:v>42865</c:v>
                </c:pt>
                <c:pt idx="199">
                  <c:v>42864</c:v>
                </c:pt>
                <c:pt idx="200">
                  <c:v>42863</c:v>
                </c:pt>
                <c:pt idx="201">
                  <c:v>42860</c:v>
                </c:pt>
                <c:pt idx="202">
                  <c:v>42859</c:v>
                </c:pt>
                <c:pt idx="203">
                  <c:v>42858</c:v>
                </c:pt>
                <c:pt idx="204">
                  <c:v>42857</c:v>
                </c:pt>
                <c:pt idx="205">
                  <c:v>42853</c:v>
                </c:pt>
                <c:pt idx="206">
                  <c:v>42852</c:v>
                </c:pt>
                <c:pt idx="207">
                  <c:v>42851</c:v>
                </c:pt>
                <c:pt idx="208">
                  <c:v>42850</c:v>
                </c:pt>
                <c:pt idx="209">
                  <c:v>42849</c:v>
                </c:pt>
                <c:pt idx="210">
                  <c:v>42846</c:v>
                </c:pt>
                <c:pt idx="211">
                  <c:v>42845</c:v>
                </c:pt>
                <c:pt idx="212">
                  <c:v>42844</c:v>
                </c:pt>
                <c:pt idx="213">
                  <c:v>42843</c:v>
                </c:pt>
                <c:pt idx="214">
                  <c:v>42838</c:v>
                </c:pt>
                <c:pt idx="215">
                  <c:v>42837</c:v>
                </c:pt>
                <c:pt idx="216">
                  <c:v>42836</c:v>
                </c:pt>
                <c:pt idx="217">
                  <c:v>42835</c:v>
                </c:pt>
                <c:pt idx="218">
                  <c:v>42832</c:v>
                </c:pt>
                <c:pt idx="219">
                  <c:v>42831</c:v>
                </c:pt>
                <c:pt idx="220">
                  <c:v>42830</c:v>
                </c:pt>
                <c:pt idx="221">
                  <c:v>42825</c:v>
                </c:pt>
                <c:pt idx="222">
                  <c:v>42824</c:v>
                </c:pt>
                <c:pt idx="223">
                  <c:v>42823</c:v>
                </c:pt>
                <c:pt idx="224">
                  <c:v>42822</c:v>
                </c:pt>
                <c:pt idx="225">
                  <c:v>42821</c:v>
                </c:pt>
                <c:pt idx="226">
                  <c:v>42818</c:v>
                </c:pt>
                <c:pt idx="227">
                  <c:v>42817</c:v>
                </c:pt>
                <c:pt idx="228">
                  <c:v>42816</c:v>
                </c:pt>
                <c:pt idx="229">
                  <c:v>42815</c:v>
                </c:pt>
                <c:pt idx="230">
                  <c:v>42814</c:v>
                </c:pt>
                <c:pt idx="231">
                  <c:v>42811</c:v>
                </c:pt>
                <c:pt idx="232">
                  <c:v>42810</c:v>
                </c:pt>
                <c:pt idx="233">
                  <c:v>42809</c:v>
                </c:pt>
                <c:pt idx="234">
                  <c:v>42808</c:v>
                </c:pt>
                <c:pt idx="235">
                  <c:v>42807</c:v>
                </c:pt>
                <c:pt idx="236">
                  <c:v>42804</c:v>
                </c:pt>
                <c:pt idx="237">
                  <c:v>42803</c:v>
                </c:pt>
                <c:pt idx="238">
                  <c:v>42802</c:v>
                </c:pt>
                <c:pt idx="239">
                  <c:v>42801</c:v>
                </c:pt>
                <c:pt idx="240">
                  <c:v>42800</c:v>
                </c:pt>
                <c:pt idx="241">
                  <c:v>42797</c:v>
                </c:pt>
                <c:pt idx="242">
                  <c:v>42796</c:v>
                </c:pt>
                <c:pt idx="243">
                  <c:v>42795</c:v>
                </c:pt>
                <c:pt idx="244">
                  <c:v>42794</c:v>
                </c:pt>
                <c:pt idx="245">
                  <c:v>42793</c:v>
                </c:pt>
                <c:pt idx="246">
                  <c:v>42790</c:v>
                </c:pt>
                <c:pt idx="247">
                  <c:v>42789</c:v>
                </c:pt>
                <c:pt idx="248">
                  <c:v>42788</c:v>
                </c:pt>
                <c:pt idx="249">
                  <c:v>42787</c:v>
                </c:pt>
                <c:pt idx="250">
                  <c:v>42783</c:v>
                </c:pt>
                <c:pt idx="251">
                  <c:v>42782</c:v>
                </c:pt>
                <c:pt idx="252">
                  <c:v>42781</c:v>
                </c:pt>
                <c:pt idx="253">
                  <c:v>42780</c:v>
                </c:pt>
                <c:pt idx="254">
                  <c:v>42779</c:v>
                </c:pt>
                <c:pt idx="255">
                  <c:v>42776</c:v>
                </c:pt>
                <c:pt idx="256">
                  <c:v>42775</c:v>
                </c:pt>
                <c:pt idx="257">
                  <c:v>42774</c:v>
                </c:pt>
                <c:pt idx="258">
                  <c:v>42773</c:v>
                </c:pt>
                <c:pt idx="259">
                  <c:v>42772</c:v>
                </c:pt>
                <c:pt idx="260">
                  <c:v>42769</c:v>
                </c:pt>
                <c:pt idx="261">
                  <c:v>42761</c:v>
                </c:pt>
                <c:pt idx="262">
                  <c:v>42760</c:v>
                </c:pt>
                <c:pt idx="263">
                  <c:v>42759</c:v>
                </c:pt>
                <c:pt idx="264">
                  <c:v>42758</c:v>
                </c:pt>
                <c:pt idx="265">
                  <c:v>42755</c:v>
                </c:pt>
                <c:pt idx="266">
                  <c:v>42754</c:v>
                </c:pt>
                <c:pt idx="267">
                  <c:v>42753</c:v>
                </c:pt>
                <c:pt idx="268">
                  <c:v>42752</c:v>
                </c:pt>
                <c:pt idx="269">
                  <c:v>42748</c:v>
                </c:pt>
                <c:pt idx="270">
                  <c:v>42747</c:v>
                </c:pt>
                <c:pt idx="271">
                  <c:v>42746</c:v>
                </c:pt>
                <c:pt idx="272">
                  <c:v>42745</c:v>
                </c:pt>
                <c:pt idx="273">
                  <c:v>42744</c:v>
                </c:pt>
                <c:pt idx="274">
                  <c:v>42741</c:v>
                </c:pt>
                <c:pt idx="275">
                  <c:v>42740</c:v>
                </c:pt>
                <c:pt idx="276">
                  <c:v>42739</c:v>
                </c:pt>
                <c:pt idx="277">
                  <c:v>42738</c:v>
                </c:pt>
                <c:pt idx="278">
                  <c:v>42734</c:v>
                </c:pt>
                <c:pt idx="279">
                  <c:v>42733</c:v>
                </c:pt>
                <c:pt idx="280">
                  <c:v>42732</c:v>
                </c:pt>
                <c:pt idx="281">
                  <c:v>42731</c:v>
                </c:pt>
                <c:pt idx="282">
                  <c:v>42727</c:v>
                </c:pt>
                <c:pt idx="283">
                  <c:v>42726</c:v>
                </c:pt>
                <c:pt idx="284">
                  <c:v>42725</c:v>
                </c:pt>
                <c:pt idx="285">
                  <c:v>42724</c:v>
                </c:pt>
                <c:pt idx="286">
                  <c:v>42723</c:v>
                </c:pt>
                <c:pt idx="287">
                  <c:v>42720</c:v>
                </c:pt>
                <c:pt idx="288">
                  <c:v>42719</c:v>
                </c:pt>
                <c:pt idx="289">
                  <c:v>42718</c:v>
                </c:pt>
                <c:pt idx="290">
                  <c:v>42717</c:v>
                </c:pt>
                <c:pt idx="291">
                  <c:v>42716</c:v>
                </c:pt>
                <c:pt idx="292">
                  <c:v>42713</c:v>
                </c:pt>
                <c:pt idx="293">
                  <c:v>42712</c:v>
                </c:pt>
                <c:pt idx="294">
                  <c:v>42711</c:v>
                </c:pt>
                <c:pt idx="295">
                  <c:v>42710</c:v>
                </c:pt>
                <c:pt idx="296">
                  <c:v>42709</c:v>
                </c:pt>
                <c:pt idx="297">
                  <c:v>42706</c:v>
                </c:pt>
                <c:pt idx="298">
                  <c:v>42705</c:v>
                </c:pt>
                <c:pt idx="299">
                  <c:v>42704</c:v>
                </c:pt>
                <c:pt idx="300">
                  <c:v>42703</c:v>
                </c:pt>
                <c:pt idx="301">
                  <c:v>42702</c:v>
                </c:pt>
                <c:pt idx="302">
                  <c:v>42699</c:v>
                </c:pt>
                <c:pt idx="303">
                  <c:v>42697</c:v>
                </c:pt>
                <c:pt idx="304">
                  <c:v>42696</c:v>
                </c:pt>
                <c:pt idx="305">
                  <c:v>42695</c:v>
                </c:pt>
                <c:pt idx="306">
                  <c:v>42692</c:v>
                </c:pt>
                <c:pt idx="307">
                  <c:v>42691</c:v>
                </c:pt>
                <c:pt idx="308">
                  <c:v>42690</c:v>
                </c:pt>
                <c:pt idx="309">
                  <c:v>42689</c:v>
                </c:pt>
                <c:pt idx="310">
                  <c:v>42688</c:v>
                </c:pt>
                <c:pt idx="311">
                  <c:v>42685</c:v>
                </c:pt>
                <c:pt idx="312">
                  <c:v>42684</c:v>
                </c:pt>
                <c:pt idx="313">
                  <c:v>42683</c:v>
                </c:pt>
                <c:pt idx="314">
                  <c:v>42682</c:v>
                </c:pt>
                <c:pt idx="315">
                  <c:v>42681</c:v>
                </c:pt>
                <c:pt idx="316">
                  <c:v>42678</c:v>
                </c:pt>
                <c:pt idx="317">
                  <c:v>42677</c:v>
                </c:pt>
                <c:pt idx="318">
                  <c:v>42676</c:v>
                </c:pt>
                <c:pt idx="319">
                  <c:v>42675</c:v>
                </c:pt>
                <c:pt idx="320">
                  <c:v>42674</c:v>
                </c:pt>
                <c:pt idx="321">
                  <c:v>42671</c:v>
                </c:pt>
                <c:pt idx="322">
                  <c:v>42670</c:v>
                </c:pt>
                <c:pt idx="323">
                  <c:v>42669</c:v>
                </c:pt>
                <c:pt idx="324">
                  <c:v>42668</c:v>
                </c:pt>
                <c:pt idx="325">
                  <c:v>42667</c:v>
                </c:pt>
                <c:pt idx="326">
                  <c:v>42664</c:v>
                </c:pt>
                <c:pt idx="327">
                  <c:v>42663</c:v>
                </c:pt>
                <c:pt idx="328">
                  <c:v>42662</c:v>
                </c:pt>
                <c:pt idx="329">
                  <c:v>42661</c:v>
                </c:pt>
                <c:pt idx="330">
                  <c:v>42660</c:v>
                </c:pt>
                <c:pt idx="331">
                  <c:v>42657</c:v>
                </c:pt>
                <c:pt idx="332">
                  <c:v>42656</c:v>
                </c:pt>
                <c:pt idx="333">
                  <c:v>42655</c:v>
                </c:pt>
                <c:pt idx="334">
                  <c:v>42654</c:v>
                </c:pt>
                <c:pt idx="335">
                  <c:v>42653</c:v>
                </c:pt>
                <c:pt idx="336">
                  <c:v>42643</c:v>
                </c:pt>
                <c:pt idx="337">
                  <c:v>42642</c:v>
                </c:pt>
                <c:pt idx="338">
                  <c:v>42641</c:v>
                </c:pt>
                <c:pt idx="339">
                  <c:v>42640</c:v>
                </c:pt>
                <c:pt idx="340">
                  <c:v>42639</c:v>
                </c:pt>
                <c:pt idx="341">
                  <c:v>42636</c:v>
                </c:pt>
                <c:pt idx="342">
                  <c:v>42635</c:v>
                </c:pt>
                <c:pt idx="343">
                  <c:v>42634</c:v>
                </c:pt>
                <c:pt idx="344">
                  <c:v>42633</c:v>
                </c:pt>
                <c:pt idx="345">
                  <c:v>42632</c:v>
                </c:pt>
                <c:pt idx="346">
                  <c:v>42627</c:v>
                </c:pt>
                <c:pt idx="347">
                  <c:v>42626</c:v>
                </c:pt>
                <c:pt idx="348">
                  <c:v>42625</c:v>
                </c:pt>
                <c:pt idx="349">
                  <c:v>42622</c:v>
                </c:pt>
                <c:pt idx="350">
                  <c:v>42621</c:v>
                </c:pt>
                <c:pt idx="351">
                  <c:v>42620</c:v>
                </c:pt>
                <c:pt idx="352">
                  <c:v>42619</c:v>
                </c:pt>
                <c:pt idx="353">
                  <c:v>42615</c:v>
                </c:pt>
                <c:pt idx="354">
                  <c:v>42614</c:v>
                </c:pt>
                <c:pt idx="355">
                  <c:v>42613</c:v>
                </c:pt>
                <c:pt idx="356">
                  <c:v>42612</c:v>
                </c:pt>
                <c:pt idx="357">
                  <c:v>42611</c:v>
                </c:pt>
                <c:pt idx="358">
                  <c:v>42608</c:v>
                </c:pt>
                <c:pt idx="359">
                  <c:v>42607</c:v>
                </c:pt>
                <c:pt idx="360">
                  <c:v>42606</c:v>
                </c:pt>
                <c:pt idx="361">
                  <c:v>42605</c:v>
                </c:pt>
                <c:pt idx="362">
                  <c:v>42604</c:v>
                </c:pt>
                <c:pt idx="363">
                  <c:v>42601</c:v>
                </c:pt>
                <c:pt idx="364">
                  <c:v>42600</c:v>
                </c:pt>
                <c:pt idx="365">
                  <c:v>42599</c:v>
                </c:pt>
                <c:pt idx="366">
                  <c:v>42598</c:v>
                </c:pt>
                <c:pt idx="367">
                  <c:v>42597</c:v>
                </c:pt>
                <c:pt idx="368">
                  <c:v>42594</c:v>
                </c:pt>
                <c:pt idx="369">
                  <c:v>42593</c:v>
                </c:pt>
                <c:pt idx="370">
                  <c:v>42592</c:v>
                </c:pt>
                <c:pt idx="371">
                  <c:v>42591</c:v>
                </c:pt>
                <c:pt idx="372">
                  <c:v>42590</c:v>
                </c:pt>
                <c:pt idx="373">
                  <c:v>42587</c:v>
                </c:pt>
                <c:pt idx="374">
                  <c:v>42586</c:v>
                </c:pt>
                <c:pt idx="375">
                  <c:v>42585</c:v>
                </c:pt>
                <c:pt idx="376">
                  <c:v>42584</c:v>
                </c:pt>
                <c:pt idx="377">
                  <c:v>42583</c:v>
                </c:pt>
                <c:pt idx="378">
                  <c:v>42580</c:v>
                </c:pt>
                <c:pt idx="379">
                  <c:v>42579</c:v>
                </c:pt>
                <c:pt idx="380">
                  <c:v>42578</c:v>
                </c:pt>
                <c:pt idx="381">
                  <c:v>42577</c:v>
                </c:pt>
                <c:pt idx="382">
                  <c:v>42576</c:v>
                </c:pt>
                <c:pt idx="383">
                  <c:v>42573</c:v>
                </c:pt>
                <c:pt idx="384">
                  <c:v>42572</c:v>
                </c:pt>
                <c:pt idx="385">
                  <c:v>42571</c:v>
                </c:pt>
                <c:pt idx="386">
                  <c:v>42570</c:v>
                </c:pt>
                <c:pt idx="387">
                  <c:v>42569</c:v>
                </c:pt>
                <c:pt idx="388">
                  <c:v>42566</c:v>
                </c:pt>
                <c:pt idx="389">
                  <c:v>42565</c:v>
                </c:pt>
                <c:pt idx="390">
                  <c:v>42564</c:v>
                </c:pt>
                <c:pt idx="391">
                  <c:v>42563</c:v>
                </c:pt>
                <c:pt idx="392">
                  <c:v>42562</c:v>
                </c:pt>
                <c:pt idx="393">
                  <c:v>42559</c:v>
                </c:pt>
                <c:pt idx="394">
                  <c:v>42558</c:v>
                </c:pt>
                <c:pt idx="395">
                  <c:v>42557</c:v>
                </c:pt>
                <c:pt idx="396">
                  <c:v>42556</c:v>
                </c:pt>
                <c:pt idx="397">
                  <c:v>42552</c:v>
                </c:pt>
                <c:pt idx="398">
                  <c:v>42551</c:v>
                </c:pt>
                <c:pt idx="399">
                  <c:v>42550</c:v>
                </c:pt>
                <c:pt idx="400">
                  <c:v>42549</c:v>
                </c:pt>
                <c:pt idx="401">
                  <c:v>42548</c:v>
                </c:pt>
                <c:pt idx="402">
                  <c:v>42545</c:v>
                </c:pt>
                <c:pt idx="403">
                  <c:v>42544</c:v>
                </c:pt>
                <c:pt idx="404">
                  <c:v>42543</c:v>
                </c:pt>
                <c:pt idx="405">
                  <c:v>42542</c:v>
                </c:pt>
                <c:pt idx="406">
                  <c:v>42541</c:v>
                </c:pt>
                <c:pt idx="407">
                  <c:v>42538</c:v>
                </c:pt>
                <c:pt idx="408">
                  <c:v>42537</c:v>
                </c:pt>
                <c:pt idx="409">
                  <c:v>42536</c:v>
                </c:pt>
                <c:pt idx="410">
                  <c:v>42535</c:v>
                </c:pt>
                <c:pt idx="411">
                  <c:v>42534</c:v>
                </c:pt>
                <c:pt idx="412">
                  <c:v>42529</c:v>
                </c:pt>
                <c:pt idx="413">
                  <c:v>42528</c:v>
                </c:pt>
                <c:pt idx="414">
                  <c:v>42527</c:v>
                </c:pt>
                <c:pt idx="415">
                  <c:v>42524</c:v>
                </c:pt>
                <c:pt idx="416">
                  <c:v>42523</c:v>
                </c:pt>
                <c:pt idx="417">
                  <c:v>42522</c:v>
                </c:pt>
                <c:pt idx="418">
                  <c:v>42521</c:v>
                </c:pt>
                <c:pt idx="419">
                  <c:v>42517</c:v>
                </c:pt>
                <c:pt idx="420">
                  <c:v>42516</c:v>
                </c:pt>
                <c:pt idx="421">
                  <c:v>42515</c:v>
                </c:pt>
                <c:pt idx="422">
                  <c:v>42514</c:v>
                </c:pt>
                <c:pt idx="423">
                  <c:v>42513</c:v>
                </c:pt>
                <c:pt idx="424">
                  <c:v>42510</c:v>
                </c:pt>
                <c:pt idx="425">
                  <c:v>42509</c:v>
                </c:pt>
                <c:pt idx="426">
                  <c:v>42508</c:v>
                </c:pt>
                <c:pt idx="427">
                  <c:v>42507</c:v>
                </c:pt>
                <c:pt idx="428">
                  <c:v>42503</c:v>
                </c:pt>
                <c:pt idx="429">
                  <c:v>42502</c:v>
                </c:pt>
                <c:pt idx="430">
                  <c:v>42501</c:v>
                </c:pt>
                <c:pt idx="431">
                  <c:v>42500</c:v>
                </c:pt>
                <c:pt idx="432">
                  <c:v>42499</c:v>
                </c:pt>
                <c:pt idx="433">
                  <c:v>42496</c:v>
                </c:pt>
                <c:pt idx="434">
                  <c:v>42495</c:v>
                </c:pt>
                <c:pt idx="435">
                  <c:v>42494</c:v>
                </c:pt>
                <c:pt idx="436">
                  <c:v>42493</c:v>
                </c:pt>
                <c:pt idx="437">
                  <c:v>42489</c:v>
                </c:pt>
                <c:pt idx="438">
                  <c:v>42488</c:v>
                </c:pt>
                <c:pt idx="439">
                  <c:v>42487</c:v>
                </c:pt>
                <c:pt idx="440">
                  <c:v>42486</c:v>
                </c:pt>
                <c:pt idx="441">
                  <c:v>42485</c:v>
                </c:pt>
                <c:pt idx="442">
                  <c:v>42482</c:v>
                </c:pt>
                <c:pt idx="443">
                  <c:v>42481</c:v>
                </c:pt>
                <c:pt idx="444">
                  <c:v>42480</c:v>
                </c:pt>
                <c:pt idx="445">
                  <c:v>42479</c:v>
                </c:pt>
                <c:pt idx="446">
                  <c:v>42478</c:v>
                </c:pt>
                <c:pt idx="447">
                  <c:v>42475</c:v>
                </c:pt>
                <c:pt idx="448">
                  <c:v>42474</c:v>
                </c:pt>
                <c:pt idx="449">
                  <c:v>42473</c:v>
                </c:pt>
                <c:pt idx="450">
                  <c:v>42472</c:v>
                </c:pt>
                <c:pt idx="451">
                  <c:v>42471</c:v>
                </c:pt>
                <c:pt idx="452">
                  <c:v>42468</c:v>
                </c:pt>
                <c:pt idx="453">
                  <c:v>42467</c:v>
                </c:pt>
                <c:pt idx="454">
                  <c:v>42466</c:v>
                </c:pt>
                <c:pt idx="455">
                  <c:v>42465</c:v>
                </c:pt>
                <c:pt idx="456">
                  <c:v>42461</c:v>
                </c:pt>
                <c:pt idx="457">
                  <c:v>42460</c:v>
                </c:pt>
                <c:pt idx="458">
                  <c:v>42459</c:v>
                </c:pt>
                <c:pt idx="459">
                  <c:v>42458</c:v>
                </c:pt>
                <c:pt idx="460">
                  <c:v>42453</c:v>
                </c:pt>
                <c:pt idx="461">
                  <c:v>42452</c:v>
                </c:pt>
                <c:pt idx="462">
                  <c:v>42451</c:v>
                </c:pt>
                <c:pt idx="463">
                  <c:v>42450</c:v>
                </c:pt>
                <c:pt idx="464">
                  <c:v>42447</c:v>
                </c:pt>
                <c:pt idx="465">
                  <c:v>42446</c:v>
                </c:pt>
                <c:pt idx="466">
                  <c:v>42445</c:v>
                </c:pt>
                <c:pt idx="467">
                  <c:v>42444</c:v>
                </c:pt>
                <c:pt idx="468">
                  <c:v>42443</c:v>
                </c:pt>
                <c:pt idx="469">
                  <c:v>42440</c:v>
                </c:pt>
                <c:pt idx="470">
                  <c:v>42439</c:v>
                </c:pt>
                <c:pt idx="471">
                  <c:v>42438</c:v>
                </c:pt>
                <c:pt idx="472">
                  <c:v>42437</c:v>
                </c:pt>
                <c:pt idx="473">
                  <c:v>42436</c:v>
                </c:pt>
                <c:pt idx="474">
                  <c:v>42433</c:v>
                </c:pt>
                <c:pt idx="475">
                  <c:v>42432</c:v>
                </c:pt>
                <c:pt idx="476">
                  <c:v>42431</c:v>
                </c:pt>
                <c:pt idx="477">
                  <c:v>42430</c:v>
                </c:pt>
                <c:pt idx="478">
                  <c:v>42429</c:v>
                </c:pt>
                <c:pt idx="479">
                  <c:v>42426</c:v>
                </c:pt>
                <c:pt idx="480">
                  <c:v>42425</c:v>
                </c:pt>
                <c:pt idx="481">
                  <c:v>42424</c:v>
                </c:pt>
                <c:pt idx="482">
                  <c:v>42423</c:v>
                </c:pt>
                <c:pt idx="483">
                  <c:v>42422</c:v>
                </c:pt>
                <c:pt idx="484">
                  <c:v>42419</c:v>
                </c:pt>
                <c:pt idx="485">
                  <c:v>42418</c:v>
                </c:pt>
                <c:pt idx="486">
                  <c:v>42417</c:v>
                </c:pt>
                <c:pt idx="487">
                  <c:v>42416</c:v>
                </c:pt>
                <c:pt idx="488">
                  <c:v>42405</c:v>
                </c:pt>
                <c:pt idx="489">
                  <c:v>42404</c:v>
                </c:pt>
                <c:pt idx="490">
                  <c:v>42403</c:v>
                </c:pt>
                <c:pt idx="491">
                  <c:v>42402</c:v>
                </c:pt>
                <c:pt idx="492">
                  <c:v>42401</c:v>
                </c:pt>
                <c:pt idx="493">
                  <c:v>42398</c:v>
                </c:pt>
                <c:pt idx="494">
                  <c:v>42397</c:v>
                </c:pt>
                <c:pt idx="495">
                  <c:v>42396</c:v>
                </c:pt>
                <c:pt idx="496">
                  <c:v>42395</c:v>
                </c:pt>
                <c:pt idx="497">
                  <c:v>42394</c:v>
                </c:pt>
                <c:pt idx="498">
                  <c:v>42391</c:v>
                </c:pt>
                <c:pt idx="499">
                  <c:v>42390</c:v>
                </c:pt>
                <c:pt idx="500">
                  <c:v>42389</c:v>
                </c:pt>
                <c:pt idx="501">
                  <c:v>42388</c:v>
                </c:pt>
                <c:pt idx="502">
                  <c:v>42384</c:v>
                </c:pt>
                <c:pt idx="503">
                  <c:v>42383</c:v>
                </c:pt>
                <c:pt idx="504">
                  <c:v>42382</c:v>
                </c:pt>
                <c:pt idx="505">
                  <c:v>42381</c:v>
                </c:pt>
                <c:pt idx="506">
                  <c:v>42380</c:v>
                </c:pt>
                <c:pt idx="507">
                  <c:v>42377</c:v>
                </c:pt>
                <c:pt idx="508">
                  <c:v>42376</c:v>
                </c:pt>
                <c:pt idx="509">
                  <c:v>42375</c:v>
                </c:pt>
                <c:pt idx="510">
                  <c:v>42374</c:v>
                </c:pt>
                <c:pt idx="511">
                  <c:v>42373</c:v>
                </c:pt>
              </c:numCache>
            </c:numRef>
          </c:cat>
          <c:val>
            <c:numRef>
              <c:f>'Graf 3+4'!$N$3:$N$600</c:f>
              <c:numCache>
                <c:formatCode>General</c:formatCode>
                <c:ptCount val="598"/>
                <c:pt idx="0">
                  <c:v>1.0810551195035327</c:v>
                </c:pt>
                <c:pt idx="1">
                  <c:v>1.0836461532628066</c:v>
                </c:pt>
                <c:pt idx="2">
                  <c:v>1.0808212945057445</c:v>
                </c:pt>
                <c:pt idx="3">
                  <c:v>1.0785272816896068</c:v>
                </c:pt>
                <c:pt idx="4">
                  <c:v>1.0671772899050798</c:v>
                </c:pt>
                <c:pt idx="5">
                  <c:v>1.0610156852336354</c:v>
                </c:pt>
                <c:pt idx="6">
                  <c:v>1.0602130967277139</c:v>
                </c:pt>
                <c:pt idx="7">
                  <c:v>1.0505535964812498</c:v>
                </c:pt>
                <c:pt idx="8">
                  <c:v>1.0740656479480275</c:v>
                </c:pt>
                <c:pt idx="9">
                  <c:v>1.0866416410723088</c:v>
                </c:pt>
                <c:pt idx="10">
                  <c:v>1.0926673744612545</c:v>
                </c:pt>
                <c:pt idx="11">
                  <c:v>1.0942946700539693</c:v>
                </c:pt>
                <c:pt idx="12">
                  <c:v>1.0874315903891605</c:v>
                </c:pt>
                <c:pt idx="13">
                  <c:v>1.0844392623769257</c:v>
                </c:pt>
                <c:pt idx="14">
                  <c:v>1.064797962562722</c:v>
                </c:pt>
                <c:pt idx="15">
                  <c:v>1.0556661484599146</c:v>
                </c:pt>
                <c:pt idx="16">
                  <c:v>1.0642987145944716</c:v>
                </c:pt>
                <c:pt idx="17">
                  <c:v>1.0509454113424082</c:v>
                </c:pt>
                <c:pt idx="18">
                  <c:v>1.0671583311214752</c:v>
                </c:pt>
                <c:pt idx="19">
                  <c:v>1.0915582856203945</c:v>
                </c:pt>
                <c:pt idx="20">
                  <c:v>1.0727258939066469</c:v>
                </c:pt>
                <c:pt idx="21">
                  <c:v>1.0992207939938572</c:v>
                </c:pt>
                <c:pt idx="22">
                  <c:v>1.1132850516310873</c:v>
                </c:pt>
                <c:pt idx="23">
                  <c:v>1.1303700754559587</c:v>
                </c:pt>
                <c:pt idx="24">
                  <c:v>1.1404624679280577</c:v>
                </c:pt>
                <c:pt idx="25">
                  <c:v>1.1396598794221362</c:v>
                </c:pt>
                <c:pt idx="26">
                  <c:v>1.1511267837055574</c:v>
                </c:pt>
                <c:pt idx="27">
                  <c:v>1.1525076151114144</c:v>
                </c:pt>
                <c:pt idx="28">
                  <c:v>1.1470538050278694</c:v>
                </c:pt>
                <c:pt idx="29">
                  <c:v>1.1511836600563707</c:v>
                </c:pt>
                <c:pt idx="30">
                  <c:v>1.1603691907127238</c:v>
                </c:pt>
                <c:pt idx="31">
                  <c:v>1.1581541728282714</c:v>
                </c:pt>
                <c:pt idx="32">
                  <c:v>1.153032141457804</c:v>
                </c:pt>
                <c:pt idx="33">
                  <c:v>1.1441341523527848</c:v>
                </c:pt>
                <c:pt idx="34">
                  <c:v>1.141565237174383</c:v>
                </c:pt>
                <c:pt idx="35">
                  <c:v>1.1444817300521999</c:v>
                </c:pt>
                <c:pt idx="36">
                  <c:v>1.1415115206208368</c:v>
                </c:pt>
                <c:pt idx="37">
                  <c:v>1.1360229527673502</c:v>
                </c:pt>
                <c:pt idx="38">
                  <c:v>1.1406330969804976</c:v>
                </c:pt>
                <c:pt idx="39">
                  <c:v>1.1447534726171968</c:v>
                </c:pt>
                <c:pt idx="40">
                  <c:v>1.1427248827715213</c:v>
                </c:pt>
                <c:pt idx="41">
                  <c:v>1.1399379415816682</c:v>
                </c:pt>
                <c:pt idx="42">
                  <c:v>1.1276937271704648</c:v>
                </c:pt>
                <c:pt idx="43">
                  <c:v>1.1090509232927614</c:v>
                </c:pt>
                <c:pt idx="44">
                  <c:v>1.1028292824732364</c:v>
                </c:pt>
                <c:pt idx="45">
                  <c:v>1.1071803233104562</c:v>
                </c:pt>
                <c:pt idx="46">
                  <c:v>1.1136105107496301</c:v>
                </c:pt>
                <c:pt idx="47">
                  <c:v>1.1217817464831457</c:v>
                </c:pt>
                <c:pt idx="48">
                  <c:v>1.1227992012032506</c:v>
                </c:pt>
                <c:pt idx="49">
                  <c:v>1.128294088651272</c:v>
                </c:pt>
                <c:pt idx="50">
                  <c:v>1.1225653762054626</c:v>
                </c:pt>
                <c:pt idx="51">
                  <c:v>1.131908896725186</c:v>
                </c:pt>
                <c:pt idx="52">
                  <c:v>1.1405035452925341</c:v>
                </c:pt>
                <c:pt idx="53">
                  <c:v>1.1250552964521796</c:v>
                </c:pt>
                <c:pt idx="54">
                  <c:v>1.123693423829927</c:v>
                </c:pt>
                <c:pt idx="55">
                  <c:v>1.1317603862536179</c:v>
                </c:pt>
                <c:pt idx="56">
                  <c:v>1.1376376091709954</c:v>
                </c:pt>
                <c:pt idx="57">
                  <c:v>1.1319057369279186</c:v>
                </c:pt>
                <c:pt idx="58">
                  <c:v>1.1348253896030029</c:v>
                </c:pt>
                <c:pt idx="59">
                  <c:v>1.1290366410091128</c:v>
                </c:pt>
                <c:pt idx="60">
                  <c:v>1.1253839153679899</c:v>
                </c:pt>
                <c:pt idx="61">
                  <c:v>1.1282277329086565</c:v>
                </c:pt>
                <c:pt idx="62">
                  <c:v>1.1300130183647417</c:v>
                </c:pt>
                <c:pt idx="63">
                  <c:v>1.1146342850642703</c:v>
                </c:pt>
                <c:pt idx="64">
                  <c:v>1.1280255058835424</c:v>
                </c:pt>
                <c:pt idx="65">
                  <c:v>1.1343387808238221</c:v>
                </c:pt>
                <c:pt idx="66">
                  <c:v>1.1323101909781468</c:v>
                </c:pt>
                <c:pt idx="67">
                  <c:v>1.1261580656985046</c:v>
                </c:pt>
                <c:pt idx="68">
                  <c:v>1.1315960767957127</c:v>
                </c:pt>
                <c:pt idx="69">
                  <c:v>1.1257251734728699</c:v>
                </c:pt>
                <c:pt idx="70">
                  <c:v>1.1309925555176379</c:v>
                </c:pt>
                <c:pt idx="71">
                  <c:v>1.1253333586117114</c:v>
                </c:pt>
                <c:pt idx="72">
                  <c:v>1.1209254414236782</c:v>
                </c:pt>
                <c:pt idx="73">
                  <c:v>1.1264045298853624</c:v>
                </c:pt>
                <c:pt idx="74">
                  <c:v>1.1203756366991493</c:v>
                </c:pt>
                <c:pt idx="75">
                  <c:v>1.1237439805862055</c:v>
                </c:pt>
                <c:pt idx="76">
                  <c:v>1.1294758528292823</c:v>
                </c:pt>
                <c:pt idx="77">
                  <c:v>1.1355553027717742</c:v>
                </c:pt>
                <c:pt idx="78">
                  <c:v>1.1414767628508955</c:v>
                </c:pt>
                <c:pt idx="79">
                  <c:v>1.1549185404264461</c:v>
                </c:pt>
                <c:pt idx="80">
                  <c:v>1.1560971448071891</c:v>
                </c:pt>
                <c:pt idx="81">
                  <c:v>1.1635511065610029</c:v>
                </c:pt>
                <c:pt idx="82">
                  <c:v>1.1659525524842325</c:v>
                </c:pt>
                <c:pt idx="83">
                  <c:v>1.1655860160012133</c:v>
                </c:pt>
                <c:pt idx="84">
                  <c:v>1.1683034416511837</c:v>
                </c:pt>
                <c:pt idx="85">
                  <c:v>1.1571746356753749</c:v>
                </c:pt>
                <c:pt idx="86">
                  <c:v>1.1540306373943048</c:v>
                </c:pt>
                <c:pt idx="87">
                  <c:v>1.1492814621013914</c:v>
                </c:pt>
                <c:pt idx="88">
                  <c:v>1.1348285494002703</c:v>
                </c:pt>
                <c:pt idx="89">
                  <c:v>1.1409048395454946</c:v>
                </c:pt>
                <c:pt idx="90">
                  <c:v>1.1403297564428265</c:v>
                </c:pt>
                <c:pt idx="91">
                  <c:v>1.1391353530757466</c:v>
                </c:pt>
                <c:pt idx="92">
                  <c:v>1.138184254098257</c:v>
                </c:pt>
                <c:pt idx="93">
                  <c:v>1.1437360178970917</c:v>
                </c:pt>
                <c:pt idx="94">
                  <c:v>1.1399821787434117</c:v>
                </c:pt>
                <c:pt idx="95">
                  <c:v>1.1395082091533006</c:v>
                </c:pt>
                <c:pt idx="96">
                  <c:v>1.1389647240233067</c:v>
                </c:pt>
                <c:pt idx="97">
                  <c:v>1.1392775439527798</c:v>
                </c:pt>
                <c:pt idx="98">
                  <c:v>1.1398621064472503</c:v>
                </c:pt>
                <c:pt idx="99">
                  <c:v>1.13714468079728</c:v>
                </c:pt>
                <c:pt idx="100">
                  <c:v>1.1408448033974139</c:v>
                </c:pt>
                <c:pt idx="101">
                  <c:v>1.1358997206739214</c:v>
                </c:pt>
                <c:pt idx="102">
                  <c:v>1.1260379934023432</c:v>
                </c:pt>
                <c:pt idx="103">
                  <c:v>1.1233616451168493</c:v>
                </c:pt>
                <c:pt idx="104">
                  <c:v>1.1174243860513908</c:v>
                </c:pt>
                <c:pt idx="105">
                  <c:v>1.1178762370606301</c:v>
                </c:pt>
                <c:pt idx="106">
                  <c:v>1.1190169238741641</c:v>
                </c:pt>
                <c:pt idx="107">
                  <c:v>1.1184386809742286</c:v>
                </c:pt>
                <c:pt idx="108">
                  <c:v>1.1140023256107887</c:v>
                </c:pt>
                <c:pt idx="109">
                  <c:v>1.1157812914723391</c:v>
                </c:pt>
                <c:pt idx="110">
                  <c:v>1.1143783414856101</c:v>
                </c:pt>
                <c:pt idx="111">
                  <c:v>1.1108425283433814</c:v>
                </c:pt>
                <c:pt idx="112">
                  <c:v>1.1142961867566576</c:v>
                </c:pt>
                <c:pt idx="113">
                  <c:v>1.1132408144693435</c:v>
                </c:pt>
                <c:pt idx="114">
                  <c:v>1.1098977489604267</c:v>
                </c:pt>
                <c:pt idx="115">
                  <c:v>1.1044091811069401</c:v>
                </c:pt>
                <c:pt idx="116">
                  <c:v>1.0894001440867553</c:v>
                </c:pt>
                <c:pt idx="117">
                  <c:v>1.0893906646949532</c:v>
                </c:pt>
                <c:pt idx="118">
                  <c:v>1.0850111856823266</c:v>
                </c:pt>
                <c:pt idx="119">
                  <c:v>1.0809224080183015</c:v>
                </c:pt>
                <c:pt idx="120">
                  <c:v>1.0881962613278731</c:v>
                </c:pt>
                <c:pt idx="121">
                  <c:v>1.0811151556516132</c:v>
                </c:pt>
                <c:pt idx="122">
                  <c:v>1.075503355704698</c:v>
                </c:pt>
                <c:pt idx="123">
                  <c:v>1.0706088297374838</c:v>
                </c:pt>
                <c:pt idx="124">
                  <c:v>1.0809761245718474</c:v>
                </c:pt>
                <c:pt idx="125">
                  <c:v>1.0865120893843452</c:v>
                </c:pt>
                <c:pt idx="126">
                  <c:v>1.0884648440956028</c:v>
                </c:pt>
                <c:pt idx="127">
                  <c:v>1.0865373677624843</c:v>
                </c:pt>
                <c:pt idx="128">
                  <c:v>1.0918963839280071</c:v>
                </c:pt>
                <c:pt idx="129">
                  <c:v>1.0817660738886994</c:v>
                </c:pt>
                <c:pt idx="130">
                  <c:v>1.0888756177403658</c:v>
                </c:pt>
                <c:pt idx="131">
                  <c:v>1.0939123345846129</c:v>
                </c:pt>
                <c:pt idx="132">
                  <c:v>1.1010534764089537</c:v>
                </c:pt>
                <c:pt idx="133">
                  <c:v>1.0938933758010085</c:v>
                </c:pt>
                <c:pt idx="134">
                  <c:v>1.0903386038751752</c:v>
                </c:pt>
                <c:pt idx="135">
                  <c:v>1.0763343823860261</c:v>
                </c:pt>
                <c:pt idx="136">
                  <c:v>1.0849290309533739</c:v>
                </c:pt>
                <c:pt idx="137">
                  <c:v>1.0959598832138928</c:v>
                </c:pt>
                <c:pt idx="138">
                  <c:v>1.1108678067215207</c:v>
                </c:pt>
                <c:pt idx="139">
                  <c:v>1.1077617260076593</c:v>
                </c:pt>
                <c:pt idx="140">
                  <c:v>1.1082704533677119</c:v>
                </c:pt>
                <c:pt idx="141">
                  <c:v>1.0953026453822721</c:v>
                </c:pt>
                <c:pt idx="142">
                  <c:v>1.0930749883087501</c:v>
                </c:pt>
                <c:pt idx="143">
                  <c:v>1.0987847419709551</c:v>
                </c:pt>
                <c:pt idx="144">
                  <c:v>1.0899278302304123</c:v>
                </c:pt>
                <c:pt idx="145">
                  <c:v>1.0957323778106396</c:v>
                </c:pt>
                <c:pt idx="146">
                  <c:v>1.1037614226671215</c:v>
                </c:pt>
                <c:pt idx="147">
                  <c:v>1.1031452621999771</c:v>
                </c:pt>
                <c:pt idx="148">
                  <c:v>1.0975682200230032</c:v>
                </c:pt>
                <c:pt idx="149">
                  <c:v>1.0911317129892946</c:v>
                </c:pt>
                <c:pt idx="150">
                  <c:v>1.0906703825882531</c:v>
                </c:pt>
                <c:pt idx="151">
                  <c:v>1.1057678939319251</c:v>
                </c:pt>
                <c:pt idx="152">
                  <c:v>1.1060175179160505</c:v>
                </c:pt>
                <c:pt idx="153">
                  <c:v>1.0991923558184507</c:v>
                </c:pt>
                <c:pt idx="154">
                  <c:v>1.111095312124774</c:v>
                </c:pt>
                <c:pt idx="155">
                  <c:v>1.1141255577042177</c:v>
                </c:pt>
                <c:pt idx="156">
                  <c:v>1.1147227593877576</c:v>
                </c:pt>
                <c:pt idx="157">
                  <c:v>1.1107414148308243</c:v>
                </c:pt>
                <c:pt idx="158">
                  <c:v>1.0947054436987322</c:v>
                </c:pt>
                <c:pt idx="159">
                  <c:v>1.0989964483878714</c:v>
                </c:pt>
                <c:pt idx="160">
                  <c:v>1.0945032166736182</c:v>
                </c:pt>
                <c:pt idx="161">
                  <c:v>1.0939407727600197</c:v>
                </c:pt>
                <c:pt idx="162">
                  <c:v>1.0991070412922306</c:v>
                </c:pt>
                <c:pt idx="163">
                  <c:v>1.1033411696305564</c:v>
                </c:pt>
                <c:pt idx="164">
                  <c:v>1.0875643018743917</c:v>
                </c:pt>
                <c:pt idx="165">
                  <c:v>1.0968699048269062</c:v>
                </c:pt>
                <c:pt idx="166">
                  <c:v>1.1172095198372072</c:v>
                </c:pt>
                <c:pt idx="167">
                  <c:v>1.1180373867212678</c:v>
                </c:pt>
                <c:pt idx="168">
                  <c:v>1.1254439515160708</c:v>
                </c:pt>
                <c:pt idx="169">
                  <c:v>1.1197310380565981</c:v>
                </c:pt>
                <c:pt idx="170">
                  <c:v>1.1235480731556264</c:v>
                </c:pt>
                <c:pt idx="171">
                  <c:v>1.1231025417409217</c:v>
                </c:pt>
                <c:pt idx="172">
                  <c:v>1.1250963738166557</c:v>
                </c:pt>
                <c:pt idx="173">
                  <c:v>1.1310747102465906</c:v>
                </c:pt>
                <c:pt idx="174">
                  <c:v>1.1197942340019464</c:v>
                </c:pt>
                <c:pt idx="175">
                  <c:v>1.1139738874353822</c:v>
                </c:pt>
                <c:pt idx="176">
                  <c:v>1.1208274877083886</c:v>
                </c:pt>
                <c:pt idx="177">
                  <c:v>1.1242147903790491</c:v>
                </c:pt>
                <c:pt idx="178">
                  <c:v>1.1198163525828182</c:v>
                </c:pt>
                <c:pt idx="179">
                  <c:v>1.1331254186731379</c:v>
                </c:pt>
                <c:pt idx="180">
                  <c:v>1.1261138285367611</c:v>
                </c:pt>
                <c:pt idx="181">
                  <c:v>1.1213614934465805</c:v>
                </c:pt>
                <c:pt idx="182">
                  <c:v>1.1230488251873758</c:v>
                </c:pt>
                <c:pt idx="183">
                  <c:v>1.1349423021018972</c:v>
                </c:pt>
                <c:pt idx="184">
                  <c:v>1.1271060048787269</c:v>
                </c:pt>
                <c:pt idx="185">
                  <c:v>1.1231783768753396</c:v>
                </c:pt>
                <c:pt idx="186">
                  <c:v>1.1308977615996156</c:v>
                </c:pt>
                <c:pt idx="187">
                  <c:v>1.1326451294884921</c:v>
                </c:pt>
                <c:pt idx="188">
                  <c:v>1.1332992075228452</c:v>
                </c:pt>
                <c:pt idx="189">
                  <c:v>1.1359565970247349</c:v>
                </c:pt>
                <c:pt idx="190">
                  <c:v>1.1301109720800313</c:v>
                </c:pt>
                <c:pt idx="191">
                  <c:v>1.1334224396162742</c:v>
                </c:pt>
                <c:pt idx="192">
                  <c:v>1.1255893021903713</c:v>
                </c:pt>
                <c:pt idx="193">
                  <c:v>1.1327336038119793</c:v>
                </c:pt>
                <c:pt idx="194">
                  <c:v>1.1507634070198054</c:v>
                </c:pt>
                <c:pt idx="195">
                  <c:v>1.1507602472225382</c:v>
                </c:pt>
                <c:pt idx="196">
                  <c:v>1.1493825756139486</c:v>
                </c:pt>
                <c:pt idx="197">
                  <c:v>1.1449683388313805</c:v>
                </c:pt>
                <c:pt idx="198">
                  <c:v>1.1519799289677572</c:v>
                </c:pt>
                <c:pt idx="199">
                  <c:v>1.1530353012550714</c:v>
                </c:pt>
                <c:pt idx="200">
                  <c:v>1.1508329225596885</c:v>
                </c:pt>
                <c:pt idx="201">
                  <c:v>1.1561034644017238</c:v>
                </c:pt>
                <c:pt idx="202">
                  <c:v>1.1463365310481679</c:v>
                </c:pt>
                <c:pt idx="203">
                  <c:v>1.1331822950239512</c:v>
                </c:pt>
                <c:pt idx="204">
                  <c:v>1.1306418180209556</c:v>
                </c:pt>
                <c:pt idx="205">
                  <c:v>1.1247582755090433</c:v>
                </c:pt>
                <c:pt idx="206">
                  <c:v>1.125927400497984</c:v>
                </c:pt>
                <c:pt idx="207">
                  <c:v>1.130799807884326</c:v>
                </c:pt>
                <c:pt idx="208">
                  <c:v>1.1322059176683223</c:v>
                </c:pt>
                <c:pt idx="209">
                  <c:v>1.1303795548477609</c:v>
                </c:pt>
                <c:pt idx="210">
                  <c:v>1.0870555745143391</c:v>
                </c:pt>
                <c:pt idx="211">
                  <c:v>1.0869797393799214</c:v>
                </c:pt>
                <c:pt idx="212">
                  <c:v>1.0809634853827776</c:v>
                </c:pt>
                <c:pt idx="213">
                  <c:v>1.0774213526460141</c:v>
                </c:pt>
                <c:pt idx="214">
                  <c:v>1.0895802525309977</c:v>
                </c:pt>
                <c:pt idx="215">
                  <c:v>1.0959788419974974</c:v>
                </c:pt>
                <c:pt idx="216">
                  <c:v>1.0964622909794106</c:v>
                </c:pt>
                <c:pt idx="217">
                  <c:v>1.0997484801375144</c:v>
                </c:pt>
                <c:pt idx="218">
                  <c:v>1.104601928740252</c:v>
                </c:pt>
                <c:pt idx="219">
                  <c:v>1.1026333750426573</c:v>
                </c:pt>
                <c:pt idx="220">
                  <c:v>1.0972648794853321</c:v>
                </c:pt>
                <c:pt idx="221">
                  <c:v>1.1062229047384318</c:v>
                </c:pt>
                <c:pt idx="222">
                  <c:v>1.1001086970259988</c:v>
                </c:pt>
                <c:pt idx="223">
                  <c:v>1.0981148649502648</c:v>
                </c:pt>
                <c:pt idx="224">
                  <c:v>1.0948918717375093</c:v>
                </c:pt>
                <c:pt idx="225">
                  <c:v>1.0860665579696405</c:v>
                </c:pt>
                <c:pt idx="226">
                  <c:v>1.0882815758540931</c:v>
                </c:pt>
                <c:pt idx="227">
                  <c:v>1.090818893059821</c:v>
                </c:pt>
                <c:pt idx="228">
                  <c:v>1.0808718512620228</c:v>
                </c:pt>
                <c:pt idx="229">
                  <c:v>1.0836903904245503</c:v>
                </c:pt>
                <c:pt idx="230">
                  <c:v>1.0861739910767325</c:v>
                </c:pt>
                <c:pt idx="231">
                  <c:v>1.0896276494900086</c:v>
                </c:pt>
                <c:pt idx="232">
                  <c:v>1.0869576207990495</c:v>
                </c:pt>
                <c:pt idx="233">
                  <c:v>1.0772760019717136</c:v>
                </c:pt>
                <c:pt idx="234">
                  <c:v>1.0741509624742476</c:v>
                </c:pt>
                <c:pt idx="235">
                  <c:v>1.0792255968857036</c:v>
                </c:pt>
                <c:pt idx="236">
                  <c:v>1.0794720610725614</c:v>
                </c:pt>
                <c:pt idx="237">
                  <c:v>1.0774561104159557</c:v>
                </c:pt>
                <c:pt idx="238">
                  <c:v>1.0710512013549209</c:v>
                </c:pt>
                <c:pt idx="239">
                  <c:v>1.0696292925845876</c:v>
                </c:pt>
                <c:pt idx="240">
                  <c:v>1.070368685145161</c:v>
                </c:pt>
                <c:pt idx="241">
                  <c:v>1.0754022421921408</c:v>
                </c:pt>
                <c:pt idx="242">
                  <c:v>1.069499740896624</c:v>
                </c:pt>
                <c:pt idx="243">
                  <c:v>1.0712344695964306</c:v>
                </c:pt>
                <c:pt idx="244">
                  <c:v>1.0489294606858024</c:v>
                </c:pt>
                <c:pt idx="245">
                  <c:v>1.0456717097031054</c:v>
                </c:pt>
                <c:pt idx="246">
                  <c:v>1.0440254553267863</c:v>
                </c:pt>
                <c:pt idx="247">
                  <c:v>1.0534637697645319</c:v>
                </c:pt>
                <c:pt idx="248">
                  <c:v>1.055141622113525</c:v>
                </c:pt>
                <c:pt idx="249">
                  <c:v>1.0551605808971296</c:v>
                </c:pt>
                <c:pt idx="250">
                  <c:v>1.0455168796370025</c:v>
                </c:pt>
                <c:pt idx="251">
                  <c:v>1.0462215144276343</c:v>
                </c:pt>
                <c:pt idx="252">
                  <c:v>1.0502249775654393</c:v>
                </c:pt>
                <c:pt idx="253">
                  <c:v>1.0455421580151416</c:v>
                </c:pt>
                <c:pt idx="254">
                  <c:v>1.0443856722152707</c:v>
                </c:pt>
                <c:pt idx="255">
                  <c:v>1.0335159696153893</c:v>
                </c:pt>
                <c:pt idx="256">
                  <c:v>1.035715188513505</c:v>
                </c:pt>
                <c:pt idx="257">
                  <c:v>1.0231549943755607</c:v>
                </c:pt>
                <c:pt idx="258">
                  <c:v>1.0224187616122549</c:v>
                </c:pt>
                <c:pt idx="259">
                  <c:v>1.0232403089017807</c:v>
                </c:pt>
                <c:pt idx="260">
                  <c:v>1.0342364033923583</c:v>
                </c:pt>
                <c:pt idx="261">
                  <c:v>1.0487777904169668</c:v>
                </c:pt>
                <c:pt idx="262">
                  <c:v>1.0509959680986867</c:v>
                </c:pt>
                <c:pt idx="263">
                  <c:v>1.0368969526915153</c:v>
                </c:pt>
                <c:pt idx="264">
                  <c:v>1.0342142848114864</c:v>
                </c:pt>
                <c:pt idx="265">
                  <c:v>1.0425561495974418</c:v>
                </c:pt>
                <c:pt idx="266">
                  <c:v>1.0396775742868336</c:v>
                </c:pt>
                <c:pt idx="267">
                  <c:v>1.0408372198839722</c:v>
                </c:pt>
                <c:pt idx="268">
                  <c:v>1.0380060415323753</c:v>
                </c:pt>
                <c:pt idx="269">
                  <c:v>1.050424044793286</c:v>
                </c:pt>
                <c:pt idx="270">
                  <c:v>1.0385305678787649</c:v>
                </c:pt>
                <c:pt idx="271">
                  <c:v>1.0452419772747379</c:v>
                </c:pt>
                <c:pt idx="272">
                  <c:v>1.0446953323474766</c:v>
                </c:pt>
                <c:pt idx="273">
                  <c:v>1.045567436393281</c:v>
                </c:pt>
                <c:pt idx="274">
                  <c:v>1.0494223890595178</c:v>
                </c:pt>
                <c:pt idx="275">
                  <c:v>1.0479372843438364</c:v>
                </c:pt>
                <c:pt idx="276">
                  <c:v>1.0482690630569143</c:v>
                </c:pt>
                <c:pt idx="277">
                  <c:v>1.0474791137400623</c:v>
                </c:pt>
                <c:pt idx="278">
                  <c:v>1.0397376104349145</c:v>
                </c:pt>
                <c:pt idx="279">
                  <c:v>1.0338098307612584</c:v>
                </c:pt>
                <c:pt idx="280">
                  <c:v>1.0360090496593737</c:v>
                </c:pt>
                <c:pt idx="281">
                  <c:v>1.0359490135112932</c:v>
                </c:pt>
                <c:pt idx="282">
                  <c:v>1.0345081459573553</c:v>
                </c:pt>
                <c:pt idx="283">
                  <c:v>1.0330988763760918</c:v>
                </c:pt>
                <c:pt idx="284">
                  <c:v>1.0334906912372501</c:v>
                </c:pt>
                <c:pt idx="285">
                  <c:v>1.0362270756708249</c:v>
                </c:pt>
                <c:pt idx="286">
                  <c:v>1.0294145527622947</c:v>
                </c:pt>
                <c:pt idx="287">
                  <c:v>1.0298537645824644</c:v>
                </c:pt>
                <c:pt idx="288">
                  <c:v>1.0268519571784274</c:v>
                </c:pt>
                <c:pt idx="289">
                  <c:v>1.0148352481704774</c:v>
                </c:pt>
                <c:pt idx="290">
                  <c:v>1.0227347413389956</c:v>
                </c:pt>
                <c:pt idx="291">
                  <c:v>1.0108539036135442</c:v>
                </c:pt>
                <c:pt idx="292">
                  <c:v>1.0103578154425612</c:v>
                </c:pt>
                <c:pt idx="293">
                  <c:v>1.0066450536533575</c:v>
                </c:pt>
                <c:pt idx="294">
                  <c:v>0.99288413655379859</c:v>
                </c:pt>
                <c:pt idx="295">
                  <c:v>0.9797772974885931</c:v>
                </c:pt>
                <c:pt idx="296">
                  <c:v>0.96460711080777051</c:v>
                </c:pt>
                <c:pt idx="297">
                  <c:v>0.95271995348778415</c:v>
                </c:pt>
                <c:pt idx="298">
                  <c:v>0.95772823215662473</c:v>
                </c:pt>
                <c:pt idx="299">
                  <c:v>0.96424689391928609</c:v>
                </c:pt>
                <c:pt idx="300">
                  <c:v>0.96007912132357587</c:v>
                </c:pt>
                <c:pt idx="301">
                  <c:v>0.95324763963144121</c:v>
                </c:pt>
                <c:pt idx="302">
                  <c:v>0.96322627940191352</c:v>
                </c:pt>
                <c:pt idx="303">
                  <c:v>0.95809476863964393</c:v>
                </c:pt>
                <c:pt idx="304">
                  <c:v>0.96194656150861357</c:v>
                </c:pt>
                <c:pt idx="305">
                  <c:v>0.95835703181283871</c:v>
                </c:pt>
                <c:pt idx="306">
                  <c:v>0.95452103793020626</c:v>
                </c:pt>
                <c:pt idx="307">
                  <c:v>0.96114397300269205</c:v>
                </c:pt>
                <c:pt idx="308">
                  <c:v>0.95626840581908257</c:v>
                </c:pt>
                <c:pt idx="309">
                  <c:v>0.96364969223574604</c:v>
                </c:pt>
                <c:pt idx="310">
                  <c:v>0.96051517334647807</c:v>
                </c:pt>
                <c:pt idx="311">
                  <c:v>0.95742489161895361</c:v>
                </c:pt>
                <c:pt idx="312">
                  <c:v>0.96266067569104763</c:v>
                </c:pt>
                <c:pt idx="313">
                  <c:v>0.96572567904043272</c:v>
                </c:pt>
                <c:pt idx="314">
                  <c:v>0.95534258521973214</c:v>
                </c:pt>
                <c:pt idx="315">
                  <c:v>0.95087147208635092</c:v>
                </c:pt>
                <c:pt idx="316">
                  <c:v>0.93357158204729584</c:v>
                </c:pt>
                <c:pt idx="317">
                  <c:v>0.93956255766630004</c:v>
                </c:pt>
                <c:pt idx="318">
                  <c:v>0.94167330224092816</c:v>
                </c:pt>
                <c:pt idx="319">
                  <c:v>0.9552541108962449</c:v>
                </c:pt>
                <c:pt idx="320">
                  <c:v>0.96539706012462234</c:v>
                </c:pt>
                <c:pt idx="321">
                  <c:v>0.97297741376913238</c:v>
                </c:pt>
                <c:pt idx="322">
                  <c:v>0.9748511735487051</c:v>
                </c:pt>
                <c:pt idx="323">
                  <c:v>0.97352721849366142</c:v>
                </c:pt>
                <c:pt idx="324">
                  <c:v>0.97555896813660425</c:v>
                </c:pt>
                <c:pt idx="325">
                  <c:v>0.9775970373740821</c:v>
                </c:pt>
                <c:pt idx="326">
                  <c:v>0.97247500600361481</c:v>
                </c:pt>
                <c:pt idx="327">
                  <c:v>0.97215270668233922</c:v>
                </c:pt>
                <c:pt idx="328">
                  <c:v>0.9656150861360735</c:v>
                </c:pt>
                <c:pt idx="329">
                  <c:v>0.96278706758174382</c:v>
                </c:pt>
                <c:pt idx="330">
                  <c:v>0.95069452343937599</c:v>
                </c:pt>
                <c:pt idx="331">
                  <c:v>0.95589870953879597</c:v>
                </c:pt>
                <c:pt idx="332">
                  <c:v>0.94005232624274815</c:v>
                </c:pt>
                <c:pt idx="333">
                  <c:v>0.95047649742792506</c:v>
                </c:pt>
                <c:pt idx="334">
                  <c:v>0.95447680076846264</c:v>
                </c:pt>
                <c:pt idx="335">
                  <c:v>0.95923861525044551</c:v>
                </c:pt>
                <c:pt idx="336">
                  <c:v>0.94864697481009608</c:v>
                </c:pt>
                <c:pt idx="337">
                  <c:v>0.94527863092303988</c:v>
                </c:pt>
                <c:pt idx="338">
                  <c:v>0.94513012045147182</c:v>
                </c:pt>
                <c:pt idx="339">
                  <c:v>0.93872521139043719</c:v>
                </c:pt>
                <c:pt idx="340">
                  <c:v>0.94031774921321043</c:v>
                </c:pt>
                <c:pt idx="341">
                  <c:v>0.95814848519318996</c:v>
                </c:pt>
                <c:pt idx="342">
                  <c:v>0.96427217229742535</c:v>
                </c:pt>
                <c:pt idx="343">
                  <c:v>0.94230842149167693</c:v>
                </c:pt>
                <c:pt idx="344">
                  <c:v>0.93683565262452762</c:v>
                </c:pt>
                <c:pt idx="345">
                  <c:v>0.93792578268178306</c:v>
                </c:pt>
                <c:pt idx="346">
                  <c:v>0.93684829181359719</c:v>
                </c:pt>
                <c:pt idx="347">
                  <c:v>0.93997649110833048</c:v>
                </c:pt>
                <c:pt idx="348">
                  <c:v>0.95200899910261749</c:v>
                </c:pt>
                <c:pt idx="349">
                  <c:v>0.96474930168480377</c:v>
                </c:pt>
                <c:pt idx="350">
                  <c:v>0.97433612659411761</c:v>
                </c:pt>
                <c:pt idx="351">
                  <c:v>0.97690188197525241</c:v>
                </c:pt>
                <c:pt idx="352">
                  <c:v>0.97010831785032658</c:v>
                </c:pt>
                <c:pt idx="353">
                  <c:v>0.97313540363250284</c:v>
                </c:pt>
                <c:pt idx="354">
                  <c:v>0.95346566564289226</c:v>
                </c:pt>
                <c:pt idx="355">
                  <c:v>0.95524779130171</c:v>
                </c:pt>
                <c:pt idx="356">
                  <c:v>0.95765555681947445</c:v>
                </c:pt>
                <c:pt idx="357">
                  <c:v>0.94746521063208577</c:v>
                </c:pt>
                <c:pt idx="358">
                  <c:v>0.95121273019123087</c:v>
                </c:pt>
                <c:pt idx="359">
                  <c:v>0.94404946978601845</c:v>
                </c:pt>
                <c:pt idx="360">
                  <c:v>0.95065344607489977</c:v>
                </c:pt>
                <c:pt idx="361">
                  <c:v>0.94595798733553249</c:v>
                </c:pt>
                <c:pt idx="362">
                  <c:v>0.93541690365146157</c:v>
                </c:pt>
                <c:pt idx="363">
                  <c:v>0.93789102491184151</c:v>
                </c:pt>
                <c:pt idx="364">
                  <c:v>0.9464540755065155</c:v>
                </c:pt>
                <c:pt idx="365">
                  <c:v>0.94179021473982216</c:v>
                </c:pt>
                <c:pt idx="366">
                  <c:v>0.95305489199812932</c:v>
                </c:pt>
                <c:pt idx="367">
                  <c:v>0.9626796344746521</c:v>
                </c:pt>
                <c:pt idx="368">
                  <c:v>0.96213930914192536</c:v>
                </c:pt>
                <c:pt idx="369">
                  <c:v>0.96343166622429499</c:v>
                </c:pt>
                <c:pt idx="370">
                  <c:v>0.95377216597783077</c:v>
                </c:pt>
                <c:pt idx="371">
                  <c:v>0.95715946864849144</c:v>
                </c:pt>
                <c:pt idx="372">
                  <c:v>0.94254224648946516</c:v>
                </c:pt>
                <c:pt idx="373">
                  <c:v>0.93963207320618303</c:v>
                </c:pt>
                <c:pt idx="374">
                  <c:v>0.92655999191091898</c:v>
                </c:pt>
                <c:pt idx="375">
                  <c:v>0.91983594332587615</c:v>
                </c:pt>
                <c:pt idx="376">
                  <c:v>0.91854674604077402</c:v>
                </c:pt>
                <c:pt idx="377">
                  <c:v>0.93760980295504237</c:v>
                </c:pt>
                <c:pt idx="378">
                  <c:v>0.9450195275471126</c:v>
                </c:pt>
                <c:pt idx="379">
                  <c:v>0.93722746748568597</c:v>
                </c:pt>
                <c:pt idx="380">
                  <c:v>0.94777487076429168</c:v>
                </c:pt>
                <c:pt idx="381">
                  <c:v>0.94127200798796751</c:v>
                </c:pt>
                <c:pt idx="382">
                  <c:v>0.93947724314007997</c:v>
                </c:pt>
                <c:pt idx="383">
                  <c:v>0.93916442321060678</c:v>
                </c:pt>
                <c:pt idx="384">
                  <c:v>0.93798265903259637</c:v>
                </c:pt>
                <c:pt idx="385">
                  <c:v>0.93749605025341565</c:v>
                </c:pt>
                <c:pt idx="386">
                  <c:v>0.9261681770497604</c:v>
                </c:pt>
                <c:pt idx="387">
                  <c:v>0.93187793071196545</c:v>
                </c:pt>
                <c:pt idx="388">
                  <c:v>0.93487341852146766</c:v>
                </c:pt>
                <c:pt idx="389">
                  <c:v>0.93627004891366172</c:v>
                </c:pt>
                <c:pt idx="390">
                  <c:v>0.9246009176051263</c:v>
                </c:pt>
                <c:pt idx="391">
                  <c:v>0.92690756961033371</c:v>
                </c:pt>
                <c:pt idx="392">
                  <c:v>0.91170262515956979</c:v>
                </c:pt>
                <c:pt idx="393">
                  <c:v>0.89675362428746574</c:v>
                </c:pt>
                <c:pt idx="394">
                  <c:v>0.87845523831190986</c:v>
                </c:pt>
                <c:pt idx="395">
                  <c:v>0.87253693803005594</c:v>
                </c:pt>
                <c:pt idx="396">
                  <c:v>0.88881305375447106</c:v>
                </c:pt>
                <c:pt idx="397">
                  <c:v>0.91098851097713562</c:v>
                </c:pt>
                <c:pt idx="398">
                  <c:v>0.9051997623832454</c:v>
                </c:pt>
                <c:pt idx="399">
                  <c:v>0.89491146248056719</c:v>
                </c:pt>
                <c:pt idx="400">
                  <c:v>0.87168379276785601</c:v>
                </c:pt>
                <c:pt idx="401">
                  <c:v>0.85233635409952091</c:v>
                </c:pt>
                <c:pt idx="402">
                  <c:v>0.8771881596076796</c:v>
                </c:pt>
                <c:pt idx="403">
                  <c:v>0.95990217267660105</c:v>
                </c:pt>
                <c:pt idx="404">
                  <c:v>0.9410855799491904</c:v>
                </c:pt>
                <c:pt idx="405">
                  <c:v>0.93761928234684466</c:v>
                </c:pt>
                <c:pt idx="406">
                  <c:v>0.92989041823076624</c:v>
                </c:pt>
                <c:pt idx="407">
                  <c:v>0.90027995803789229</c:v>
                </c:pt>
                <c:pt idx="408">
                  <c:v>0.89084164360014662</c:v>
                </c:pt>
                <c:pt idx="409">
                  <c:v>0.89431742059429464</c:v>
                </c:pt>
                <c:pt idx="410">
                  <c:v>0.8838521720446415</c:v>
                </c:pt>
                <c:pt idx="411">
                  <c:v>0.90165446984921438</c:v>
                </c:pt>
                <c:pt idx="412">
                  <c:v>0.95418293962259382</c:v>
                </c:pt>
                <c:pt idx="413">
                  <c:v>0.96079639530327732</c:v>
                </c:pt>
                <c:pt idx="414">
                  <c:v>0.94853954170300425</c:v>
                </c:pt>
                <c:pt idx="415">
                  <c:v>0.94716502989168216</c:v>
                </c:pt>
                <c:pt idx="416">
                  <c:v>0.95863825376963807</c:v>
                </c:pt>
                <c:pt idx="417">
                  <c:v>0.96018971422793509</c:v>
                </c:pt>
                <c:pt idx="418">
                  <c:v>0.96799757327569858</c:v>
                </c:pt>
                <c:pt idx="419">
                  <c:v>0.97273726917680958</c:v>
                </c:pt>
                <c:pt idx="420">
                  <c:v>0.97044009656340446</c:v>
                </c:pt>
                <c:pt idx="421">
                  <c:v>0.96740353138942592</c:v>
                </c:pt>
                <c:pt idx="422">
                  <c:v>0.95113689505681309</c:v>
                </c:pt>
                <c:pt idx="423">
                  <c:v>0.92674641994969587</c:v>
                </c:pt>
                <c:pt idx="424">
                  <c:v>0.93598250736232758</c:v>
                </c:pt>
                <c:pt idx="425">
                  <c:v>0.92241433789608041</c:v>
                </c:pt>
                <c:pt idx="426">
                  <c:v>0.93417194352810307</c:v>
                </c:pt>
                <c:pt idx="427">
                  <c:v>0.92837687533967816</c:v>
                </c:pt>
                <c:pt idx="428">
                  <c:v>0.93423513947345138</c:v>
                </c:pt>
                <c:pt idx="429">
                  <c:v>0.92754584865834999</c:v>
                </c:pt>
                <c:pt idx="430">
                  <c:v>0.93426041785159064</c:v>
                </c:pt>
                <c:pt idx="431">
                  <c:v>0.94129412656883926</c:v>
                </c:pt>
                <c:pt idx="432">
                  <c:v>0.93398235569205867</c:v>
                </c:pt>
                <c:pt idx="433">
                  <c:v>0.9279819006812523</c:v>
                </c:pt>
                <c:pt idx="434">
                  <c:v>0.92909098952211222</c:v>
                </c:pt>
                <c:pt idx="435">
                  <c:v>0.92858542195932703</c:v>
                </c:pt>
                <c:pt idx="436">
                  <c:v>0.93978690327228598</c:v>
                </c:pt>
                <c:pt idx="437">
                  <c:v>0.95685296831355293</c:v>
                </c:pt>
                <c:pt idx="438">
                  <c:v>0.9875725173472869</c:v>
                </c:pt>
                <c:pt idx="439">
                  <c:v>0.98915241598099057</c:v>
                </c:pt>
                <c:pt idx="440">
                  <c:v>0.9862643612785803</c:v>
                </c:pt>
                <c:pt idx="441">
                  <c:v>0.98510471568144176</c:v>
                </c:pt>
                <c:pt idx="442">
                  <c:v>0.99253023925984896</c:v>
                </c:pt>
                <c:pt idx="443">
                  <c:v>0.99587014497149862</c:v>
                </c:pt>
                <c:pt idx="444">
                  <c:v>0.99297261087728605</c:v>
                </c:pt>
                <c:pt idx="445">
                  <c:v>0.9836417295466322</c:v>
                </c:pt>
                <c:pt idx="446">
                  <c:v>0.968171362125406</c:v>
                </c:pt>
                <c:pt idx="447">
                  <c:v>0.96510951857328831</c:v>
                </c:pt>
                <c:pt idx="448">
                  <c:v>0.96716970639163791</c:v>
                </c:pt>
                <c:pt idx="449">
                  <c:v>0.96032242571316617</c:v>
                </c:pt>
                <c:pt idx="450">
                  <c:v>0.92964079424664114</c:v>
                </c:pt>
                <c:pt idx="451">
                  <c:v>0.92399739632705158</c:v>
                </c:pt>
                <c:pt idx="452">
                  <c:v>0.92012664467447758</c:v>
                </c:pt>
                <c:pt idx="453">
                  <c:v>0.90735790391688464</c:v>
                </c:pt>
                <c:pt idx="454">
                  <c:v>0.91929877779041691</c:v>
                </c:pt>
                <c:pt idx="455">
                  <c:v>0.91329200318507553</c:v>
                </c:pt>
                <c:pt idx="456">
                  <c:v>0.93317660738886998</c:v>
                </c:pt>
                <c:pt idx="457">
                  <c:v>0.94949696027502861</c:v>
                </c:pt>
                <c:pt idx="458">
                  <c:v>0.96187388617146319</c:v>
                </c:pt>
                <c:pt idx="459">
                  <c:v>0.94947800149142425</c:v>
                </c:pt>
                <c:pt idx="460">
                  <c:v>0.94374612924834733</c:v>
                </c:pt>
                <c:pt idx="461">
                  <c:v>0.96134304023053874</c:v>
                </c:pt>
                <c:pt idx="462">
                  <c:v>0.96412682162312457</c:v>
                </c:pt>
                <c:pt idx="463">
                  <c:v>0.96334951149534243</c:v>
                </c:pt>
                <c:pt idx="464">
                  <c:v>0.96682528848949045</c:v>
                </c:pt>
                <c:pt idx="465">
                  <c:v>0.96155790644472239</c:v>
                </c:pt>
                <c:pt idx="466">
                  <c:v>0.96754572226645941</c:v>
                </c:pt>
                <c:pt idx="467">
                  <c:v>0.96917617765644148</c:v>
                </c:pt>
                <c:pt idx="468">
                  <c:v>0.97700299548780944</c:v>
                </c:pt>
                <c:pt idx="469">
                  <c:v>0.97125848405566295</c:v>
                </c:pt>
                <c:pt idx="470">
                  <c:v>0.93870625260683271</c:v>
                </c:pt>
                <c:pt idx="471">
                  <c:v>0.95305173220086192</c:v>
                </c:pt>
                <c:pt idx="472">
                  <c:v>0.9485742994729458</c:v>
                </c:pt>
                <c:pt idx="473">
                  <c:v>0.95460319265915894</c:v>
                </c:pt>
                <c:pt idx="474">
                  <c:v>0.9597410230159632</c:v>
                </c:pt>
                <c:pt idx="475">
                  <c:v>0.9520058393053501</c:v>
                </c:pt>
                <c:pt idx="476">
                  <c:v>0.9549349713722366</c:v>
                </c:pt>
                <c:pt idx="477">
                  <c:v>0.94679849340866284</c:v>
                </c:pt>
                <c:pt idx="478">
                  <c:v>0.93079728004651219</c:v>
                </c:pt>
                <c:pt idx="479">
                  <c:v>0.92555517637988338</c:v>
                </c:pt>
                <c:pt idx="480">
                  <c:v>0.90920638531831799</c:v>
                </c:pt>
                <c:pt idx="481">
                  <c:v>0.89113866454328272</c:v>
                </c:pt>
                <c:pt idx="482">
                  <c:v>0.91235354339665564</c:v>
                </c:pt>
                <c:pt idx="483">
                  <c:v>0.92705608008190188</c:v>
                </c:pt>
                <c:pt idx="484">
                  <c:v>0.90719359445897951</c:v>
                </c:pt>
                <c:pt idx="485">
                  <c:v>0.91480870587343111</c:v>
                </c:pt>
                <c:pt idx="486">
                  <c:v>0.91562077377115469</c:v>
                </c:pt>
                <c:pt idx="487">
                  <c:v>0.89146096386455842</c:v>
                </c:pt>
                <c:pt idx="488">
                  <c:v>0.90982886537999708</c:v>
                </c:pt>
                <c:pt idx="489">
                  <c:v>0.91801590009984957</c:v>
                </c:pt>
                <c:pt idx="490">
                  <c:v>0.91527635586900746</c:v>
                </c:pt>
                <c:pt idx="491">
                  <c:v>0.93272475637963059</c:v>
                </c:pt>
                <c:pt idx="492">
                  <c:v>0.95457791428101968</c:v>
                </c:pt>
                <c:pt idx="493">
                  <c:v>0.9621867061009366</c:v>
                </c:pt>
                <c:pt idx="494">
                  <c:v>0.94143631744587264</c:v>
                </c:pt>
                <c:pt idx="495">
                  <c:v>0.96167481894361639</c:v>
                </c:pt>
                <c:pt idx="496">
                  <c:v>0.95831595444836259</c:v>
                </c:pt>
                <c:pt idx="497">
                  <c:v>0.94850162413579542</c:v>
                </c:pt>
                <c:pt idx="498">
                  <c:v>0.95527306967984926</c:v>
                </c:pt>
                <c:pt idx="499">
                  <c:v>0.93021903714657661</c:v>
                </c:pt>
                <c:pt idx="500">
                  <c:v>0.91084000050556757</c:v>
                </c:pt>
                <c:pt idx="501">
                  <c:v>0.94177441575348508</c:v>
                </c:pt>
                <c:pt idx="502">
                  <c:v>0.93292382360747728</c:v>
                </c:pt>
                <c:pt idx="503">
                  <c:v>0.95552269366397447</c:v>
                </c:pt>
                <c:pt idx="504">
                  <c:v>0.97101201986880514</c:v>
                </c:pt>
                <c:pt idx="505">
                  <c:v>0.96837042935325257</c:v>
                </c:pt>
                <c:pt idx="506">
                  <c:v>0.9566254629102996</c:v>
                </c:pt>
                <c:pt idx="507">
                  <c:v>0.95851502167620917</c:v>
                </c:pt>
                <c:pt idx="508">
                  <c:v>0.97469634348260203</c:v>
                </c:pt>
                <c:pt idx="509">
                  <c:v>0.99196147575171578</c:v>
                </c:pt>
                <c:pt idx="510">
                  <c:v>1.0041867313793147</c:v>
                </c:pt>
                <c:pt idx="51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845-49C1-A22D-C8D81172587F}"/>
            </c:ext>
          </c:extLst>
        </c:ser>
        <c:ser>
          <c:idx val="2"/>
          <c:order val="2"/>
          <c:tx>
            <c:strRef>
              <c:f>'Graf 3+4'!$O$2</c:f>
              <c:strCache>
                <c:ptCount val="1"/>
                <c:pt idx="0">
                  <c:v>DAX </c:v>
                </c:pt>
              </c:strCache>
            </c:strRef>
          </c:tx>
          <c:spPr>
            <a:ln w="19050" cap="rnd">
              <a:solidFill>
                <a:schemeClr val="accent1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43172</c:v>
                </c:pt>
                <c:pt idx="1">
                  <c:v>43171</c:v>
                </c:pt>
                <c:pt idx="2">
                  <c:v>43168</c:v>
                </c:pt>
                <c:pt idx="3">
                  <c:v>43167</c:v>
                </c:pt>
                <c:pt idx="4">
                  <c:v>43166</c:v>
                </c:pt>
                <c:pt idx="5">
                  <c:v>43165</c:v>
                </c:pt>
                <c:pt idx="6">
                  <c:v>43164</c:v>
                </c:pt>
                <c:pt idx="7">
                  <c:v>43161</c:v>
                </c:pt>
                <c:pt idx="8">
                  <c:v>43160</c:v>
                </c:pt>
                <c:pt idx="9">
                  <c:v>43159</c:v>
                </c:pt>
                <c:pt idx="10">
                  <c:v>43158</c:v>
                </c:pt>
                <c:pt idx="11">
                  <c:v>43157</c:v>
                </c:pt>
                <c:pt idx="12">
                  <c:v>43154</c:v>
                </c:pt>
                <c:pt idx="13">
                  <c:v>43153</c:v>
                </c:pt>
                <c:pt idx="14">
                  <c:v>43145</c:v>
                </c:pt>
                <c:pt idx="15">
                  <c:v>43144</c:v>
                </c:pt>
                <c:pt idx="16">
                  <c:v>43143</c:v>
                </c:pt>
                <c:pt idx="17">
                  <c:v>43140</c:v>
                </c:pt>
                <c:pt idx="18">
                  <c:v>43139</c:v>
                </c:pt>
                <c:pt idx="19">
                  <c:v>43138</c:v>
                </c:pt>
                <c:pt idx="20">
                  <c:v>43137</c:v>
                </c:pt>
                <c:pt idx="21">
                  <c:v>43136</c:v>
                </c:pt>
                <c:pt idx="22">
                  <c:v>43133</c:v>
                </c:pt>
                <c:pt idx="23">
                  <c:v>43132</c:v>
                </c:pt>
                <c:pt idx="24">
                  <c:v>43131</c:v>
                </c:pt>
                <c:pt idx="25">
                  <c:v>43130</c:v>
                </c:pt>
                <c:pt idx="26">
                  <c:v>43129</c:v>
                </c:pt>
                <c:pt idx="27">
                  <c:v>43126</c:v>
                </c:pt>
                <c:pt idx="28">
                  <c:v>43125</c:v>
                </c:pt>
                <c:pt idx="29">
                  <c:v>43124</c:v>
                </c:pt>
                <c:pt idx="30">
                  <c:v>43123</c:v>
                </c:pt>
                <c:pt idx="31">
                  <c:v>43122</c:v>
                </c:pt>
                <c:pt idx="32">
                  <c:v>43119</c:v>
                </c:pt>
                <c:pt idx="33">
                  <c:v>43118</c:v>
                </c:pt>
                <c:pt idx="34">
                  <c:v>43117</c:v>
                </c:pt>
                <c:pt idx="35">
                  <c:v>43116</c:v>
                </c:pt>
                <c:pt idx="36">
                  <c:v>43112</c:v>
                </c:pt>
                <c:pt idx="37">
                  <c:v>43111</c:v>
                </c:pt>
                <c:pt idx="38">
                  <c:v>43110</c:v>
                </c:pt>
                <c:pt idx="39">
                  <c:v>43109</c:v>
                </c:pt>
                <c:pt idx="40">
                  <c:v>43108</c:v>
                </c:pt>
                <c:pt idx="41">
                  <c:v>43105</c:v>
                </c:pt>
                <c:pt idx="42">
                  <c:v>43104</c:v>
                </c:pt>
                <c:pt idx="43">
                  <c:v>43103</c:v>
                </c:pt>
                <c:pt idx="44">
                  <c:v>43102</c:v>
                </c:pt>
                <c:pt idx="45">
                  <c:v>43098</c:v>
                </c:pt>
                <c:pt idx="46">
                  <c:v>43097</c:v>
                </c:pt>
                <c:pt idx="47">
                  <c:v>43096</c:v>
                </c:pt>
                <c:pt idx="48">
                  <c:v>43091</c:v>
                </c:pt>
                <c:pt idx="49">
                  <c:v>43090</c:v>
                </c:pt>
                <c:pt idx="50">
                  <c:v>43089</c:v>
                </c:pt>
                <c:pt idx="51">
                  <c:v>43088</c:v>
                </c:pt>
                <c:pt idx="52">
                  <c:v>43087</c:v>
                </c:pt>
                <c:pt idx="53">
                  <c:v>43084</c:v>
                </c:pt>
                <c:pt idx="54">
                  <c:v>43083</c:v>
                </c:pt>
                <c:pt idx="55">
                  <c:v>43082</c:v>
                </c:pt>
                <c:pt idx="56">
                  <c:v>43081</c:v>
                </c:pt>
                <c:pt idx="57">
                  <c:v>43080</c:v>
                </c:pt>
                <c:pt idx="58">
                  <c:v>43077</c:v>
                </c:pt>
                <c:pt idx="59">
                  <c:v>43076</c:v>
                </c:pt>
                <c:pt idx="60">
                  <c:v>43075</c:v>
                </c:pt>
                <c:pt idx="61">
                  <c:v>43074</c:v>
                </c:pt>
                <c:pt idx="62">
                  <c:v>43073</c:v>
                </c:pt>
                <c:pt idx="63">
                  <c:v>43070</c:v>
                </c:pt>
                <c:pt idx="64">
                  <c:v>43069</c:v>
                </c:pt>
                <c:pt idx="65">
                  <c:v>43068</c:v>
                </c:pt>
                <c:pt idx="66">
                  <c:v>43067</c:v>
                </c:pt>
                <c:pt idx="67">
                  <c:v>43066</c:v>
                </c:pt>
                <c:pt idx="68">
                  <c:v>43063</c:v>
                </c:pt>
                <c:pt idx="69">
                  <c:v>43061</c:v>
                </c:pt>
                <c:pt idx="70">
                  <c:v>43060</c:v>
                </c:pt>
                <c:pt idx="71">
                  <c:v>43059</c:v>
                </c:pt>
                <c:pt idx="72">
                  <c:v>43056</c:v>
                </c:pt>
                <c:pt idx="73">
                  <c:v>43055</c:v>
                </c:pt>
                <c:pt idx="74">
                  <c:v>43054</c:v>
                </c:pt>
                <c:pt idx="75">
                  <c:v>43053</c:v>
                </c:pt>
                <c:pt idx="76">
                  <c:v>43052</c:v>
                </c:pt>
                <c:pt idx="77">
                  <c:v>43049</c:v>
                </c:pt>
                <c:pt idx="78">
                  <c:v>43048</c:v>
                </c:pt>
                <c:pt idx="79">
                  <c:v>43047</c:v>
                </c:pt>
                <c:pt idx="80">
                  <c:v>43046</c:v>
                </c:pt>
                <c:pt idx="81">
                  <c:v>43045</c:v>
                </c:pt>
                <c:pt idx="82">
                  <c:v>43042</c:v>
                </c:pt>
                <c:pt idx="83">
                  <c:v>43041</c:v>
                </c:pt>
                <c:pt idx="84">
                  <c:v>43040</c:v>
                </c:pt>
                <c:pt idx="85">
                  <c:v>43038</c:v>
                </c:pt>
                <c:pt idx="86">
                  <c:v>43035</c:v>
                </c:pt>
                <c:pt idx="87">
                  <c:v>43034</c:v>
                </c:pt>
                <c:pt idx="88">
                  <c:v>43033</c:v>
                </c:pt>
                <c:pt idx="89">
                  <c:v>43032</c:v>
                </c:pt>
                <c:pt idx="90">
                  <c:v>43031</c:v>
                </c:pt>
                <c:pt idx="91">
                  <c:v>43028</c:v>
                </c:pt>
                <c:pt idx="92">
                  <c:v>43027</c:v>
                </c:pt>
                <c:pt idx="93">
                  <c:v>43026</c:v>
                </c:pt>
                <c:pt idx="94">
                  <c:v>43025</c:v>
                </c:pt>
                <c:pt idx="95">
                  <c:v>43024</c:v>
                </c:pt>
                <c:pt idx="96">
                  <c:v>43021</c:v>
                </c:pt>
                <c:pt idx="97">
                  <c:v>43020</c:v>
                </c:pt>
                <c:pt idx="98">
                  <c:v>43019</c:v>
                </c:pt>
                <c:pt idx="99">
                  <c:v>43018</c:v>
                </c:pt>
                <c:pt idx="100">
                  <c:v>43017</c:v>
                </c:pt>
                <c:pt idx="101">
                  <c:v>43007</c:v>
                </c:pt>
                <c:pt idx="102">
                  <c:v>43006</c:v>
                </c:pt>
                <c:pt idx="103">
                  <c:v>43005</c:v>
                </c:pt>
                <c:pt idx="104">
                  <c:v>43004</c:v>
                </c:pt>
                <c:pt idx="105">
                  <c:v>43003</c:v>
                </c:pt>
                <c:pt idx="106">
                  <c:v>43000</c:v>
                </c:pt>
                <c:pt idx="107">
                  <c:v>42999</c:v>
                </c:pt>
                <c:pt idx="108">
                  <c:v>42998</c:v>
                </c:pt>
                <c:pt idx="109">
                  <c:v>42997</c:v>
                </c:pt>
                <c:pt idx="110">
                  <c:v>42996</c:v>
                </c:pt>
                <c:pt idx="111">
                  <c:v>42993</c:v>
                </c:pt>
                <c:pt idx="112">
                  <c:v>42992</c:v>
                </c:pt>
                <c:pt idx="113">
                  <c:v>42991</c:v>
                </c:pt>
                <c:pt idx="114">
                  <c:v>42990</c:v>
                </c:pt>
                <c:pt idx="115">
                  <c:v>42989</c:v>
                </c:pt>
                <c:pt idx="116">
                  <c:v>42986</c:v>
                </c:pt>
                <c:pt idx="117">
                  <c:v>42985</c:v>
                </c:pt>
                <c:pt idx="118">
                  <c:v>42984</c:v>
                </c:pt>
                <c:pt idx="119">
                  <c:v>42983</c:v>
                </c:pt>
                <c:pt idx="120">
                  <c:v>42979</c:v>
                </c:pt>
                <c:pt idx="121">
                  <c:v>42978</c:v>
                </c:pt>
                <c:pt idx="122">
                  <c:v>42977</c:v>
                </c:pt>
                <c:pt idx="123">
                  <c:v>42976</c:v>
                </c:pt>
                <c:pt idx="124">
                  <c:v>42975</c:v>
                </c:pt>
                <c:pt idx="125">
                  <c:v>42972</c:v>
                </c:pt>
                <c:pt idx="126">
                  <c:v>42971</c:v>
                </c:pt>
                <c:pt idx="127">
                  <c:v>42970</c:v>
                </c:pt>
                <c:pt idx="128">
                  <c:v>42969</c:v>
                </c:pt>
                <c:pt idx="129">
                  <c:v>42968</c:v>
                </c:pt>
                <c:pt idx="130">
                  <c:v>42965</c:v>
                </c:pt>
                <c:pt idx="131">
                  <c:v>42964</c:v>
                </c:pt>
                <c:pt idx="132">
                  <c:v>42963</c:v>
                </c:pt>
                <c:pt idx="133">
                  <c:v>42962</c:v>
                </c:pt>
                <c:pt idx="134">
                  <c:v>42961</c:v>
                </c:pt>
                <c:pt idx="135">
                  <c:v>42958</c:v>
                </c:pt>
                <c:pt idx="136">
                  <c:v>42957</c:v>
                </c:pt>
                <c:pt idx="137">
                  <c:v>42956</c:v>
                </c:pt>
                <c:pt idx="138">
                  <c:v>42955</c:v>
                </c:pt>
                <c:pt idx="139">
                  <c:v>42954</c:v>
                </c:pt>
                <c:pt idx="140">
                  <c:v>42951</c:v>
                </c:pt>
                <c:pt idx="141">
                  <c:v>42950</c:v>
                </c:pt>
                <c:pt idx="142">
                  <c:v>42949</c:v>
                </c:pt>
                <c:pt idx="143">
                  <c:v>42948</c:v>
                </c:pt>
                <c:pt idx="144">
                  <c:v>42947</c:v>
                </c:pt>
                <c:pt idx="145">
                  <c:v>42944</c:v>
                </c:pt>
                <c:pt idx="146">
                  <c:v>42943</c:v>
                </c:pt>
                <c:pt idx="147">
                  <c:v>42942</c:v>
                </c:pt>
                <c:pt idx="148">
                  <c:v>42941</c:v>
                </c:pt>
                <c:pt idx="149">
                  <c:v>42940</c:v>
                </c:pt>
                <c:pt idx="150">
                  <c:v>42937</c:v>
                </c:pt>
                <c:pt idx="151">
                  <c:v>42936</c:v>
                </c:pt>
                <c:pt idx="152">
                  <c:v>42935</c:v>
                </c:pt>
                <c:pt idx="153">
                  <c:v>42934</c:v>
                </c:pt>
                <c:pt idx="154">
                  <c:v>42933</c:v>
                </c:pt>
                <c:pt idx="155">
                  <c:v>42930</c:v>
                </c:pt>
                <c:pt idx="156">
                  <c:v>42929</c:v>
                </c:pt>
                <c:pt idx="157">
                  <c:v>42928</c:v>
                </c:pt>
                <c:pt idx="158">
                  <c:v>42927</c:v>
                </c:pt>
                <c:pt idx="159">
                  <c:v>42926</c:v>
                </c:pt>
                <c:pt idx="160">
                  <c:v>42923</c:v>
                </c:pt>
                <c:pt idx="161">
                  <c:v>42922</c:v>
                </c:pt>
                <c:pt idx="162">
                  <c:v>42921</c:v>
                </c:pt>
                <c:pt idx="163">
                  <c:v>42919</c:v>
                </c:pt>
                <c:pt idx="164">
                  <c:v>42916</c:v>
                </c:pt>
                <c:pt idx="165">
                  <c:v>42915</c:v>
                </c:pt>
                <c:pt idx="166">
                  <c:v>42914</c:v>
                </c:pt>
                <c:pt idx="167">
                  <c:v>42913</c:v>
                </c:pt>
                <c:pt idx="168">
                  <c:v>42912</c:v>
                </c:pt>
                <c:pt idx="169">
                  <c:v>42909</c:v>
                </c:pt>
                <c:pt idx="170">
                  <c:v>42908</c:v>
                </c:pt>
                <c:pt idx="171">
                  <c:v>42907</c:v>
                </c:pt>
                <c:pt idx="172">
                  <c:v>42906</c:v>
                </c:pt>
                <c:pt idx="173">
                  <c:v>42905</c:v>
                </c:pt>
                <c:pt idx="174">
                  <c:v>42902</c:v>
                </c:pt>
                <c:pt idx="175">
                  <c:v>42901</c:v>
                </c:pt>
                <c:pt idx="176">
                  <c:v>42900</c:v>
                </c:pt>
                <c:pt idx="177">
                  <c:v>42899</c:v>
                </c:pt>
                <c:pt idx="178">
                  <c:v>42898</c:v>
                </c:pt>
                <c:pt idx="179">
                  <c:v>42895</c:v>
                </c:pt>
                <c:pt idx="180">
                  <c:v>42894</c:v>
                </c:pt>
                <c:pt idx="181">
                  <c:v>42893</c:v>
                </c:pt>
                <c:pt idx="182">
                  <c:v>42892</c:v>
                </c:pt>
                <c:pt idx="183">
                  <c:v>42888</c:v>
                </c:pt>
                <c:pt idx="184">
                  <c:v>42887</c:v>
                </c:pt>
                <c:pt idx="185">
                  <c:v>42886</c:v>
                </c:pt>
                <c:pt idx="186">
                  <c:v>42881</c:v>
                </c:pt>
                <c:pt idx="187">
                  <c:v>42880</c:v>
                </c:pt>
                <c:pt idx="188">
                  <c:v>42879</c:v>
                </c:pt>
                <c:pt idx="189">
                  <c:v>42878</c:v>
                </c:pt>
                <c:pt idx="190">
                  <c:v>42877</c:v>
                </c:pt>
                <c:pt idx="191">
                  <c:v>42874</c:v>
                </c:pt>
                <c:pt idx="192">
                  <c:v>42873</c:v>
                </c:pt>
                <c:pt idx="193">
                  <c:v>42872</c:v>
                </c:pt>
                <c:pt idx="194">
                  <c:v>42871</c:v>
                </c:pt>
                <c:pt idx="195">
                  <c:v>42870</c:v>
                </c:pt>
                <c:pt idx="196">
                  <c:v>42867</c:v>
                </c:pt>
                <c:pt idx="197">
                  <c:v>42866</c:v>
                </c:pt>
                <c:pt idx="198">
                  <c:v>42865</c:v>
                </c:pt>
                <c:pt idx="199">
                  <c:v>42864</c:v>
                </c:pt>
                <c:pt idx="200">
                  <c:v>42863</c:v>
                </c:pt>
                <c:pt idx="201">
                  <c:v>42860</c:v>
                </c:pt>
                <c:pt idx="202">
                  <c:v>42859</c:v>
                </c:pt>
                <c:pt idx="203">
                  <c:v>42858</c:v>
                </c:pt>
                <c:pt idx="204">
                  <c:v>42857</c:v>
                </c:pt>
                <c:pt idx="205">
                  <c:v>42853</c:v>
                </c:pt>
                <c:pt idx="206">
                  <c:v>42852</c:v>
                </c:pt>
                <c:pt idx="207">
                  <c:v>42851</c:v>
                </c:pt>
                <c:pt idx="208">
                  <c:v>42850</c:v>
                </c:pt>
                <c:pt idx="209">
                  <c:v>42849</c:v>
                </c:pt>
                <c:pt idx="210">
                  <c:v>42846</c:v>
                </c:pt>
                <c:pt idx="211">
                  <c:v>42845</c:v>
                </c:pt>
                <c:pt idx="212">
                  <c:v>42844</c:v>
                </c:pt>
                <c:pt idx="213">
                  <c:v>42843</c:v>
                </c:pt>
                <c:pt idx="214">
                  <c:v>42838</c:v>
                </c:pt>
                <c:pt idx="215">
                  <c:v>42837</c:v>
                </c:pt>
                <c:pt idx="216">
                  <c:v>42836</c:v>
                </c:pt>
                <c:pt idx="217">
                  <c:v>42835</c:v>
                </c:pt>
                <c:pt idx="218">
                  <c:v>42832</c:v>
                </c:pt>
                <c:pt idx="219">
                  <c:v>42831</c:v>
                </c:pt>
                <c:pt idx="220">
                  <c:v>42830</c:v>
                </c:pt>
                <c:pt idx="221">
                  <c:v>42825</c:v>
                </c:pt>
                <c:pt idx="222">
                  <c:v>42824</c:v>
                </c:pt>
                <c:pt idx="223">
                  <c:v>42823</c:v>
                </c:pt>
                <c:pt idx="224">
                  <c:v>42822</c:v>
                </c:pt>
                <c:pt idx="225">
                  <c:v>42821</c:v>
                </c:pt>
                <c:pt idx="226">
                  <c:v>42818</c:v>
                </c:pt>
                <c:pt idx="227">
                  <c:v>42817</c:v>
                </c:pt>
                <c:pt idx="228">
                  <c:v>42816</c:v>
                </c:pt>
                <c:pt idx="229">
                  <c:v>42815</c:v>
                </c:pt>
                <c:pt idx="230">
                  <c:v>42814</c:v>
                </c:pt>
                <c:pt idx="231">
                  <c:v>42811</c:v>
                </c:pt>
                <c:pt idx="232">
                  <c:v>42810</c:v>
                </c:pt>
                <c:pt idx="233">
                  <c:v>42809</c:v>
                </c:pt>
                <c:pt idx="234">
                  <c:v>42808</c:v>
                </c:pt>
                <c:pt idx="235">
                  <c:v>42807</c:v>
                </c:pt>
                <c:pt idx="236">
                  <c:v>42804</c:v>
                </c:pt>
                <c:pt idx="237">
                  <c:v>42803</c:v>
                </c:pt>
                <c:pt idx="238">
                  <c:v>42802</c:v>
                </c:pt>
                <c:pt idx="239">
                  <c:v>42801</c:v>
                </c:pt>
                <c:pt idx="240">
                  <c:v>42800</c:v>
                </c:pt>
                <c:pt idx="241">
                  <c:v>42797</c:v>
                </c:pt>
                <c:pt idx="242">
                  <c:v>42796</c:v>
                </c:pt>
                <c:pt idx="243">
                  <c:v>42795</c:v>
                </c:pt>
                <c:pt idx="244">
                  <c:v>42794</c:v>
                </c:pt>
                <c:pt idx="245">
                  <c:v>42793</c:v>
                </c:pt>
                <c:pt idx="246">
                  <c:v>42790</c:v>
                </c:pt>
                <c:pt idx="247">
                  <c:v>42789</c:v>
                </c:pt>
                <c:pt idx="248">
                  <c:v>42788</c:v>
                </c:pt>
                <c:pt idx="249">
                  <c:v>42787</c:v>
                </c:pt>
                <c:pt idx="250">
                  <c:v>42783</c:v>
                </c:pt>
                <c:pt idx="251">
                  <c:v>42782</c:v>
                </c:pt>
                <c:pt idx="252">
                  <c:v>42781</c:v>
                </c:pt>
                <c:pt idx="253">
                  <c:v>42780</c:v>
                </c:pt>
                <c:pt idx="254">
                  <c:v>42779</c:v>
                </c:pt>
                <c:pt idx="255">
                  <c:v>42776</c:v>
                </c:pt>
                <c:pt idx="256">
                  <c:v>42775</c:v>
                </c:pt>
                <c:pt idx="257">
                  <c:v>42774</c:v>
                </c:pt>
                <c:pt idx="258">
                  <c:v>42773</c:v>
                </c:pt>
                <c:pt idx="259">
                  <c:v>42772</c:v>
                </c:pt>
                <c:pt idx="260">
                  <c:v>42769</c:v>
                </c:pt>
                <c:pt idx="261">
                  <c:v>42761</c:v>
                </c:pt>
                <c:pt idx="262">
                  <c:v>42760</c:v>
                </c:pt>
                <c:pt idx="263">
                  <c:v>42759</c:v>
                </c:pt>
                <c:pt idx="264">
                  <c:v>42758</c:v>
                </c:pt>
                <c:pt idx="265">
                  <c:v>42755</c:v>
                </c:pt>
                <c:pt idx="266">
                  <c:v>42754</c:v>
                </c:pt>
                <c:pt idx="267">
                  <c:v>42753</c:v>
                </c:pt>
                <c:pt idx="268">
                  <c:v>42752</c:v>
                </c:pt>
                <c:pt idx="269">
                  <c:v>42748</c:v>
                </c:pt>
                <c:pt idx="270">
                  <c:v>42747</c:v>
                </c:pt>
                <c:pt idx="271">
                  <c:v>42746</c:v>
                </c:pt>
                <c:pt idx="272">
                  <c:v>42745</c:v>
                </c:pt>
                <c:pt idx="273">
                  <c:v>42744</c:v>
                </c:pt>
                <c:pt idx="274">
                  <c:v>42741</c:v>
                </c:pt>
                <c:pt idx="275">
                  <c:v>42740</c:v>
                </c:pt>
                <c:pt idx="276">
                  <c:v>42739</c:v>
                </c:pt>
                <c:pt idx="277">
                  <c:v>42738</c:v>
                </c:pt>
                <c:pt idx="278">
                  <c:v>42734</c:v>
                </c:pt>
                <c:pt idx="279">
                  <c:v>42733</c:v>
                </c:pt>
                <c:pt idx="280">
                  <c:v>42732</c:v>
                </c:pt>
                <c:pt idx="281">
                  <c:v>42731</c:v>
                </c:pt>
                <c:pt idx="282">
                  <c:v>42727</c:v>
                </c:pt>
                <c:pt idx="283">
                  <c:v>42726</c:v>
                </c:pt>
                <c:pt idx="284">
                  <c:v>42725</c:v>
                </c:pt>
                <c:pt idx="285">
                  <c:v>42724</c:v>
                </c:pt>
                <c:pt idx="286">
                  <c:v>42723</c:v>
                </c:pt>
                <c:pt idx="287">
                  <c:v>42720</c:v>
                </c:pt>
                <c:pt idx="288">
                  <c:v>42719</c:v>
                </c:pt>
                <c:pt idx="289">
                  <c:v>42718</c:v>
                </c:pt>
                <c:pt idx="290">
                  <c:v>42717</c:v>
                </c:pt>
                <c:pt idx="291">
                  <c:v>42716</c:v>
                </c:pt>
                <c:pt idx="292">
                  <c:v>42713</c:v>
                </c:pt>
                <c:pt idx="293">
                  <c:v>42712</c:v>
                </c:pt>
                <c:pt idx="294">
                  <c:v>42711</c:v>
                </c:pt>
                <c:pt idx="295">
                  <c:v>42710</c:v>
                </c:pt>
                <c:pt idx="296">
                  <c:v>42709</c:v>
                </c:pt>
                <c:pt idx="297">
                  <c:v>42706</c:v>
                </c:pt>
                <c:pt idx="298">
                  <c:v>42705</c:v>
                </c:pt>
                <c:pt idx="299">
                  <c:v>42704</c:v>
                </c:pt>
                <c:pt idx="300">
                  <c:v>42703</c:v>
                </c:pt>
                <c:pt idx="301">
                  <c:v>42702</c:v>
                </c:pt>
                <c:pt idx="302">
                  <c:v>42699</c:v>
                </c:pt>
                <c:pt idx="303">
                  <c:v>42697</c:v>
                </c:pt>
                <c:pt idx="304">
                  <c:v>42696</c:v>
                </c:pt>
                <c:pt idx="305">
                  <c:v>42695</c:v>
                </c:pt>
                <c:pt idx="306">
                  <c:v>42692</c:v>
                </c:pt>
                <c:pt idx="307">
                  <c:v>42691</c:v>
                </c:pt>
                <c:pt idx="308">
                  <c:v>42690</c:v>
                </c:pt>
                <c:pt idx="309">
                  <c:v>42689</c:v>
                </c:pt>
                <c:pt idx="310">
                  <c:v>42688</c:v>
                </c:pt>
                <c:pt idx="311">
                  <c:v>42685</c:v>
                </c:pt>
                <c:pt idx="312">
                  <c:v>42684</c:v>
                </c:pt>
                <c:pt idx="313">
                  <c:v>42683</c:v>
                </c:pt>
                <c:pt idx="314">
                  <c:v>42682</c:v>
                </c:pt>
                <c:pt idx="315">
                  <c:v>42681</c:v>
                </c:pt>
                <c:pt idx="316">
                  <c:v>42678</c:v>
                </c:pt>
                <c:pt idx="317">
                  <c:v>42677</c:v>
                </c:pt>
                <c:pt idx="318">
                  <c:v>42676</c:v>
                </c:pt>
                <c:pt idx="319">
                  <c:v>42675</c:v>
                </c:pt>
                <c:pt idx="320">
                  <c:v>42674</c:v>
                </c:pt>
                <c:pt idx="321">
                  <c:v>42671</c:v>
                </c:pt>
                <c:pt idx="322">
                  <c:v>42670</c:v>
                </c:pt>
                <c:pt idx="323">
                  <c:v>42669</c:v>
                </c:pt>
                <c:pt idx="324">
                  <c:v>42668</c:v>
                </c:pt>
                <c:pt idx="325">
                  <c:v>42667</c:v>
                </c:pt>
                <c:pt idx="326">
                  <c:v>42664</c:v>
                </c:pt>
                <c:pt idx="327">
                  <c:v>42663</c:v>
                </c:pt>
                <c:pt idx="328">
                  <c:v>42662</c:v>
                </c:pt>
                <c:pt idx="329">
                  <c:v>42661</c:v>
                </c:pt>
                <c:pt idx="330">
                  <c:v>42660</c:v>
                </c:pt>
                <c:pt idx="331">
                  <c:v>42657</c:v>
                </c:pt>
                <c:pt idx="332">
                  <c:v>42656</c:v>
                </c:pt>
                <c:pt idx="333">
                  <c:v>42655</c:v>
                </c:pt>
                <c:pt idx="334">
                  <c:v>42654</c:v>
                </c:pt>
                <c:pt idx="335">
                  <c:v>42653</c:v>
                </c:pt>
                <c:pt idx="336">
                  <c:v>42643</c:v>
                </c:pt>
                <c:pt idx="337">
                  <c:v>42642</c:v>
                </c:pt>
                <c:pt idx="338">
                  <c:v>42641</c:v>
                </c:pt>
                <c:pt idx="339">
                  <c:v>42640</c:v>
                </c:pt>
                <c:pt idx="340">
                  <c:v>42639</c:v>
                </c:pt>
                <c:pt idx="341">
                  <c:v>42636</c:v>
                </c:pt>
                <c:pt idx="342">
                  <c:v>42635</c:v>
                </c:pt>
                <c:pt idx="343">
                  <c:v>42634</c:v>
                </c:pt>
                <c:pt idx="344">
                  <c:v>42633</c:v>
                </c:pt>
                <c:pt idx="345">
                  <c:v>42632</c:v>
                </c:pt>
                <c:pt idx="346">
                  <c:v>42627</c:v>
                </c:pt>
                <c:pt idx="347">
                  <c:v>42626</c:v>
                </c:pt>
                <c:pt idx="348">
                  <c:v>42625</c:v>
                </c:pt>
                <c:pt idx="349">
                  <c:v>42622</c:v>
                </c:pt>
                <c:pt idx="350">
                  <c:v>42621</c:v>
                </c:pt>
                <c:pt idx="351">
                  <c:v>42620</c:v>
                </c:pt>
                <c:pt idx="352">
                  <c:v>42619</c:v>
                </c:pt>
                <c:pt idx="353">
                  <c:v>42615</c:v>
                </c:pt>
                <c:pt idx="354">
                  <c:v>42614</c:v>
                </c:pt>
                <c:pt idx="355">
                  <c:v>42613</c:v>
                </c:pt>
                <c:pt idx="356">
                  <c:v>42612</c:v>
                </c:pt>
                <c:pt idx="357">
                  <c:v>42611</c:v>
                </c:pt>
                <c:pt idx="358">
                  <c:v>42608</c:v>
                </c:pt>
                <c:pt idx="359">
                  <c:v>42607</c:v>
                </c:pt>
                <c:pt idx="360">
                  <c:v>42606</c:v>
                </c:pt>
                <c:pt idx="361">
                  <c:v>42605</c:v>
                </c:pt>
                <c:pt idx="362">
                  <c:v>42604</c:v>
                </c:pt>
                <c:pt idx="363">
                  <c:v>42601</c:v>
                </c:pt>
                <c:pt idx="364">
                  <c:v>42600</c:v>
                </c:pt>
                <c:pt idx="365">
                  <c:v>42599</c:v>
                </c:pt>
                <c:pt idx="366">
                  <c:v>42598</c:v>
                </c:pt>
                <c:pt idx="367">
                  <c:v>42597</c:v>
                </c:pt>
                <c:pt idx="368">
                  <c:v>42594</c:v>
                </c:pt>
                <c:pt idx="369">
                  <c:v>42593</c:v>
                </c:pt>
                <c:pt idx="370">
                  <c:v>42592</c:v>
                </c:pt>
                <c:pt idx="371">
                  <c:v>42591</c:v>
                </c:pt>
                <c:pt idx="372">
                  <c:v>42590</c:v>
                </c:pt>
                <c:pt idx="373">
                  <c:v>42587</c:v>
                </c:pt>
                <c:pt idx="374">
                  <c:v>42586</c:v>
                </c:pt>
                <c:pt idx="375">
                  <c:v>42585</c:v>
                </c:pt>
                <c:pt idx="376">
                  <c:v>42584</c:v>
                </c:pt>
                <c:pt idx="377">
                  <c:v>42583</c:v>
                </c:pt>
                <c:pt idx="378">
                  <c:v>42580</c:v>
                </c:pt>
                <c:pt idx="379">
                  <c:v>42579</c:v>
                </c:pt>
                <c:pt idx="380">
                  <c:v>42578</c:v>
                </c:pt>
                <c:pt idx="381">
                  <c:v>42577</c:v>
                </c:pt>
                <c:pt idx="382">
                  <c:v>42576</c:v>
                </c:pt>
                <c:pt idx="383">
                  <c:v>42573</c:v>
                </c:pt>
                <c:pt idx="384">
                  <c:v>42572</c:v>
                </c:pt>
                <c:pt idx="385">
                  <c:v>42571</c:v>
                </c:pt>
                <c:pt idx="386">
                  <c:v>42570</c:v>
                </c:pt>
                <c:pt idx="387">
                  <c:v>42569</c:v>
                </c:pt>
                <c:pt idx="388">
                  <c:v>42566</c:v>
                </c:pt>
                <c:pt idx="389">
                  <c:v>42565</c:v>
                </c:pt>
                <c:pt idx="390">
                  <c:v>42564</c:v>
                </c:pt>
                <c:pt idx="391">
                  <c:v>42563</c:v>
                </c:pt>
                <c:pt idx="392">
                  <c:v>42562</c:v>
                </c:pt>
                <c:pt idx="393">
                  <c:v>42559</c:v>
                </c:pt>
                <c:pt idx="394">
                  <c:v>42558</c:v>
                </c:pt>
                <c:pt idx="395">
                  <c:v>42557</c:v>
                </c:pt>
                <c:pt idx="396">
                  <c:v>42556</c:v>
                </c:pt>
                <c:pt idx="397">
                  <c:v>42552</c:v>
                </c:pt>
                <c:pt idx="398">
                  <c:v>42551</c:v>
                </c:pt>
                <c:pt idx="399">
                  <c:v>42550</c:v>
                </c:pt>
                <c:pt idx="400">
                  <c:v>42549</c:v>
                </c:pt>
                <c:pt idx="401">
                  <c:v>42548</c:v>
                </c:pt>
                <c:pt idx="402">
                  <c:v>42545</c:v>
                </c:pt>
                <c:pt idx="403">
                  <c:v>42544</c:v>
                </c:pt>
                <c:pt idx="404">
                  <c:v>42543</c:v>
                </c:pt>
                <c:pt idx="405">
                  <c:v>42542</c:v>
                </c:pt>
                <c:pt idx="406">
                  <c:v>42541</c:v>
                </c:pt>
                <c:pt idx="407">
                  <c:v>42538</c:v>
                </c:pt>
                <c:pt idx="408">
                  <c:v>42537</c:v>
                </c:pt>
                <c:pt idx="409">
                  <c:v>42536</c:v>
                </c:pt>
                <c:pt idx="410">
                  <c:v>42535</c:v>
                </c:pt>
                <c:pt idx="411">
                  <c:v>42534</c:v>
                </c:pt>
                <c:pt idx="412">
                  <c:v>42529</c:v>
                </c:pt>
                <c:pt idx="413">
                  <c:v>42528</c:v>
                </c:pt>
                <c:pt idx="414">
                  <c:v>42527</c:v>
                </c:pt>
                <c:pt idx="415">
                  <c:v>42524</c:v>
                </c:pt>
                <c:pt idx="416">
                  <c:v>42523</c:v>
                </c:pt>
                <c:pt idx="417">
                  <c:v>42522</c:v>
                </c:pt>
                <c:pt idx="418">
                  <c:v>42521</c:v>
                </c:pt>
                <c:pt idx="419">
                  <c:v>42517</c:v>
                </c:pt>
                <c:pt idx="420">
                  <c:v>42516</c:v>
                </c:pt>
                <c:pt idx="421">
                  <c:v>42515</c:v>
                </c:pt>
                <c:pt idx="422">
                  <c:v>42514</c:v>
                </c:pt>
                <c:pt idx="423">
                  <c:v>42513</c:v>
                </c:pt>
                <c:pt idx="424">
                  <c:v>42510</c:v>
                </c:pt>
                <c:pt idx="425">
                  <c:v>42509</c:v>
                </c:pt>
                <c:pt idx="426">
                  <c:v>42508</c:v>
                </c:pt>
                <c:pt idx="427">
                  <c:v>42507</c:v>
                </c:pt>
                <c:pt idx="428">
                  <c:v>42503</c:v>
                </c:pt>
                <c:pt idx="429">
                  <c:v>42502</c:v>
                </c:pt>
                <c:pt idx="430">
                  <c:v>42501</c:v>
                </c:pt>
                <c:pt idx="431">
                  <c:v>42500</c:v>
                </c:pt>
                <c:pt idx="432">
                  <c:v>42499</c:v>
                </c:pt>
                <c:pt idx="433">
                  <c:v>42496</c:v>
                </c:pt>
                <c:pt idx="434">
                  <c:v>42495</c:v>
                </c:pt>
                <c:pt idx="435">
                  <c:v>42494</c:v>
                </c:pt>
                <c:pt idx="436">
                  <c:v>42493</c:v>
                </c:pt>
                <c:pt idx="437">
                  <c:v>42489</c:v>
                </c:pt>
                <c:pt idx="438">
                  <c:v>42488</c:v>
                </c:pt>
                <c:pt idx="439">
                  <c:v>42487</c:v>
                </c:pt>
                <c:pt idx="440">
                  <c:v>42486</c:v>
                </c:pt>
                <c:pt idx="441">
                  <c:v>42485</c:v>
                </c:pt>
                <c:pt idx="442">
                  <c:v>42482</c:v>
                </c:pt>
                <c:pt idx="443">
                  <c:v>42481</c:v>
                </c:pt>
                <c:pt idx="444">
                  <c:v>42480</c:v>
                </c:pt>
                <c:pt idx="445">
                  <c:v>42479</c:v>
                </c:pt>
                <c:pt idx="446">
                  <c:v>42478</c:v>
                </c:pt>
                <c:pt idx="447">
                  <c:v>42475</c:v>
                </c:pt>
                <c:pt idx="448">
                  <c:v>42474</c:v>
                </c:pt>
                <c:pt idx="449">
                  <c:v>42473</c:v>
                </c:pt>
                <c:pt idx="450">
                  <c:v>42472</c:v>
                </c:pt>
                <c:pt idx="451">
                  <c:v>42471</c:v>
                </c:pt>
                <c:pt idx="452">
                  <c:v>42468</c:v>
                </c:pt>
                <c:pt idx="453">
                  <c:v>42467</c:v>
                </c:pt>
                <c:pt idx="454">
                  <c:v>42466</c:v>
                </c:pt>
                <c:pt idx="455">
                  <c:v>42465</c:v>
                </c:pt>
                <c:pt idx="456">
                  <c:v>42461</c:v>
                </c:pt>
                <c:pt idx="457">
                  <c:v>42460</c:v>
                </c:pt>
                <c:pt idx="458">
                  <c:v>42459</c:v>
                </c:pt>
                <c:pt idx="459">
                  <c:v>42458</c:v>
                </c:pt>
                <c:pt idx="460">
                  <c:v>42453</c:v>
                </c:pt>
                <c:pt idx="461">
                  <c:v>42452</c:v>
                </c:pt>
                <c:pt idx="462">
                  <c:v>42451</c:v>
                </c:pt>
                <c:pt idx="463">
                  <c:v>42450</c:v>
                </c:pt>
                <c:pt idx="464">
                  <c:v>42447</c:v>
                </c:pt>
                <c:pt idx="465">
                  <c:v>42446</c:v>
                </c:pt>
                <c:pt idx="466">
                  <c:v>42445</c:v>
                </c:pt>
                <c:pt idx="467">
                  <c:v>42444</c:v>
                </c:pt>
                <c:pt idx="468">
                  <c:v>42443</c:v>
                </c:pt>
                <c:pt idx="469">
                  <c:v>42440</c:v>
                </c:pt>
                <c:pt idx="470">
                  <c:v>42439</c:v>
                </c:pt>
                <c:pt idx="471">
                  <c:v>42438</c:v>
                </c:pt>
                <c:pt idx="472">
                  <c:v>42437</c:v>
                </c:pt>
                <c:pt idx="473">
                  <c:v>42436</c:v>
                </c:pt>
                <c:pt idx="474">
                  <c:v>42433</c:v>
                </c:pt>
                <c:pt idx="475">
                  <c:v>42432</c:v>
                </c:pt>
                <c:pt idx="476">
                  <c:v>42431</c:v>
                </c:pt>
                <c:pt idx="477">
                  <c:v>42430</c:v>
                </c:pt>
                <c:pt idx="478">
                  <c:v>42429</c:v>
                </c:pt>
                <c:pt idx="479">
                  <c:v>42426</c:v>
                </c:pt>
                <c:pt idx="480">
                  <c:v>42425</c:v>
                </c:pt>
                <c:pt idx="481">
                  <c:v>42424</c:v>
                </c:pt>
                <c:pt idx="482">
                  <c:v>42423</c:v>
                </c:pt>
                <c:pt idx="483">
                  <c:v>42422</c:v>
                </c:pt>
                <c:pt idx="484">
                  <c:v>42419</c:v>
                </c:pt>
                <c:pt idx="485">
                  <c:v>42418</c:v>
                </c:pt>
                <c:pt idx="486">
                  <c:v>42417</c:v>
                </c:pt>
                <c:pt idx="487">
                  <c:v>42416</c:v>
                </c:pt>
                <c:pt idx="488">
                  <c:v>42405</c:v>
                </c:pt>
                <c:pt idx="489">
                  <c:v>42404</c:v>
                </c:pt>
                <c:pt idx="490">
                  <c:v>42403</c:v>
                </c:pt>
                <c:pt idx="491">
                  <c:v>42402</c:v>
                </c:pt>
                <c:pt idx="492">
                  <c:v>42401</c:v>
                </c:pt>
                <c:pt idx="493">
                  <c:v>42398</c:v>
                </c:pt>
                <c:pt idx="494">
                  <c:v>42397</c:v>
                </c:pt>
                <c:pt idx="495">
                  <c:v>42396</c:v>
                </c:pt>
                <c:pt idx="496">
                  <c:v>42395</c:v>
                </c:pt>
                <c:pt idx="497">
                  <c:v>42394</c:v>
                </c:pt>
                <c:pt idx="498">
                  <c:v>42391</c:v>
                </c:pt>
                <c:pt idx="499">
                  <c:v>42390</c:v>
                </c:pt>
                <c:pt idx="500">
                  <c:v>42389</c:v>
                </c:pt>
                <c:pt idx="501">
                  <c:v>42388</c:v>
                </c:pt>
                <c:pt idx="502">
                  <c:v>42384</c:v>
                </c:pt>
                <c:pt idx="503">
                  <c:v>42383</c:v>
                </c:pt>
                <c:pt idx="504">
                  <c:v>42382</c:v>
                </c:pt>
                <c:pt idx="505">
                  <c:v>42381</c:v>
                </c:pt>
                <c:pt idx="506">
                  <c:v>42380</c:v>
                </c:pt>
                <c:pt idx="507">
                  <c:v>42377</c:v>
                </c:pt>
                <c:pt idx="508">
                  <c:v>42376</c:v>
                </c:pt>
                <c:pt idx="509">
                  <c:v>42375</c:v>
                </c:pt>
                <c:pt idx="510">
                  <c:v>42374</c:v>
                </c:pt>
                <c:pt idx="511">
                  <c:v>42373</c:v>
                </c:pt>
              </c:numCache>
            </c:numRef>
          </c:cat>
          <c:val>
            <c:numRef>
              <c:f>'Graf 3+4'!$O$3:$O$600</c:f>
              <c:numCache>
                <c:formatCode>General</c:formatCode>
                <c:ptCount val="598"/>
                <c:pt idx="0">
                  <c:v>1.2006565896237056</c:v>
                </c:pt>
                <c:pt idx="1">
                  <c:v>1.2076104883190837</c:v>
                </c:pt>
                <c:pt idx="2">
                  <c:v>1.2006371408789276</c:v>
                </c:pt>
                <c:pt idx="3">
                  <c:v>1.2015016375843102</c:v>
                </c:pt>
                <c:pt idx="4">
                  <c:v>1.1907844067743867</c:v>
                </c:pt>
                <c:pt idx="5">
                  <c:v>1.1779978295200828</c:v>
                </c:pt>
                <c:pt idx="6">
                  <c:v>1.1757612238706114</c:v>
                </c:pt>
                <c:pt idx="7">
                  <c:v>1.1585335257462481</c:v>
                </c:pt>
                <c:pt idx="8">
                  <c:v>1.1854924033202896</c:v>
                </c:pt>
                <c:pt idx="9">
                  <c:v>1.2093083637382043</c:v>
                </c:pt>
                <c:pt idx="10">
                  <c:v>1.2146450993052906</c:v>
                </c:pt>
                <c:pt idx="11">
                  <c:v>1.218176018919739</c:v>
                </c:pt>
                <c:pt idx="12">
                  <c:v>1.2139702278614939</c:v>
                </c:pt>
                <c:pt idx="13">
                  <c:v>1.2118425351827793</c:v>
                </c:pt>
                <c:pt idx="14">
                  <c:v>1.1999058680752743</c:v>
                </c:pt>
                <c:pt idx="15">
                  <c:v>1.1860330784251183</c:v>
                </c:pt>
                <c:pt idx="16">
                  <c:v>1.1944222944851139</c:v>
                </c:pt>
                <c:pt idx="17">
                  <c:v>1.1773764421244253</c:v>
                </c:pt>
                <c:pt idx="18">
                  <c:v>1.1922362555720654</c:v>
                </c:pt>
                <c:pt idx="19">
                  <c:v>1.2243402985771299</c:v>
                </c:pt>
                <c:pt idx="20">
                  <c:v>1.2051084073033926</c:v>
                </c:pt>
                <c:pt idx="21">
                  <c:v>1.233778774417899</c:v>
                </c:pt>
                <c:pt idx="22">
                  <c:v>1.2432765689302412</c:v>
                </c:pt>
                <c:pt idx="23">
                  <c:v>1.264547661093953</c:v>
                </c:pt>
                <c:pt idx="24">
                  <c:v>1.2825941513734702</c:v>
                </c:pt>
                <c:pt idx="25">
                  <c:v>1.2833944672210853</c:v>
                </c:pt>
                <c:pt idx="26">
                  <c:v>1.2957220540986283</c:v>
                </c:pt>
                <c:pt idx="27">
                  <c:v>1.2972478081264636</c:v>
                </c:pt>
                <c:pt idx="28">
                  <c:v>1.2931820480306202</c:v>
                </c:pt>
                <c:pt idx="29">
                  <c:v>1.3044992726169453</c:v>
                </c:pt>
                <c:pt idx="30">
                  <c:v>1.3185859984596593</c:v>
                </c:pt>
                <c:pt idx="31">
                  <c:v>1.3092593529013636</c:v>
                </c:pt>
                <c:pt idx="32">
                  <c:v>1.3064159464148184</c:v>
                </c:pt>
                <c:pt idx="33">
                  <c:v>1.2915357117851614</c:v>
                </c:pt>
                <c:pt idx="34">
                  <c:v>1.2820573660175971</c:v>
                </c:pt>
                <c:pt idx="35">
                  <c:v>1.2881224570766201</c:v>
                </c:pt>
                <c:pt idx="36">
                  <c:v>1.2879960402355632</c:v>
                </c:pt>
                <c:pt idx="37">
                  <c:v>1.2838991621480749</c:v>
                </c:pt>
                <c:pt idx="38">
                  <c:v>1.2915269598500112</c:v>
                </c:pt>
                <c:pt idx="39">
                  <c:v>1.30166461806555</c:v>
                </c:pt>
                <c:pt idx="40">
                  <c:v>1.299932707343068</c:v>
                </c:pt>
                <c:pt idx="41">
                  <c:v>1.2952513944750004</c:v>
                </c:pt>
                <c:pt idx="42">
                  <c:v>1.2804946593746838</c:v>
                </c:pt>
                <c:pt idx="43">
                  <c:v>1.2620494698272171</c:v>
                </c:pt>
                <c:pt idx="44">
                  <c:v>1.251661895241281</c:v>
                </c:pt>
                <c:pt idx="45">
                  <c:v>1.2561594174711963</c:v>
                </c:pt>
                <c:pt idx="46">
                  <c:v>1.262217701469547</c:v>
                </c:pt>
                <c:pt idx="47">
                  <c:v>1.2709774161175638</c:v>
                </c:pt>
                <c:pt idx="48">
                  <c:v>1.2712467812327393</c:v>
                </c:pt>
                <c:pt idx="49">
                  <c:v>1.2748399368304768</c:v>
                </c:pt>
                <c:pt idx="50">
                  <c:v>1.2708947589522572</c:v>
                </c:pt>
                <c:pt idx="51">
                  <c:v>1.2851526337490178</c:v>
                </c:pt>
                <c:pt idx="52">
                  <c:v>1.2945376255416474</c:v>
                </c:pt>
                <c:pt idx="53">
                  <c:v>1.2742389706168362</c:v>
                </c:pt>
                <c:pt idx="54">
                  <c:v>1.2707887632932169</c:v>
                </c:pt>
                <c:pt idx="55">
                  <c:v>1.2763861120403288</c:v>
                </c:pt>
                <c:pt idx="56">
                  <c:v>1.2820155512163245</c:v>
                </c:pt>
                <c:pt idx="57">
                  <c:v>1.2761925970297876</c:v>
                </c:pt>
                <c:pt idx="58">
                  <c:v>1.279114770932684</c:v>
                </c:pt>
                <c:pt idx="59">
                  <c:v>1.268558964704418</c:v>
                </c:pt>
                <c:pt idx="60">
                  <c:v>1.2640565802883081</c:v>
                </c:pt>
                <c:pt idx="61">
                  <c:v>1.2688886209284054</c:v>
                </c:pt>
                <c:pt idx="62">
                  <c:v>1.2698620306045447</c:v>
                </c:pt>
                <c:pt idx="63">
                  <c:v>1.2506991823747695</c:v>
                </c:pt>
                <c:pt idx="64">
                  <c:v>1.2665003150696652</c:v>
                </c:pt>
                <c:pt idx="65">
                  <c:v>1.2701848797678599</c:v>
                </c:pt>
                <c:pt idx="66">
                  <c:v>1.269957329453957</c:v>
                </c:pt>
                <c:pt idx="67">
                  <c:v>1.2641878593155598</c:v>
                </c:pt>
                <c:pt idx="68">
                  <c:v>1.2699874750083628</c:v>
                </c:pt>
                <c:pt idx="69">
                  <c:v>1.2656309561780883</c:v>
                </c:pt>
                <c:pt idx="70">
                  <c:v>1.2804606240713226</c:v>
                </c:pt>
                <c:pt idx="71">
                  <c:v>1.2698727274141726</c:v>
                </c:pt>
                <c:pt idx="72">
                  <c:v>1.263558692421991</c:v>
                </c:pt>
                <c:pt idx="73">
                  <c:v>1.2687602592128702</c:v>
                </c:pt>
                <c:pt idx="74">
                  <c:v>1.2618705413752596</c:v>
                </c:pt>
                <c:pt idx="75">
                  <c:v>1.2674241304466209</c:v>
                </c:pt>
                <c:pt idx="76">
                  <c:v>1.2714052885026801</c:v>
                </c:pt>
                <c:pt idx="77">
                  <c:v>1.2765640680550476</c:v>
                </c:pt>
                <c:pt idx="78">
                  <c:v>1.2819212248041509</c:v>
                </c:pt>
                <c:pt idx="79">
                  <c:v>1.3013563554608185</c:v>
                </c:pt>
                <c:pt idx="80">
                  <c:v>1.3010500377305649</c:v>
                </c:pt>
                <c:pt idx="81">
                  <c:v>1.3097552958932031</c:v>
                </c:pt>
                <c:pt idx="82">
                  <c:v>1.3107345401927759</c:v>
                </c:pt>
                <c:pt idx="83">
                  <c:v>1.3070460857456259</c:v>
                </c:pt>
                <c:pt idx="84">
                  <c:v>1.3094363364788437</c:v>
                </c:pt>
                <c:pt idx="85">
                  <c:v>1.2864926522642228</c:v>
                </c:pt>
                <c:pt idx="86">
                  <c:v>1.2853228102658254</c:v>
                </c:pt>
                <c:pt idx="87">
                  <c:v>1.2771290540908489</c:v>
                </c:pt>
                <c:pt idx="88">
                  <c:v>1.2596378254747438</c:v>
                </c:pt>
                <c:pt idx="89">
                  <c:v>1.2654510552888916</c:v>
                </c:pt>
                <c:pt idx="90">
                  <c:v>1.2644737558637964</c:v>
                </c:pt>
                <c:pt idx="91">
                  <c:v>1.2633204452984605</c:v>
                </c:pt>
                <c:pt idx="92">
                  <c:v>1.26320569770427</c:v>
                </c:pt>
                <c:pt idx="93">
                  <c:v>1.268352808009771</c:v>
                </c:pt>
                <c:pt idx="94">
                  <c:v>1.2636880265747648</c:v>
                </c:pt>
                <c:pt idx="95">
                  <c:v>1.264528212349175</c:v>
                </c:pt>
                <c:pt idx="96">
                  <c:v>1.2633778190955556</c:v>
                </c:pt>
                <c:pt idx="97">
                  <c:v>1.2625045704550226</c:v>
                </c:pt>
                <c:pt idx="98">
                  <c:v>1.2613172245863251</c:v>
                </c:pt>
                <c:pt idx="99">
                  <c:v>1.2592332915833611</c:v>
                </c:pt>
                <c:pt idx="100">
                  <c:v>1.2618734586869762</c:v>
                </c:pt>
                <c:pt idx="101">
                  <c:v>1.2475261196642369</c:v>
                </c:pt>
                <c:pt idx="102">
                  <c:v>1.2354474767198524</c:v>
                </c:pt>
                <c:pt idx="103">
                  <c:v>1.2308536832032859</c:v>
                </c:pt>
                <c:pt idx="104">
                  <c:v>1.225776588378986</c:v>
                </c:pt>
                <c:pt idx="105">
                  <c:v>1.2247662260877681</c:v>
                </c:pt>
                <c:pt idx="106">
                  <c:v>1.2245270065269986</c:v>
                </c:pt>
                <c:pt idx="107">
                  <c:v>1.2252738383264745</c:v>
                </c:pt>
                <c:pt idx="108">
                  <c:v>1.2222728970072272</c:v>
                </c:pt>
                <c:pt idx="109">
                  <c:v>1.2215552383249186</c:v>
                </c:pt>
                <c:pt idx="110">
                  <c:v>1.2213218533875823</c:v>
                </c:pt>
                <c:pt idx="111">
                  <c:v>1.2173757030721235</c:v>
                </c:pt>
                <c:pt idx="112">
                  <c:v>1.2194800572571047</c:v>
                </c:pt>
                <c:pt idx="113">
                  <c:v>1.2207558949145421</c:v>
                </c:pt>
                <c:pt idx="114">
                  <c:v>1.2179552756665084</c:v>
                </c:pt>
                <c:pt idx="115">
                  <c:v>1.2131387940222338</c:v>
                </c:pt>
                <c:pt idx="116">
                  <c:v>1.1964848338688221</c:v>
                </c:pt>
                <c:pt idx="117">
                  <c:v>1.19577009249823</c:v>
                </c:pt>
                <c:pt idx="118">
                  <c:v>1.1877873552040952</c:v>
                </c:pt>
                <c:pt idx="119">
                  <c:v>1.1789547077631608</c:v>
                </c:pt>
                <c:pt idx="120">
                  <c:v>1.1807955314563996</c:v>
                </c:pt>
                <c:pt idx="121">
                  <c:v>1.1723547762227426</c:v>
                </c:pt>
                <c:pt idx="122">
                  <c:v>1.1671648786787299</c:v>
                </c:pt>
                <c:pt idx="123">
                  <c:v>1.1616618563437915</c:v>
                </c:pt>
                <c:pt idx="124">
                  <c:v>1.1789313692694272</c:v>
                </c:pt>
                <c:pt idx="125">
                  <c:v>1.1832557976708182</c:v>
                </c:pt>
                <c:pt idx="126">
                  <c:v>1.1845092692717611</c:v>
                </c:pt>
                <c:pt idx="127">
                  <c:v>1.1838742677547589</c:v>
                </c:pt>
                <c:pt idx="128">
                  <c:v>1.1892265623176679</c:v>
                </c:pt>
                <c:pt idx="129">
                  <c:v>1.1733418000202267</c:v>
                </c:pt>
                <c:pt idx="130">
                  <c:v>1.1829883774301206</c:v>
                </c:pt>
                <c:pt idx="131">
                  <c:v>1.1867098947433932</c:v>
                </c:pt>
                <c:pt idx="132">
                  <c:v>1.1925834156663528</c:v>
                </c:pt>
                <c:pt idx="133">
                  <c:v>1.184140715558218</c:v>
                </c:pt>
                <c:pt idx="134">
                  <c:v>1.1829815703694484</c:v>
                </c:pt>
                <c:pt idx="135">
                  <c:v>1.1682919334386157</c:v>
                </c:pt>
                <c:pt idx="136">
                  <c:v>1.1683152719323493</c:v>
                </c:pt>
                <c:pt idx="137">
                  <c:v>1.1819002201597908</c:v>
                </c:pt>
                <c:pt idx="138">
                  <c:v>1.1953247162428136</c:v>
                </c:pt>
                <c:pt idx="139">
                  <c:v>1.1919328551535284</c:v>
                </c:pt>
                <c:pt idx="140">
                  <c:v>1.1958760881572703</c:v>
                </c:pt>
                <c:pt idx="141">
                  <c:v>1.1819702356409916</c:v>
                </c:pt>
                <c:pt idx="142">
                  <c:v>1.1845724776922897</c:v>
                </c:pt>
                <c:pt idx="143">
                  <c:v>1.1913610620570549</c:v>
                </c:pt>
                <c:pt idx="144">
                  <c:v>1.1784237570307212</c:v>
                </c:pt>
                <c:pt idx="145">
                  <c:v>1.1827462405576343</c:v>
                </c:pt>
                <c:pt idx="146">
                  <c:v>1.1875442458943699</c:v>
                </c:pt>
                <c:pt idx="147">
                  <c:v>1.1965947192768178</c:v>
                </c:pt>
                <c:pt idx="148">
                  <c:v>1.1926271753421034</c:v>
                </c:pt>
                <c:pt idx="149">
                  <c:v>1.1872437627875496</c:v>
                </c:pt>
                <c:pt idx="150">
                  <c:v>1.1902690150377693</c:v>
                </c:pt>
                <c:pt idx="151">
                  <c:v>1.2104169421905511</c:v>
                </c:pt>
                <c:pt idx="152">
                  <c:v>1.2108837120652232</c:v>
                </c:pt>
                <c:pt idx="153">
                  <c:v>1.2087774130057645</c:v>
                </c:pt>
                <c:pt idx="154">
                  <c:v>1.2240223116000093</c:v>
                </c:pt>
                <c:pt idx="155">
                  <c:v>1.2283554919365502</c:v>
                </c:pt>
                <c:pt idx="156">
                  <c:v>1.2292900041231338</c:v>
                </c:pt>
                <c:pt idx="157">
                  <c:v>1.2278556591957555</c:v>
                </c:pt>
                <c:pt idx="158">
                  <c:v>1.2094221388951556</c:v>
                </c:pt>
                <c:pt idx="159">
                  <c:v>1.2102876080377771</c:v>
                </c:pt>
                <c:pt idx="160">
                  <c:v>1.2047213772823102</c:v>
                </c:pt>
                <c:pt idx="161">
                  <c:v>1.2039988564138069</c:v>
                </c:pt>
                <c:pt idx="162">
                  <c:v>1.211042219335164</c:v>
                </c:pt>
                <c:pt idx="163">
                  <c:v>1.213145601082906</c:v>
                </c:pt>
                <c:pt idx="164">
                  <c:v>1.198540566191858</c:v>
                </c:pt>
                <c:pt idx="165">
                  <c:v>1.2073965521265257</c:v>
                </c:pt>
                <c:pt idx="166">
                  <c:v>1.2298676318430408</c:v>
                </c:pt>
                <c:pt idx="167">
                  <c:v>1.2321771702854298</c:v>
                </c:pt>
                <c:pt idx="168">
                  <c:v>1.2418830663668967</c:v>
                </c:pt>
                <c:pt idx="169">
                  <c:v>1.2382442062189305</c:v>
                </c:pt>
                <c:pt idx="170">
                  <c:v>1.2441362034494292</c:v>
                </c:pt>
                <c:pt idx="171">
                  <c:v>1.2422166123398395</c:v>
                </c:pt>
                <c:pt idx="172">
                  <c:v>1.2461579004691037</c:v>
                </c:pt>
                <c:pt idx="173">
                  <c:v>1.2533694950327905</c:v>
                </c:pt>
                <c:pt idx="174">
                  <c:v>1.2401229549644865</c:v>
                </c:pt>
                <c:pt idx="175">
                  <c:v>1.2341988673051041</c:v>
                </c:pt>
                <c:pt idx="176">
                  <c:v>1.2452982659499157</c:v>
                </c:pt>
                <c:pt idx="177">
                  <c:v>1.2413141905821397</c:v>
                </c:pt>
                <c:pt idx="178">
                  <c:v>1.2340656434033748</c:v>
                </c:pt>
                <c:pt idx="179">
                  <c:v>1.2462483371323214</c:v>
                </c:pt>
                <c:pt idx="180">
                  <c:v>1.2363158631741906</c:v>
                </c:pt>
                <c:pt idx="181">
                  <c:v>1.232320118559548</c:v>
                </c:pt>
                <c:pt idx="182">
                  <c:v>1.23403452541173</c:v>
                </c:pt>
                <c:pt idx="183">
                  <c:v>1.2469504368188078</c:v>
                </c:pt>
                <c:pt idx="184">
                  <c:v>1.2315839835697004</c:v>
                </c:pt>
                <c:pt idx="185">
                  <c:v>1.2267354114965419</c:v>
                </c:pt>
                <c:pt idx="186">
                  <c:v>1.2254829123328379</c:v>
                </c:pt>
                <c:pt idx="187">
                  <c:v>1.2273830546976496</c:v>
                </c:pt>
                <c:pt idx="188">
                  <c:v>1.2294397594579245</c:v>
                </c:pt>
                <c:pt idx="189">
                  <c:v>1.2310228872828546</c:v>
                </c:pt>
                <c:pt idx="190">
                  <c:v>1.2271632838816582</c:v>
                </c:pt>
                <c:pt idx="191">
                  <c:v>1.2290332806920641</c:v>
                </c:pt>
                <c:pt idx="192">
                  <c:v>1.2243043183992903</c:v>
                </c:pt>
                <c:pt idx="193">
                  <c:v>1.2283447951269224</c:v>
                </c:pt>
                <c:pt idx="194">
                  <c:v>1.2451601798619918</c:v>
                </c:pt>
                <c:pt idx="195">
                  <c:v>1.2454042616089558</c:v>
                </c:pt>
                <c:pt idx="196">
                  <c:v>1.2418422240028628</c:v>
                </c:pt>
                <c:pt idx="197">
                  <c:v>1.2360708089899877</c:v>
                </c:pt>
                <c:pt idx="198">
                  <c:v>1.2405829177784864</c:v>
                </c:pt>
                <c:pt idx="199">
                  <c:v>1.2397719051212435</c:v>
                </c:pt>
                <c:pt idx="200">
                  <c:v>1.2344653151085627</c:v>
                </c:pt>
                <c:pt idx="201">
                  <c:v>1.2366377399002668</c:v>
                </c:pt>
                <c:pt idx="202">
                  <c:v>1.2299172261422249</c:v>
                </c:pt>
                <c:pt idx="203">
                  <c:v>1.218253813898851</c:v>
                </c:pt>
                <c:pt idx="204">
                  <c:v>1.2163147740444831</c:v>
                </c:pt>
                <c:pt idx="205">
                  <c:v>1.2095184101818068</c:v>
                </c:pt>
                <c:pt idx="206">
                  <c:v>1.2100804789058914</c:v>
                </c:pt>
                <c:pt idx="207">
                  <c:v>1.212901519335942</c:v>
                </c:pt>
                <c:pt idx="208">
                  <c:v>1.2123413954863353</c:v>
                </c:pt>
                <c:pt idx="209">
                  <c:v>1.2111686361762211</c:v>
                </c:pt>
                <c:pt idx="210">
                  <c:v>1.1716478143500617</c:v>
                </c:pt>
                <c:pt idx="211">
                  <c:v>1.169581385217398</c:v>
                </c:pt>
                <c:pt idx="212">
                  <c:v>1.1685243459387131</c:v>
                </c:pt>
                <c:pt idx="213">
                  <c:v>1.1669674739192333</c:v>
                </c:pt>
                <c:pt idx="214">
                  <c:v>1.177524252584738</c:v>
                </c:pt>
                <c:pt idx="215">
                  <c:v>1.1819682907665139</c:v>
                </c:pt>
                <c:pt idx="216">
                  <c:v>1.1804755996048015</c:v>
                </c:pt>
                <c:pt idx="217">
                  <c:v>1.1864239981951565</c:v>
                </c:pt>
                <c:pt idx="218">
                  <c:v>1.1888103591794184</c:v>
                </c:pt>
                <c:pt idx="219">
                  <c:v>1.1893772900896975</c:v>
                </c:pt>
                <c:pt idx="220">
                  <c:v>1.1880790863757653</c:v>
                </c:pt>
                <c:pt idx="221">
                  <c:v>1.1973493305742047</c:v>
                </c:pt>
                <c:pt idx="222">
                  <c:v>1.1918608947978497</c:v>
                </c:pt>
                <c:pt idx="223">
                  <c:v>1.1866651626304037</c:v>
                </c:pt>
                <c:pt idx="224">
                  <c:v>1.1814548439043744</c:v>
                </c:pt>
                <c:pt idx="225">
                  <c:v>1.1665425188458336</c:v>
                </c:pt>
                <c:pt idx="226">
                  <c:v>1.1731745408151357</c:v>
                </c:pt>
                <c:pt idx="227">
                  <c:v>1.1707833176446791</c:v>
                </c:pt>
                <c:pt idx="228">
                  <c:v>1.1576009584341427</c:v>
                </c:pt>
                <c:pt idx="229">
                  <c:v>1.1632420668570049</c:v>
                </c:pt>
                <c:pt idx="230">
                  <c:v>1.1720688796745058</c:v>
                </c:pt>
                <c:pt idx="231">
                  <c:v>1.1761861789440109</c:v>
                </c:pt>
                <c:pt idx="232">
                  <c:v>1.1750134196338968</c:v>
                </c:pt>
                <c:pt idx="233">
                  <c:v>1.1678844822355166</c:v>
                </c:pt>
                <c:pt idx="234">
                  <c:v>1.1658345845359142</c:v>
                </c:pt>
                <c:pt idx="235">
                  <c:v>1.1659551667535377</c:v>
                </c:pt>
                <c:pt idx="236">
                  <c:v>1.1633441727670897</c:v>
                </c:pt>
                <c:pt idx="237">
                  <c:v>1.1648232498074573</c:v>
                </c:pt>
                <c:pt idx="238">
                  <c:v>1.1637457893467555</c:v>
                </c:pt>
                <c:pt idx="239">
                  <c:v>1.163632014189804</c:v>
                </c:pt>
                <c:pt idx="240">
                  <c:v>1.1628793477668951</c:v>
                </c:pt>
                <c:pt idx="241">
                  <c:v>1.1695852749663536</c:v>
                </c:pt>
                <c:pt idx="242">
                  <c:v>1.1727174953128525</c:v>
                </c:pt>
                <c:pt idx="243">
                  <c:v>1.1734584924888947</c:v>
                </c:pt>
                <c:pt idx="244">
                  <c:v>1.1508220984417665</c:v>
                </c:pt>
                <c:pt idx="245">
                  <c:v>1.1496804571232973</c:v>
                </c:pt>
                <c:pt idx="246">
                  <c:v>1.1478678341099866</c:v>
                </c:pt>
                <c:pt idx="247">
                  <c:v>1.1618514816053771</c:v>
                </c:pt>
                <c:pt idx="248">
                  <c:v>1.1667875730300366</c:v>
                </c:pt>
                <c:pt idx="249">
                  <c:v>1.1637632932170556</c:v>
                </c:pt>
                <c:pt idx="250">
                  <c:v>1.1432964066499147</c:v>
                </c:pt>
                <c:pt idx="251">
                  <c:v>1.1433178002691706</c:v>
                </c:pt>
                <c:pt idx="252">
                  <c:v>1.1468856724986969</c:v>
                </c:pt>
                <c:pt idx="253">
                  <c:v>1.1447346413262487</c:v>
                </c:pt>
                <c:pt idx="254">
                  <c:v>1.1449894198828408</c:v>
                </c:pt>
                <c:pt idx="255">
                  <c:v>1.1345396093136149</c:v>
                </c:pt>
                <c:pt idx="256">
                  <c:v>1.1321950631306255</c:v>
                </c:pt>
                <c:pt idx="257">
                  <c:v>1.1225212574780423</c:v>
                </c:pt>
                <c:pt idx="258">
                  <c:v>1.1231105544448161</c:v>
                </c:pt>
                <c:pt idx="259">
                  <c:v>1.1192597029787696</c:v>
                </c:pt>
                <c:pt idx="260">
                  <c:v>1.1330342764677968</c:v>
                </c:pt>
                <c:pt idx="261">
                  <c:v>1.1522049041954832</c:v>
                </c:pt>
                <c:pt idx="262">
                  <c:v>1.1480642664322442</c:v>
                </c:pt>
                <c:pt idx="263">
                  <c:v>1.1275351438818138</c:v>
                </c:pt>
                <c:pt idx="264">
                  <c:v>1.1227517251036618</c:v>
                </c:pt>
                <c:pt idx="265">
                  <c:v>1.1309571505255049</c:v>
                </c:pt>
                <c:pt idx="266">
                  <c:v>1.1277247691433994</c:v>
                </c:pt>
                <c:pt idx="267">
                  <c:v>1.1279678784531246</c:v>
                </c:pt>
                <c:pt idx="268">
                  <c:v>1.1221925736912939</c:v>
                </c:pt>
                <c:pt idx="269">
                  <c:v>1.1308647689878095</c:v>
                </c:pt>
                <c:pt idx="270">
                  <c:v>1.1203488326863384</c:v>
                </c:pt>
                <c:pt idx="271">
                  <c:v>1.1325169398567017</c:v>
                </c:pt>
                <c:pt idx="272">
                  <c:v>1.1264032269357334</c:v>
                </c:pt>
                <c:pt idx="273">
                  <c:v>1.1245254506274165</c:v>
                </c:pt>
                <c:pt idx="274">
                  <c:v>1.1279309258380463</c:v>
                </c:pt>
                <c:pt idx="275">
                  <c:v>1.1265627066429134</c:v>
                </c:pt>
                <c:pt idx="276">
                  <c:v>1.1265014430968625</c:v>
                </c:pt>
                <c:pt idx="277">
                  <c:v>1.12649463603619</c:v>
                </c:pt>
                <c:pt idx="278">
                  <c:v>1.1164610286052137</c:v>
                </c:pt>
                <c:pt idx="279">
                  <c:v>1.1135427444512729</c:v>
                </c:pt>
                <c:pt idx="280">
                  <c:v>1.1158707592012012</c:v>
                </c:pt>
                <c:pt idx="281">
                  <c:v>1.1156033389605033</c:v>
                </c:pt>
                <c:pt idx="282">
                  <c:v>1.1134338314805161</c:v>
                </c:pt>
                <c:pt idx="283">
                  <c:v>1.114033825256918</c:v>
                </c:pt>
                <c:pt idx="284">
                  <c:v>1.1152532615544992</c:v>
                </c:pt>
                <c:pt idx="285">
                  <c:v>1.114874011031328</c:v>
                </c:pt>
                <c:pt idx="286">
                  <c:v>1.1111748597745501</c:v>
                </c:pt>
                <c:pt idx="287">
                  <c:v>1.1089683996794846</c:v>
                </c:pt>
                <c:pt idx="288">
                  <c:v>1.1053110632239795</c:v>
                </c:pt>
                <c:pt idx="289">
                  <c:v>1.0934901161479038</c:v>
                </c:pt>
                <c:pt idx="290">
                  <c:v>1.097361388795967</c:v>
                </c:pt>
                <c:pt idx="291">
                  <c:v>1.0881776915117898</c:v>
                </c:pt>
                <c:pt idx="292">
                  <c:v>1.0894827022863942</c:v>
                </c:pt>
                <c:pt idx="293">
                  <c:v>1.0871284317310161</c:v>
                </c:pt>
                <c:pt idx="294">
                  <c:v>1.0683866488256848</c:v>
                </c:pt>
                <c:pt idx="295">
                  <c:v>1.0478322429070428</c:v>
                </c:pt>
                <c:pt idx="296">
                  <c:v>1.0390326583322311</c:v>
                </c:pt>
                <c:pt idx="297">
                  <c:v>1.0223573045595638</c:v>
                </c:pt>
                <c:pt idx="298">
                  <c:v>1.0243702496440878</c:v>
                </c:pt>
                <c:pt idx="299">
                  <c:v>1.0347023953074068</c:v>
                </c:pt>
                <c:pt idx="300">
                  <c:v>1.0327759971371446</c:v>
                </c:pt>
                <c:pt idx="301">
                  <c:v>1.0290982394996226</c:v>
                </c:pt>
                <c:pt idx="302">
                  <c:v>1.0404368577052037</c:v>
                </c:pt>
                <c:pt idx="303">
                  <c:v>1.0368553713543327</c:v>
                </c:pt>
                <c:pt idx="304">
                  <c:v>1.0418546711995207</c:v>
                </c:pt>
                <c:pt idx="305">
                  <c:v>1.0390618314493982</c:v>
                </c:pt>
                <c:pt idx="306">
                  <c:v>1.0370615280489797</c:v>
                </c:pt>
                <c:pt idx="307">
                  <c:v>1.0391017013761932</c:v>
                </c:pt>
                <c:pt idx="308">
                  <c:v>1.0369944298794955</c:v>
                </c:pt>
                <c:pt idx="309">
                  <c:v>1.04392499008114</c:v>
                </c:pt>
                <c:pt idx="310">
                  <c:v>1.0398942377258971</c:v>
                </c:pt>
                <c:pt idx="311">
                  <c:v>1.0373911842729671</c:v>
                </c:pt>
                <c:pt idx="312">
                  <c:v>1.0337124541982061</c:v>
                </c:pt>
                <c:pt idx="313">
                  <c:v>1.0352576569708192</c:v>
                </c:pt>
                <c:pt idx="314">
                  <c:v>1.0193398318072551</c:v>
                </c:pt>
                <c:pt idx="315">
                  <c:v>1.0168727585321644</c:v>
                </c:pt>
                <c:pt idx="316">
                  <c:v>0.99763600507223249</c:v>
                </c:pt>
                <c:pt idx="317">
                  <c:v>1.004127023641894</c:v>
                </c:pt>
                <c:pt idx="318">
                  <c:v>1.0085078534031413</c:v>
                </c:pt>
                <c:pt idx="319">
                  <c:v>1.0236029966625952</c:v>
                </c:pt>
                <c:pt idx="320">
                  <c:v>1.0371052877247302</c:v>
                </c:pt>
                <c:pt idx="321">
                  <c:v>1.0401373470356223</c:v>
                </c:pt>
                <c:pt idx="322">
                  <c:v>1.0421687684276857</c:v>
                </c:pt>
                <c:pt idx="323">
                  <c:v>1.0414491648708992</c:v>
                </c:pt>
                <c:pt idx="324">
                  <c:v>1.0460808834397828</c:v>
                </c:pt>
                <c:pt idx="325">
                  <c:v>1.0464562442139984</c:v>
                </c:pt>
                <c:pt idx="326">
                  <c:v>1.0415512707809838</c:v>
                </c:pt>
                <c:pt idx="327">
                  <c:v>1.0406430143998506</c:v>
                </c:pt>
                <c:pt idx="328">
                  <c:v>1.0352255665419354</c:v>
                </c:pt>
                <c:pt idx="329">
                  <c:v>1.0338515127233687</c:v>
                </c:pt>
                <c:pt idx="330">
                  <c:v>1.0214062609399188</c:v>
                </c:pt>
                <c:pt idx="331">
                  <c:v>1.0288755513719143</c:v>
                </c:pt>
                <c:pt idx="332">
                  <c:v>1.0127029476517584</c:v>
                </c:pt>
                <c:pt idx="333">
                  <c:v>1.023302513555775</c:v>
                </c:pt>
                <c:pt idx="334">
                  <c:v>1.0285624265809883</c:v>
                </c:pt>
                <c:pt idx="335">
                  <c:v>1.03312510210591</c:v>
                </c:pt>
                <c:pt idx="336">
                  <c:v>1.0221307266828998</c:v>
                </c:pt>
                <c:pt idx="337">
                  <c:v>1.0118734586869764</c:v>
                </c:pt>
                <c:pt idx="338">
                  <c:v>1.0150630528305702</c:v>
                </c:pt>
                <c:pt idx="339">
                  <c:v>1.0075889002123801</c:v>
                </c:pt>
                <c:pt idx="340">
                  <c:v>1.0107230654333568</c:v>
                </c:pt>
                <c:pt idx="341">
                  <c:v>1.0334061364679523</c:v>
                </c:pt>
                <c:pt idx="342">
                  <c:v>1.037997012672802</c:v>
                </c:pt>
                <c:pt idx="343">
                  <c:v>1.0148831519413737</c:v>
                </c:pt>
                <c:pt idx="344">
                  <c:v>1.0107376519919404</c:v>
                </c:pt>
                <c:pt idx="345">
                  <c:v>1.0087937499513782</c:v>
                </c:pt>
                <c:pt idx="346">
                  <c:v>1.0092342640206</c:v>
                </c:pt>
                <c:pt idx="347">
                  <c:v>1.0100316625564987</c:v>
                </c:pt>
                <c:pt idx="348">
                  <c:v>1.0144241615646126</c:v>
                </c:pt>
                <c:pt idx="349">
                  <c:v>1.0282006799281174</c:v>
                </c:pt>
                <c:pt idx="350">
                  <c:v>1.03810495320632</c:v>
                </c:pt>
                <c:pt idx="351">
                  <c:v>1.0456598181153387</c:v>
                </c:pt>
                <c:pt idx="352">
                  <c:v>1.0392572913344171</c:v>
                </c:pt>
                <c:pt idx="353">
                  <c:v>1.0389344421711022</c:v>
                </c:pt>
                <c:pt idx="354">
                  <c:v>1.0243955330122994</c:v>
                </c:pt>
                <c:pt idx="355">
                  <c:v>1.0300726216130012</c:v>
                </c:pt>
                <c:pt idx="356">
                  <c:v>1.0363886014796604</c:v>
                </c:pt>
                <c:pt idx="357">
                  <c:v>1.0253806119353057</c:v>
                </c:pt>
                <c:pt idx="358">
                  <c:v>1.0295941824914621</c:v>
                </c:pt>
                <c:pt idx="359">
                  <c:v>1.0239365426355382</c:v>
                </c:pt>
                <c:pt idx="360">
                  <c:v>1.033017161572392</c:v>
                </c:pt>
                <c:pt idx="361">
                  <c:v>1.03009109792054</c:v>
                </c:pt>
                <c:pt idx="362">
                  <c:v>1.0205096738056525</c:v>
                </c:pt>
                <c:pt idx="363">
                  <c:v>1.0253728324373945</c:v>
                </c:pt>
                <c:pt idx="364">
                  <c:v>1.0310781217180243</c:v>
                </c:pt>
                <c:pt idx="365">
                  <c:v>1.0247222719245699</c:v>
                </c:pt>
                <c:pt idx="366">
                  <c:v>1.0382372046708104</c:v>
                </c:pt>
                <c:pt idx="367">
                  <c:v>1.0443207720373726</c:v>
                </c:pt>
                <c:pt idx="368">
                  <c:v>1.041813828835487</c:v>
                </c:pt>
                <c:pt idx="369">
                  <c:v>1.0446737667550936</c:v>
                </c:pt>
                <c:pt idx="370">
                  <c:v>1.0357322063434025</c:v>
                </c:pt>
                <c:pt idx="371">
                  <c:v>1.039817415184024</c:v>
                </c:pt>
                <c:pt idx="372">
                  <c:v>1.0144815353617078</c:v>
                </c:pt>
                <c:pt idx="373">
                  <c:v>1.0081461067502702</c:v>
                </c:pt>
                <c:pt idx="374">
                  <c:v>0.99459519382619044</c:v>
                </c:pt>
                <c:pt idx="375">
                  <c:v>0.98898909314392836</c:v>
                </c:pt>
                <c:pt idx="376">
                  <c:v>0.9864733980068926</c:v>
                </c:pt>
                <c:pt idx="377">
                  <c:v>1.0045782345207441</c:v>
                </c:pt>
                <c:pt idx="378">
                  <c:v>1.0052569957134967</c:v>
                </c:pt>
                <c:pt idx="379">
                  <c:v>0.99917245590969561</c:v>
                </c:pt>
                <c:pt idx="380">
                  <c:v>1.00351147086967</c:v>
                </c:pt>
                <c:pt idx="381">
                  <c:v>0.99653034393160267</c:v>
                </c:pt>
                <c:pt idx="382">
                  <c:v>0.99171483472456678</c:v>
                </c:pt>
                <c:pt idx="383">
                  <c:v>0.98677679842542954</c:v>
                </c:pt>
                <c:pt idx="384">
                  <c:v>0.98762768100946752</c:v>
                </c:pt>
                <c:pt idx="385">
                  <c:v>0.9862468201302288</c:v>
                </c:pt>
                <c:pt idx="386">
                  <c:v>0.97061294664042375</c:v>
                </c:pt>
                <c:pt idx="387">
                  <c:v>0.97857623518978076</c:v>
                </c:pt>
                <c:pt idx="388">
                  <c:v>0.97894284402884635</c:v>
                </c:pt>
                <c:pt idx="389">
                  <c:v>0.97907898524229231</c:v>
                </c:pt>
                <c:pt idx="390">
                  <c:v>0.96569922127225893</c:v>
                </c:pt>
                <c:pt idx="391">
                  <c:v>0.96894327190123142</c:v>
                </c:pt>
                <c:pt idx="392">
                  <c:v>0.95623740693775616</c:v>
                </c:pt>
                <c:pt idx="393">
                  <c:v>0.93642399819515643</c:v>
                </c:pt>
                <c:pt idx="394">
                  <c:v>0.91591724170122057</c:v>
                </c:pt>
                <c:pt idx="395">
                  <c:v>0.91149070738974503</c:v>
                </c:pt>
                <c:pt idx="396">
                  <c:v>0.9269864947916262</c:v>
                </c:pt>
                <c:pt idx="397">
                  <c:v>0.95066631399609469</c:v>
                </c:pt>
                <c:pt idx="398">
                  <c:v>0.94132799919093213</c:v>
                </c:pt>
                <c:pt idx="399">
                  <c:v>0.9347329298367083</c:v>
                </c:pt>
                <c:pt idx="400">
                  <c:v>0.91868868783208735</c:v>
                </c:pt>
                <c:pt idx="401">
                  <c:v>0.90131901387084468</c:v>
                </c:pt>
                <c:pt idx="402">
                  <c:v>0.92937382821312708</c:v>
                </c:pt>
                <c:pt idx="403">
                  <c:v>0.99743179325206355</c:v>
                </c:pt>
                <c:pt idx="404">
                  <c:v>0.97934737792022897</c:v>
                </c:pt>
                <c:pt idx="405">
                  <c:v>0.97394840636985291</c:v>
                </c:pt>
                <c:pt idx="406">
                  <c:v>0.96874392226725692</c:v>
                </c:pt>
                <c:pt idx="407">
                  <c:v>0.9365893125257696</c:v>
                </c:pt>
                <c:pt idx="408">
                  <c:v>0.92872326770030256</c:v>
                </c:pt>
                <c:pt idx="409">
                  <c:v>0.9341922547318795</c:v>
                </c:pt>
                <c:pt idx="410">
                  <c:v>0.9256824564542605</c:v>
                </c:pt>
                <c:pt idx="411">
                  <c:v>0.93912542884482231</c:v>
                </c:pt>
                <c:pt idx="412">
                  <c:v>0.99354204429646109</c:v>
                </c:pt>
                <c:pt idx="413">
                  <c:v>1.0004123133892939</c:v>
                </c:pt>
                <c:pt idx="414">
                  <c:v>0.98421150898920973</c:v>
                </c:pt>
                <c:pt idx="415">
                  <c:v>0.98247862582948897</c:v>
                </c:pt>
                <c:pt idx="416">
                  <c:v>0.99266393346973381</c:v>
                </c:pt>
                <c:pt idx="417">
                  <c:v>0.99231774581268528</c:v>
                </c:pt>
                <c:pt idx="418">
                  <c:v>0.99798705491547568</c:v>
                </c:pt>
                <c:pt idx="419">
                  <c:v>1.0002790894875644</c:v>
                </c:pt>
                <c:pt idx="420">
                  <c:v>0.99895657484265954</c:v>
                </c:pt>
                <c:pt idx="421">
                  <c:v>0.9923926234800805</c:v>
                </c:pt>
                <c:pt idx="422">
                  <c:v>0.97801027671674057</c:v>
                </c:pt>
                <c:pt idx="423">
                  <c:v>0.95710093120590001</c:v>
                </c:pt>
                <c:pt idx="424">
                  <c:v>0.96427071096831407</c:v>
                </c:pt>
                <c:pt idx="425">
                  <c:v>0.95258882241740106</c:v>
                </c:pt>
                <c:pt idx="426">
                  <c:v>0.9669167126953625</c:v>
                </c:pt>
                <c:pt idx="427">
                  <c:v>0.9617589055802338</c:v>
                </c:pt>
                <c:pt idx="428">
                  <c:v>0.96785705950537948</c:v>
                </c:pt>
                <c:pt idx="429">
                  <c:v>0.95902927425063988</c:v>
                </c:pt>
                <c:pt idx="430">
                  <c:v>0.97003726379499455</c:v>
                </c:pt>
                <c:pt idx="431">
                  <c:v>0.97685599371416565</c:v>
                </c:pt>
                <c:pt idx="432">
                  <c:v>0.97054001384750621</c:v>
                </c:pt>
                <c:pt idx="433">
                  <c:v>0.95979069260869909</c:v>
                </c:pt>
                <c:pt idx="434">
                  <c:v>0.95803155364352788</c:v>
                </c:pt>
                <c:pt idx="435">
                  <c:v>0.95573562932248346</c:v>
                </c:pt>
                <c:pt idx="436">
                  <c:v>0.96531608100013222</c:v>
                </c:pt>
                <c:pt idx="437">
                  <c:v>0.97622682682059692</c:v>
                </c:pt>
                <c:pt idx="438">
                  <c:v>1.0036670608278941</c:v>
                </c:pt>
                <c:pt idx="439">
                  <c:v>1.0015938246345579</c:v>
                </c:pt>
                <c:pt idx="440">
                  <c:v>0.99768073718522199</c:v>
                </c:pt>
                <c:pt idx="441">
                  <c:v>1.0010609290276404</c:v>
                </c:pt>
                <c:pt idx="442">
                  <c:v>1.0087567973362999</c:v>
                </c:pt>
                <c:pt idx="443">
                  <c:v>1.0148092467112171</c:v>
                </c:pt>
                <c:pt idx="444">
                  <c:v>1.0134050473382448</c:v>
                </c:pt>
                <c:pt idx="445">
                  <c:v>1.0064326723353274</c:v>
                </c:pt>
                <c:pt idx="446">
                  <c:v>0.98413663132181439</c:v>
                </c:pt>
                <c:pt idx="447">
                  <c:v>0.97745209774161168</c:v>
                </c:pt>
                <c:pt idx="448">
                  <c:v>0.98154411364290539</c:v>
                </c:pt>
                <c:pt idx="449">
                  <c:v>0.97497530009413191</c:v>
                </c:pt>
                <c:pt idx="450">
                  <c:v>0.94924169344110521</c:v>
                </c:pt>
                <c:pt idx="451">
                  <c:v>0.94161000599021327</c:v>
                </c:pt>
                <c:pt idx="452">
                  <c:v>0.93570439463836996</c:v>
                </c:pt>
                <c:pt idx="453">
                  <c:v>0.92679297978108499</c:v>
                </c:pt>
                <c:pt idx="454">
                  <c:v>0.93592319301712268</c:v>
                </c:pt>
                <c:pt idx="455">
                  <c:v>0.92997673930124547</c:v>
                </c:pt>
                <c:pt idx="456">
                  <c:v>0.95246726776253854</c:v>
                </c:pt>
                <c:pt idx="457">
                  <c:v>0.9690833028636332</c:v>
                </c:pt>
                <c:pt idx="458">
                  <c:v>0.97696976887111708</c:v>
                </c:pt>
                <c:pt idx="459">
                  <c:v>0.9615401072014812</c:v>
                </c:pt>
                <c:pt idx="460">
                  <c:v>0.95798195934434394</c:v>
                </c:pt>
                <c:pt idx="461">
                  <c:v>0.97466703748940042</c:v>
                </c:pt>
                <c:pt idx="462">
                  <c:v>0.97146480166170068</c:v>
                </c:pt>
                <c:pt idx="463">
                  <c:v>0.96744280124160775</c:v>
                </c:pt>
                <c:pt idx="464">
                  <c:v>0.96765284768521032</c:v>
                </c:pt>
                <c:pt idx="465">
                  <c:v>0.96195436546525293</c:v>
                </c:pt>
                <c:pt idx="466">
                  <c:v>0.97082396552126515</c:v>
                </c:pt>
                <c:pt idx="467">
                  <c:v>0.96600456656527389</c:v>
                </c:pt>
                <c:pt idx="468">
                  <c:v>0.97149008502991219</c:v>
                </c:pt>
                <c:pt idx="469">
                  <c:v>0.9560156912472868</c:v>
                </c:pt>
                <c:pt idx="470">
                  <c:v>0.92363547606637464</c:v>
                </c:pt>
                <c:pt idx="471">
                  <c:v>0.94550947931820473</c:v>
                </c:pt>
                <c:pt idx="472">
                  <c:v>0.94256591179605265</c:v>
                </c:pt>
                <c:pt idx="473">
                  <c:v>0.95093956886022579</c:v>
                </c:pt>
                <c:pt idx="474">
                  <c:v>0.95533887492901204</c:v>
                </c:pt>
                <c:pt idx="475">
                  <c:v>0.94831301587795525</c:v>
                </c:pt>
                <c:pt idx="476">
                  <c:v>0.95071493585803979</c:v>
                </c:pt>
                <c:pt idx="477">
                  <c:v>0.94493282403553669</c:v>
                </c:pt>
                <c:pt idx="478">
                  <c:v>0.92336805582567694</c:v>
                </c:pt>
                <c:pt idx="479">
                  <c:v>0.925108718483309</c:v>
                </c:pt>
                <c:pt idx="480">
                  <c:v>0.90742786460561831</c:v>
                </c:pt>
                <c:pt idx="481">
                  <c:v>0.89151101187929316</c:v>
                </c:pt>
                <c:pt idx="482">
                  <c:v>0.91572178181620156</c:v>
                </c:pt>
                <c:pt idx="483">
                  <c:v>0.93097154259664083</c:v>
                </c:pt>
                <c:pt idx="484">
                  <c:v>0.91292894206607889</c:v>
                </c:pt>
                <c:pt idx="485">
                  <c:v>0.92027959515492863</c:v>
                </c:pt>
                <c:pt idx="486">
                  <c:v>0.91187482009911069</c:v>
                </c:pt>
                <c:pt idx="487">
                  <c:v>0.88833211454532723</c:v>
                </c:pt>
                <c:pt idx="488">
                  <c:v>0.90302758609959299</c:v>
                </c:pt>
                <c:pt idx="489">
                  <c:v>0.91344530623993525</c:v>
                </c:pt>
                <c:pt idx="490">
                  <c:v>0.91747703103241707</c:v>
                </c:pt>
                <c:pt idx="491">
                  <c:v>0.93169600833962185</c:v>
                </c:pt>
                <c:pt idx="492">
                  <c:v>0.94889258847233982</c:v>
                </c:pt>
                <c:pt idx="493">
                  <c:v>0.95280470348443713</c:v>
                </c:pt>
                <c:pt idx="494">
                  <c:v>0.9373896283733848</c:v>
                </c:pt>
                <c:pt idx="495">
                  <c:v>0.96084773188738393</c:v>
                </c:pt>
                <c:pt idx="496">
                  <c:v>0.95520078884108817</c:v>
                </c:pt>
                <c:pt idx="497">
                  <c:v>0.94677948235220888</c:v>
                </c:pt>
                <c:pt idx="498">
                  <c:v>0.94957329453957029</c:v>
                </c:pt>
                <c:pt idx="499">
                  <c:v>0.93102697151925806</c:v>
                </c:pt>
                <c:pt idx="500">
                  <c:v>0.91327804703484428</c:v>
                </c:pt>
                <c:pt idx="501">
                  <c:v>0.93978376885555792</c:v>
                </c:pt>
                <c:pt idx="502">
                  <c:v>0.92821760033607426</c:v>
                </c:pt>
                <c:pt idx="503">
                  <c:v>0.95242448052402695</c:v>
                </c:pt>
                <c:pt idx="504">
                  <c:v>0.96864084391993333</c:v>
                </c:pt>
                <c:pt idx="505">
                  <c:v>0.97102039784352312</c:v>
                </c:pt>
                <c:pt idx="506">
                  <c:v>0.95542639428051301</c:v>
                </c:pt>
                <c:pt idx="507">
                  <c:v>0.95778649945932481</c:v>
                </c:pt>
                <c:pt idx="508">
                  <c:v>0.97047777786421663</c:v>
                </c:pt>
                <c:pt idx="509">
                  <c:v>0.993249340687552</c:v>
                </c:pt>
                <c:pt idx="510">
                  <c:v>1.002592517678909</c:v>
                </c:pt>
                <c:pt idx="51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845-49C1-A22D-C8D81172587F}"/>
            </c:ext>
          </c:extLst>
        </c:ser>
        <c:ser>
          <c:idx val="3"/>
          <c:order val="3"/>
          <c:tx>
            <c:strRef>
              <c:f>'Graf 3+4'!$P$2</c:f>
              <c:strCache>
                <c:ptCount val="1"/>
                <c:pt idx="0">
                  <c:v>Shanghai Composite</c:v>
                </c:pt>
              </c:strCache>
            </c:strRef>
          </c:tx>
          <c:spPr>
            <a:ln w="19050" cap="rnd">
              <a:solidFill>
                <a:srgbClr val="555555"/>
              </a:solidFill>
              <a:round/>
            </a:ln>
            <a:effectLst/>
          </c:spPr>
          <c:marker>
            <c:symbol val="none"/>
          </c:marker>
          <c:cat>
            <c:numRef>
              <c:f>'Graf 3+4'!$L$3:$L$567</c:f>
              <c:numCache>
                <c:formatCode>m/d/yyyy</c:formatCode>
                <c:ptCount val="565"/>
                <c:pt idx="0">
                  <c:v>43172</c:v>
                </c:pt>
                <c:pt idx="1">
                  <c:v>43171</c:v>
                </c:pt>
                <c:pt idx="2">
                  <c:v>43168</c:v>
                </c:pt>
                <c:pt idx="3">
                  <c:v>43167</c:v>
                </c:pt>
                <c:pt idx="4">
                  <c:v>43166</c:v>
                </c:pt>
                <c:pt idx="5">
                  <c:v>43165</c:v>
                </c:pt>
                <c:pt idx="6">
                  <c:v>43164</c:v>
                </c:pt>
                <c:pt idx="7">
                  <c:v>43161</c:v>
                </c:pt>
                <c:pt idx="8">
                  <c:v>43160</c:v>
                </c:pt>
                <c:pt idx="9">
                  <c:v>43159</c:v>
                </c:pt>
                <c:pt idx="10">
                  <c:v>43158</c:v>
                </c:pt>
                <c:pt idx="11">
                  <c:v>43157</c:v>
                </c:pt>
                <c:pt idx="12">
                  <c:v>43154</c:v>
                </c:pt>
                <c:pt idx="13">
                  <c:v>43153</c:v>
                </c:pt>
                <c:pt idx="14">
                  <c:v>43145</c:v>
                </c:pt>
                <c:pt idx="15">
                  <c:v>43144</c:v>
                </c:pt>
                <c:pt idx="16">
                  <c:v>43143</c:v>
                </c:pt>
                <c:pt idx="17">
                  <c:v>43140</c:v>
                </c:pt>
                <c:pt idx="18">
                  <c:v>43139</c:v>
                </c:pt>
                <c:pt idx="19">
                  <c:v>43138</c:v>
                </c:pt>
                <c:pt idx="20">
                  <c:v>43137</c:v>
                </c:pt>
                <c:pt idx="21">
                  <c:v>43136</c:v>
                </c:pt>
                <c:pt idx="22">
                  <c:v>43133</c:v>
                </c:pt>
                <c:pt idx="23">
                  <c:v>43132</c:v>
                </c:pt>
                <c:pt idx="24">
                  <c:v>43131</c:v>
                </c:pt>
                <c:pt idx="25">
                  <c:v>43130</c:v>
                </c:pt>
                <c:pt idx="26">
                  <c:v>43129</c:v>
                </c:pt>
                <c:pt idx="27">
                  <c:v>43126</c:v>
                </c:pt>
                <c:pt idx="28">
                  <c:v>43125</c:v>
                </c:pt>
                <c:pt idx="29">
                  <c:v>43124</c:v>
                </c:pt>
                <c:pt idx="30">
                  <c:v>43123</c:v>
                </c:pt>
                <c:pt idx="31">
                  <c:v>43122</c:v>
                </c:pt>
                <c:pt idx="32">
                  <c:v>43119</c:v>
                </c:pt>
                <c:pt idx="33">
                  <c:v>43118</c:v>
                </c:pt>
                <c:pt idx="34">
                  <c:v>43117</c:v>
                </c:pt>
                <c:pt idx="35">
                  <c:v>43116</c:v>
                </c:pt>
                <c:pt idx="36">
                  <c:v>43112</c:v>
                </c:pt>
                <c:pt idx="37">
                  <c:v>43111</c:v>
                </c:pt>
                <c:pt idx="38">
                  <c:v>43110</c:v>
                </c:pt>
                <c:pt idx="39">
                  <c:v>43109</c:v>
                </c:pt>
                <c:pt idx="40">
                  <c:v>43108</c:v>
                </c:pt>
                <c:pt idx="41">
                  <c:v>43105</c:v>
                </c:pt>
                <c:pt idx="42">
                  <c:v>43104</c:v>
                </c:pt>
                <c:pt idx="43">
                  <c:v>43103</c:v>
                </c:pt>
                <c:pt idx="44">
                  <c:v>43102</c:v>
                </c:pt>
                <c:pt idx="45">
                  <c:v>43098</c:v>
                </c:pt>
                <c:pt idx="46">
                  <c:v>43097</c:v>
                </c:pt>
                <c:pt idx="47">
                  <c:v>43096</c:v>
                </c:pt>
                <c:pt idx="48">
                  <c:v>43091</c:v>
                </c:pt>
                <c:pt idx="49">
                  <c:v>43090</c:v>
                </c:pt>
                <c:pt idx="50">
                  <c:v>43089</c:v>
                </c:pt>
                <c:pt idx="51">
                  <c:v>43088</c:v>
                </c:pt>
                <c:pt idx="52">
                  <c:v>43087</c:v>
                </c:pt>
                <c:pt idx="53">
                  <c:v>43084</c:v>
                </c:pt>
                <c:pt idx="54">
                  <c:v>43083</c:v>
                </c:pt>
                <c:pt idx="55">
                  <c:v>43082</c:v>
                </c:pt>
                <c:pt idx="56">
                  <c:v>43081</c:v>
                </c:pt>
                <c:pt idx="57">
                  <c:v>43080</c:v>
                </c:pt>
                <c:pt idx="58">
                  <c:v>43077</c:v>
                </c:pt>
                <c:pt idx="59">
                  <c:v>43076</c:v>
                </c:pt>
                <c:pt idx="60">
                  <c:v>43075</c:v>
                </c:pt>
                <c:pt idx="61">
                  <c:v>43074</c:v>
                </c:pt>
                <c:pt idx="62">
                  <c:v>43073</c:v>
                </c:pt>
                <c:pt idx="63">
                  <c:v>43070</c:v>
                </c:pt>
                <c:pt idx="64">
                  <c:v>43069</c:v>
                </c:pt>
                <c:pt idx="65">
                  <c:v>43068</c:v>
                </c:pt>
                <c:pt idx="66">
                  <c:v>43067</c:v>
                </c:pt>
                <c:pt idx="67">
                  <c:v>43066</c:v>
                </c:pt>
                <c:pt idx="68">
                  <c:v>43063</c:v>
                </c:pt>
                <c:pt idx="69">
                  <c:v>43061</c:v>
                </c:pt>
                <c:pt idx="70">
                  <c:v>43060</c:v>
                </c:pt>
                <c:pt idx="71">
                  <c:v>43059</c:v>
                </c:pt>
                <c:pt idx="72">
                  <c:v>43056</c:v>
                </c:pt>
                <c:pt idx="73">
                  <c:v>43055</c:v>
                </c:pt>
                <c:pt idx="74">
                  <c:v>43054</c:v>
                </c:pt>
                <c:pt idx="75">
                  <c:v>43053</c:v>
                </c:pt>
                <c:pt idx="76">
                  <c:v>43052</c:v>
                </c:pt>
                <c:pt idx="77">
                  <c:v>43049</c:v>
                </c:pt>
                <c:pt idx="78">
                  <c:v>43048</c:v>
                </c:pt>
                <c:pt idx="79">
                  <c:v>43047</c:v>
                </c:pt>
                <c:pt idx="80">
                  <c:v>43046</c:v>
                </c:pt>
                <c:pt idx="81">
                  <c:v>43045</c:v>
                </c:pt>
                <c:pt idx="82">
                  <c:v>43042</c:v>
                </c:pt>
                <c:pt idx="83">
                  <c:v>43041</c:v>
                </c:pt>
                <c:pt idx="84">
                  <c:v>43040</c:v>
                </c:pt>
                <c:pt idx="85">
                  <c:v>43038</c:v>
                </c:pt>
                <c:pt idx="86">
                  <c:v>43035</c:v>
                </c:pt>
                <c:pt idx="87">
                  <c:v>43034</c:v>
                </c:pt>
                <c:pt idx="88">
                  <c:v>43033</c:v>
                </c:pt>
                <c:pt idx="89">
                  <c:v>43032</c:v>
                </c:pt>
                <c:pt idx="90">
                  <c:v>43031</c:v>
                </c:pt>
                <c:pt idx="91">
                  <c:v>43028</c:v>
                </c:pt>
                <c:pt idx="92">
                  <c:v>43027</c:v>
                </c:pt>
                <c:pt idx="93">
                  <c:v>43026</c:v>
                </c:pt>
                <c:pt idx="94">
                  <c:v>43025</c:v>
                </c:pt>
                <c:pt idx="95">
                  <c:v>43024</c:v>
                </c:pt>
                <c:pt idx="96">
                  <c:v>43021</c:v>
                </c:pt>
                <c:pt idx="97">
                  <c:v>43020</c:v>
                </c:pt>
                <c:pt idx="98">
                  <c:v>43019</c:v>
                </c:pt>
                <c:pt idx="99">
                  <c:v>43018</c:v>
                </c:pt>
                <c:pt idx="100">
                  <c:v>43017</c:v>
                </c:pt>
                <c:pt idx="101">
                  <c:v>43007</c:v>
                </c:pt>
                <c:pt idx="102">
                  <c:v>43006</c:v>
                </c:pt>
                <c:pt idx="103">
                  <c:v>43005</c:v>
                </c:pt>
                <c:pt idx="104">
                  <c:v>43004</c:v>
                </c:pt>
                <c:pt idx="105">
                  <c:v>43003</c:v>
                </c:pt>
                <c:pt idx="106">
                  <c:v>43000</c:v>
                </c:pt>
                <c:pt idx="107">
                  <c:v>42999</c:v>
                </c:pt>
                <c:pt idx="108">
                  <c:v>42998</c:v>
                </c:pt>
                <c:pt idx="109">
                  <c:v>42997</c:v>
                </c:pt>
                <c:pt idx="110">
                  <c:v>42996</c:v>
                </c:pt>
                <c:pt idx="111">
                  <c:v>42993</c:v>
                </c:pt>
                <c:pt idx="112">
                  <c:v>42992</c:v>
                </c:pt>
                <c:pt idx="113">
                  <c:v>42991</c:v>
                </c:pt>
                <c:pt idx="114">
                  <c:v>42990</c:v>
                </c:pt>
                <c:pt idx="115">
                  <c:v>42989</c:v>
                </c:pt>
                <c:pt idx="116">
                  <c:v>42986</c:v>
                </c:pt>
                <c:pt idx="117">
                  <c:v>42985</c:v>
                </c:pt>
                <c:pt idx="118">
                  <c:v>42984</c:v>
                </c:pt>
                <c:pt idx="119">
                  <c:v>42983</c:v>
                </c:pt>
                <c:pt idx="120">
                  <c:v>42979</c:v>
                </c:pt>
                <c:pt idx="121">
                  <c:v>42978</c:v>
                </c:pt>
                <c:pt idx="122">
                  <c:v>42977</c:v>
                </c:pt>
                <c:pt idx="123">
                  <c:v>42976</c:v>
                </c:pt>
                <c:pt idx="124">
                  <c:v>42975</c:v>
                </c:pt>
                <c:pt idx="125">
                  <c:v>42972</c:v>
                </c:pt>
                <c:pt idx="126">
                  <c:v>42971</c:v>
                </c:pt>
                <c:pt idx="127">
                  <c:v>42970</c:v>
                </c:pt>
                <c:pt idx="128">
                  <c:v>42969</c:v>
                </c:pt>
                <c:pt idx="129">
                  <c:v>42968</c:v>
                </c:pt>
                <c:pt idx="130">
                  <c:v>42965</c:v>
                </c:pt>
                <c:pt idx="131">
                  <c:v>42964</c:v>
                </c:pt>
                <c:pt idx="132">
                  <c:v>42963</c:v>
                </c:pt>
                <c:pt idx="133">
                  <c:v>42962</c:v>
                </c:pt>
                <c:pt idx="134">
                  <c:v>42961</c:v>
                </c:pt>
                <c:pt idx="135">
                  <c:v>42958</c:v>
                </c:pt>
                <c:pt idx="136">
                  <c:v>42957</c:v>
                </c:pt>
                <c:pt idx="137">
                  <c:v>42956</c:v>
                </c:pt>
                <c:pt idx="138">
                  <c:v>42955</c:v>
                </c:pt>
                <c:pt idx="139">
                  <c:v>42954</c:v>
                </c:pt>
                <c:pt idx="140">
                  <c:v>42951</c:v>
                </c:pt>
                <c:pt idx="141">
                  <c:v>42950</c:v>
                </c:pt>
                <c:pt idx="142">
                  <c:v>42949</c:v>
                </c:pt>
                <c:pt idx="143">
                  <c:v>42948</c:v>
                </c:pt>
                <c:pt idx="144">
                  <c:v>42947</c:v>
                </c:pt>
                <c:pt idx="145">
                  <c:v>42944</c:v>
                </c:pt>
                <c:pt idx="146">
                  <c:v>42943</c:v>
                </c:pt>
                <c:pt idx="147">
                  <c:v>42942</c:v>
                </c:pt>
                <c:pt idx="148">
                  <c:v>42941</c:v>
                </c:pt>
                <c:pt idx="149">
                  <c:v>42940</c:v>
                </c:pt>
                <c:pt idx="150">
                  <c:v>42937</c:v>
                </c:pt>
                <c:pt idx="151">
                  <c:v>42936</c:v>
                </c:pt>
                <c:pt idx="152">
                  <c:v>42935</c:v>
                </c:pt>
                <c:pt idx="153">
                  <c:v>42934</c:v>
                </c:pt>
                <c:pt idx="154">
                  <c:v>42933</c:v>
                </c:pt>
                <c:pt idx="155">
                  <c:v>42930</c:v>
                </c:pt>
                <c:pt idx="156">
                  <c:v>42929</c:v>
                </c:pt>
                <c:pt idx="157">
                  <c:v>42928</c:v>
                </c:pt>
                <c:pt idx="158">
                  <c:v>42927</c:v>
                </c:pt>
                <c:pt idx="159">
                  <c:v>42926</c:v>
                </c:pt>
                <c:pt idx="160">
                  <c:v>42923</c:v>
                </c:pt>
                <c:pt idx="161">
                  <c:v>42922</c:v>
                </c:pt>
                <c:pt idx="162">
                  <c:v>42921</c:v>
                </c:pt>
                <c:pt idx="163">
                  <c:v>42919</c:v>
                </c:pt>
                <c:pt idx="164">
                  <c:v>42916</c:v>
                </c:pt>
                <c:pt idx="165">
                  <c:v>42915</c:v>
                </c:pt>
                <c:pt idx="166">
                  <c:v>42914</c:v>
                </c:pt>
                <c:pt idx="167">
                  <c:v>42913</c:v>
                </c:pt>
                <c:pt idx="168">
                  <c:v>42912</c:v>
                </c:pt>
                <c:pt idx="169">
                  <c:v>42909</c:v>
                </c:pt>
                <c:pt idx="170">
                  <c:v>42908</c:v>
                </c:pt>
                <c:pt idx="171">
                  <c:v>42907</c:v>
                </c:pt>
                <c:pt idx="172">
                  <c:v>42906</c:v>
                </c:pt>
                <c:pt idx="173">
                  <c:v>42905</c:v>
                </c:pt>
                <c:pt idx="174">
                  <c:v>42902</c:v>
                </c:pt>
                <c:pt idx="175">
                  <c:v>42901</c:v>
                </c:pt>
                <c:pt idx="176">
                  <c:v>42900</c:v>
                </c:pt>
                <c:pt idx="177">
                  <c:v>42899</c:v>
                </c:pt>
                <c:pt idx="178">
                  <c:v>42898</c:v>
                </c:pt>
                <c:pt idx="179">
                  <c:v>42895</c:v>
                </c:pt>
                <c:pt idx="180">
                  <c:v>42894</c:v>
                </c:pt>
                <c:pt idx="181">
                  <c:v>42893</c:v>
                </c:pt>
                <c:pt idx="182">
                  <c:v>42892</c:v>
                </c:pt>
                <c:pt idx="183">
                  <c:v>42888</c:v>
                </c:pt>
                <c:pt idx="184">
                  <c:v>42887</c:v>
                </c:pt>
                <c:pt idx="185">
                  <c:v>42886</c:v>
                </c:pt>
                <c:pt idx="186">
                  <c:v>42881</c:v>
                </c:pt>
                <c:pt idx="187">
                  <c:v>42880</c:v>
                </c:pt>
                <c:pt idx="188">
                  <c:v>42879</c:v>
                </c:pt>
                <c:pt idx="189">
                  <c:v>42878</c:v>
                </c:pt>
                <c:pt idx="190">
                  <c:v>42877</c:v>
                </c:pt>
                <c:pt idx="191">
                  <c:v>42874</c:v>
                </c:pt>
                <c:pt idx="192">
                  <c:v>42873</c:v>
                </c:pt>
                <c:pt idx="193">
                  <c:v>42872</c:v>
                </c:pt>
                <c:pt idx="194">
                  <c:v>42871</c:v>
                </c:pt>
                <c:pt idx="195">
                  <c:v>42870</c:v>
                </c:pt>
                <c:pt idx="196">
                  <c:v>42867</c:v>
                </c:pt>
                <c:pt idx="197">
                  <c:v>42866</c:v>
                </c:pt>
                <c:pt idx="198">
                  <c:v>42865</c:v>
                </c:pt>
                <c:pt idx="199">
                  <c:v>42864</c:v>
                </c:pt>
                <c:pt idx="200">
                  <c:v>42863</c:v>
                </c:pt>
                <c:pt idx="201">
                  <c:v>42860</c:v>
                </c:pt>
                <c:pt idx="202">
                  <c:v>42859</c:v>
                </c:pt>
                <c:pt idx="203">
                  <c:v>42858</c:v>
                </c:pt>
                <c:pt idx="204">
                  <c:v>42857</c:v>
                </c:pt>
                <c:pt idx="205">
                  <c:v>42853</c:v>
                </c:pt>
                <c:pt idx="206">
                  <c:v>42852</c:v>
                </c:pt>
                <c:pt idx="207">
                  <c:v>42851</c:v>
                </c:pt>
                <c:pt idx="208">
                  <c:v>42850</c:v>
                </c:pt>
                <c:pt idx="209">
                  <c:v>42849</c:v>
                </c:pt>
                <c:pt idx="210">
                  <c:v>42846</c:v>
                </c:pt>
                <c:pt idx="211">
                  <c:v>42845</c:v>
                </c:pt>
                <c:pt idx="212">
                  <c:v>42844</c:v>
                </c:pt>
                <c:pt idx="213">
                  <c:v>42843</c:v>
                </c:pt>
                <c:pt idx="214">
                  <c:v>42838</c:v>
                </c:pt>
                <c:pt idx="215">
                  <c:v>42837</c:v>
                </c:pt>
                <c:pt idx="216">
                  <c:v>42836</c:v>
                </c:pt>
                <c:pt idx="217">
                  <c:v>42835</c:v>
                </c:pt>
                <c:pt idx="218">
                  <c:v>42832</c:v>
                </c:pt>
                <c:pt idx="219">
                  <c:v>42831</c:v>
                </c:pt>
                <c:pt idx="220">
                  <c:v>42830</c:v>
                </c:pt>
                <c:pt idx="221">
                  <c:v>42825</c:v>
                </c:pt>
                <c:pt idx="222">
                  <c:v>42824</c:v>
                </c:pt>
                <c:pt idx="223">
                  <c:v>42823</c:v>
                </c:pt>
                <c:pt idx="224">
                  <c:v>42822</c:v>
                </c:pt>
                <c:pt idx="225">
                  <c:v>42821</c:v>
                </c:pt>
                <c:pt idx="226">
                  <c:v>42818</c:v>
                </c:pt>
                <c:pt idx="227">
                  <c:v>42817</c:v>
                </c:pt>
                <c:pt idx="228">
                  <c:v>42816</c:v>
                </c:pt>
                <c:pt idx="229">
                  <c:v>42815</c:v>
                </c:pt>
                <c:pt idx="230">
                  <c:v>42814</c:v>
                </c:pt>
                <c:pt idx="231">
                  <c:v>42811</c:v>
                </c:pt>
                <c:pt idx="232">
                  <c:v>42810</c:v>
                </c:pt>
                <c:pt idx="233">
                  <c:v>42809</c:v>
                </c:pt>
                <c:pt idx="234">
                  <c:v>42808</c:v>
                </c:pt>
                <c:pt idx="235">
                  <c:v>42807</c:v>
                </c:pt>
                <c:pt idx="236">
                  <c:v>42804</c:v>
                </c:pt>
                <c:pt idx="237">
                  <c:v>42803</c:v>
                </c:pt>
                <c:pt idx="238">
                  <c:v>42802</c:v>
                </c:pt>
                <c:pt idx="239">
                  <c:v>42801</c:v>
                </c:pt>
                <c:pt idx="240">
                  <c:v>42800</c:v>
                </c:pt>
                <c:pt idx="241">
                  <c:v>42797</c:v>
                </c:pt>
                <c:pt idx="242">
                  <c:v>42796</c:v>
                </c:pt>
                <c:pt idx="243">
                  <c:v>42795</c:v>
                </c:pt>
                <c:pt idx="244">
                  <c:v>42794</c:v>
                </c:pt>
                <c:pt idx="245">
                  <c:v>42793</c:v>
                </c:pt>
                <c:pt idx="246">
                  <c:v>42790</c:v>
                </c:pt>
                <c:pt idx="247">
                  <c:v>42789</c:v>
                </c:pt>
                <c:pt idx="248">
                  <c:v>42788</c:v>
                </c:pt>
                <c:pt idx="249">
                  <c:v>42787</c:v>
                </c:pt>
                <c:pt idx="250">
                  <c:v>42783</c:v>
                </c:pt>
                <c:pt idx="251">
                  <c:v>42782</c:v>
                </c:pt>
                <c:pt idx="252">
                  <c:v>42781</c:v>
                </c:pt>
                <c:pt idx="253">
                  <c:v>42780</c:v>
                </c:pt>
                <c:pt idx="254">
                  <c:v>42779</c:v>
                </c:pt>
                <c:pt idx="255">
                  <c:v>42776</c:v>
                </c:pt>
                <c:pt idx="256">
                  <c:v>42775</c:v>
                </c:pt>
                <c:pt idx="257">
                  <c:v>42774</c:v>
                </c:pt>
                <c:pt idx="258">
                  <c:v>42773</c:v>
                </c:pt>
                <c:pt idx="259">
                  <c:v>42772</c:v>
                </c:pt>
                <c:pt idx="260">
                  <c:v>42769</c:v>
                </c:pt>
                <c:pt idx="261">
                  <c:v>42761</c:v>
                </c:pt>
                <c:pt idx="262">
                  <c:v>42760</c:v>
                </c:pt>
                <c:pt idx="263">
                  <c:v>42759</c:v>
                </c:pt>
                <c:pt idx="264">
                  <c:v>42758</c:v>
                </c:pt>
                <c:pt idx="265">
                  <c:v>42755</c:v>
                </c:pt>
                <c:pt idx="266">
                  <c:v>42754</c:v>
                </c:pt>
                <c:pt idx="267">
                  <c:v>42753</c:v>
                </c:pt>
                <c:pt idx="268">
                  <c:v>42752</c:v>
                </c:pt>
                <c:pt idx="269">
                  <c:v>42748</c:v>
                </c:pt>
                <c:pt idx="270">
                  <c:v>42747</c:v>
                </c:pt>
                <c:pt idx="271">
                  <c:v>42746</c:v>
                </c:pt>
                <c:pt idx="272">
                  <c:v>42745</c:v>
                </c:pt>
                <c:pt idx="273">
                  <c:v>42744</c:v>
                </c:pt>
                <c:pt idx="274">
                  <c:v>42741</c:v>
                </c:pt>
                <c:pt idx="275">
                  <c:v>42740</c:v>
                </c:pt>
                <c:pt idx="276">
                  <c:v>42739</c:v>
                </c:pt>
                <c:pt idx="277">
                  <c:v>42738</c:v>
                </c:pt>
                <c:pt idx="278">
                  <c:v>42734</c:v>
                </c:pt>
                <c:pt idx="279">
                  <c:v>42733</c:v>
                </c:pt>
                <c:pt idx="280">
                  <c:v>42732</c:v>
                </c:pt>
                <c:pt idx="281">
                  <c:v>42731</c:v>
                </c:pt>
                <c:pt idx="282">
                  <c:v>42727</c:v>
                </c:pt>
                <c:pt idx="283">
                  <c:v>42726</c:v>
                </c:pt>
                <c:pt idx="284">
                  <c:v>42725</c:v>
                </c:pt>
                <c:pt idx="285">
                  <c:v>42724</c:v>
                </c:pt>
                <c:pt idx="286">
                  <c:v>42723</c:v>
                </c:pt>
                <c:pt idx="287">
                  <c:v>42720</c:v>
                </c:pt>
                <c:pt idx="288">
                  <c:v>42719</c:v>
                </c:pt>
                <c:pt idx="289">
                  <c:v>42718</c:v>
                </c:pt>
                <c:pt idx="290">
                  <c:v>42717</c:v>
                </c:pt>
                <c:pt idx="291">
                  <c:v>42716</c:v>
                </c:pt>
                <c:pt idx="292">
                  <c:v>42713</c:v>
                </c:pt>
                <c:pt idx="293">
                  <c:v>42712</c:v>
                </c:pt>
                <c:pt idx="294">
                  <c:v>42711</c:v>
                </c:pt>
                <c:pt idx="295">
                  <c:v>42710</c:v>
                </c:pt>
                <c:pt idx="296">
                  <c:v>42709</c:v>
                </c:pt>
                <c:pt idx="297">
                  <c:v>42706</c:v>
                </c:pt>
                <c:pt idx="298">
                  <c:v>42705</c:v>
                </c:pt>
                <c:pt idx="299">
                  <c:v>42704</c:v>
                </c:pt>
                <c:pt idx="300">
                  <c:v>42703</c:v>
                </c:pt>
                <c:pt idx="301">
                  <c:v>42702</c:v>
                </c:pt>
                <c:pt idx="302">
                  <c:v>42699</c:v>
                </c:pt>
                <c:pt idx="303">
                  <c:v>42697</c:v>
                </c:pt>
                <c:pt idx="304">
                  <c:v>42696</c:v>
                </c:pt>
                <c:pt idx="305">
                  <c:v>42695</c:v>
                </c:pt>
                <c:pt idx="306">
                  <c:v>42692</c:v>
                </c:pt>
                <c:pt idx="307">
                  <c:v>42691</c:v>
                </c:pt>
                <c:pt idx="308">
                  <c:v>42690</c:v>
                </c:pt>
                <c:pt idx="309">
                  <c:v>42689</c:v>
                </c:pt>
                <c:pt idx="310">
                  <c:v>42688</c:v>
                </c:pt>
                <c:pt idx="311">
                  <c:v>42685</c:v>
                </c:pt>
                <c:pt idx="312">
                  <c:v>42684</c:v>
                </c:pt>
                <c:pt idx="313">
                  <c:v>42683</c:v>
                </c:pt>
                <c:pt idx="314">
                  <c:v>42682</c:v>
                </c:pt>
                <c:pt idx="315">
                  <c:v>42681</c:v>
                </c:pt>
                <c:pt idx="316">
                  <c:v>42678</c:v>
                </c:pt>
                <c:pt idx="317">
                  <c:v>42677</c:v>
                </c:pt>
                <c:pt idx="318">
                  <c:v>42676</c:v>
                </c:pt>
                <c:pt idx="319">
                  <c:v>42675</c:v>
                </c:pt>
                <c:pt idx="320">
                  <c:v>42674</c:v>
                </c:pt>
                <c:pt idx="321">
                  <c:v>42671</c:v>
                </c:pt>
                <c:pt idx="322">
                  <c:v>42670</c:v>
                </c:pt>
                <c:pt idx="323">
                  <c:v>42669</c:v>
                </c:pt>
                <c:pt idx="324">
                  <c:v>42668</c:v>
                </c:pt>
                <c:pt idx="325">
                  <c:v>42667</c:v>
                </c:pt>
                <c:pt idx="326">
                  <c:v>42664</c:v>
                </c:pt>
                <c:pt idx="327">
                  <c:v>42663</c:v>
                </c:pt>
                <c:pt idx="328">
                  <c:v>42662</c:v>
                </c:pt>
                <c:pt idx="329">
                  <c:v>42661</c:v>
                </c:pt>
                <c:pt idx="330">
                  <c:v>42660</c:v>
                </c:pt>
                <c:pt idx="331">
                  <c:v>42657</c:v>
                </c:pt>
                <c:pt idx="332">
                  <c:v>42656</c:v>
                </c:pt>
                <c:pt idx="333">
                  <c:v>42655</c:v>
                </c:pt>
                <c:pt idx="334">
                  <c:v>42654</c:v>
                </c:pt>
                <c:pt idx="335">
                  <c:v>42653</c:v>
                </c:pt>
                <c:pt idx="336">
                  <c:v>42643</c:v>
                </c:pt>
                <c:pt idx="337">
                  <c:v>42642</c:v>
                </c:pt>
                <c:pt idx="338">
                  <c:v>42641</c:v>
                </c:pt>
                <c:pt idx="339">
                  <c:v>42640</c:v>
                </c:pt>
                <c:pt idx="340">
                  <c:v>42639</c:v>
                </c:pt>
                <c:pt idx="341">
                  <c:v>42636</c:v>
                </c:pt>
                <c:pt idx="342">
                  <c:v>42635</c:v>
                </c:pt>
                <c:pt idx="343">
                  <c:v>42634</c:v>
                </c:pt>
                <c:pt idx="344">
                  <c:v>42633</c:v>
                </c:pt>
                <c:pt idx="345">
                  <c:v>42632</c:v>
                </c:pt>
                <c:pt idx="346">
                  <c:v>42627</c:v>
                </c:pt>
                <c:pt idx="347">
                  <c:v>42626</c:v>
                </c:pt>
                <c:pt idx="348">
                  <c:v>42625</c:v>
                </c:pt>
                <c:pt idx="349">
                  <c:v>42622</c:v>
                </c:pt>
                <c:pt idx="350">
                  <c:v>42621</c:v>
                </c:pt>
                <c:pt idx="351">
                  <c:v>42620</c:v>
                </c:pt>
                <c:pt idx="352">
                  <c:v>42619</c:v>
                </c:pt>
                <c:pt idx="353">
                  <c:v>42615</c:v>
                </c:pt>
                <c:pt idx="354">
                  <c:v>42614</c:v>
                </c:pt>
                <c:pt idx="355">
                  <c:v>42613</c:v>
                </c:pt>
                <c:pt idx="356">
                  <c:v>42612</c:v>
                </c:pt>
                <c:pt idx="357">
                  <c:v>42611</c:v>
                </c:pt>
                <c:pt idx="358">
                  <c:v>42608</c:v>
                </c:pt>
                <c:pt idx="359">
                  <c:v>42607</c:v>
                </c:pt>
                <c:pt idx="360">
                  <c:v>42606</c:v>
                </c:pt>
                <c:pt idx="361">
                  <c:v>42605</c:v>
                </c:pt>
                <c:pt idx="362">
                  <c:v>42604</c:v>
                </c:pt>
                <c:pt idx="363">
                  <c:v>42601</c:v>
                </c:pt>
                <c:pt idx="364">
                  <c:v>42600</c:v>
                </c:pt>
                <c:pt idx="365">
                  <c:v>42599</c:v>
                </c:pt>
                <c:pt idx="366">
                  <c:v>42598</c:v>
                </c:pt>
                <c:pt idx="367">
                  <c:v>42597</c:v>
                </c:pt>
                <c:pt idx="368">
                  <c:v>42594</c:v>
                </c:pt>
                <c:pt idx="369">
                  <c:v>42593</c:v>
                </c:pt>
                <c:pt idx="370">
                  <c:v>42592</c:v>
                </c:pt>
                <c:pt idx="371">
                  <c:v>42591</c:v>
                </c:pt>
                <c:pt idx="372">
                  <c:v>42590</c:v>
                </c:pt>
                <c:pt idx="373">
                  <c:v>42587</c:v>
                </c:pt>
                <c:pt idx="374">
                  <c:v>42586</c:v>
                </c:pt>
                <c:pt idx="375">
                  <c:v>42585</c:v>
                </c:pt>
                <c:pt idx="376">
                  <c:v>42584</c:v>
                </c:pt>
                <c:pt idx="377">
                  <c:v>42583</c:v>
                </c:pt>
                <c:pt idx="378">
                  <c:v>42580</c:v>
                </c:pt>
                <c:pt idx="379">
                  <c:v>42579</c:v>
                </c:pt>
                <c:pt idx="380">
                  <c:v>42578</c:v>
                </c:pt>
                <c:pt idx="381">
                  <c:v>42577</c:v>
                </c:pt>
                <c:pt idx="382">
                  <c:v>42576</c:v>
                </c:pt>
                <c:pt idx="383">
                  <c:v>42573</c:v>
                </c:pt>
                <c:pt idx="384">
                  <c:v>42572</c:v>
                </c:pt>
                <c:pt idx="385">
                  <c:v>42571</c:v>
                </c:pt>
                <c:pt idx="386">
                  <c:v>42570</c:v>
                </c:pt>
                <c:pt idx="387">
                  <c:v>42569</c:v>
                </c:pt>
                <c:pt idx="388">
                  <c:v>42566</c:v>
                </c:pt>
                <c:pt idx="389">
                  <c:v>42565</c:v>
                </c:pt>
                <c:pt idx="390">
                  <c:v>42564</c:v>
                </c:pt>
                <c:pt idx="391">
                  <c:v>42563</c:v>
                </c:pt>
                <c:pt idx="392">
                  <c:v>42562</c:v>
                </c:pt>
                <c:pt idx="393">
                  <c:v>42559</c:v>
                </c:pt>
                <c:pt idx="394">
                  <c:v>42558</c:v>
                </c:pt>
                <c:pt idx="395">
                  <c:v>42557</c:v>
                </c:pt>
                <c:pt idx="396">
                  <c:v>42556</c:v>
                </c:pt>
                <c:pt idx="397">
                  <c:v>42552</c:v>
                </c:pt>
                <c:pt idx="398">
                  <c:v>42551</c:v>
                </c:pt>
                <c:pt idx="399">
                  <c:v>42550</c:v>
                </c:pt>
                <c:pt idx="400">
                  <c:v>42549</c:v>
                </c:pt>
                <c:pt idx="401">
                  <c:v>42548</c:v>
                </c:pt>
                <c:pt idx="402">
                  <c:v>42545</c:v>
                </c:pt>
                <c:pt idx="403">
                  <c:v>42544</c:v>
                </c:pt>
                <c:pt idx="404">
                  <c:v>42543</c:v>
                </c:pt>
                <c:pt idx="405">
                  <c:v>42542</c:v>
                </c:pt>
                <c:pt idx="406">
                  <c:v>42541</c:v>
                </c:pt>
                <c:pt idx="407">
                  <c:v>42538</c:v>
                </c:pt>
                <c:pt idx="408">
                  <c:v>42537</c:v>
                </c:pt>
                <c:pt idx="409">
                  <c:v>42536</c:v>
                </c:pt>
                <c:pt idx="410">
                  <c:v>42535</c:v>
                </c:pt>
                <c:pt idx="411">
                  <c:v>42534</c:v>
                </c:pt>
                <c:pt idx="412">
                  <c:v>42529</c:v>
                </c:pt>
                <c:pt idx="413">
                  <c:v>42528</c:v>
                </c:pt>
                <c:pt idx="414">
                  <c:v>42527</c:v>
                </c:pt>
                <c:pt idx="415">
                  <c:v>42524</c:v>
                </c:pt>
                <c:pt idx="416">
                  <c:v>42523</c:v>
                </c:pt>
                <c:pt idx="417">
                  <c:v>42522</c:v>
                </c:pt>
                <c:pt idx="418">
                  <c:v>42521</c:v>
                </c:pt>
                <c:pt idx="419">
                  <c:v>42517</c:v>
                </c:pt>
                <c:pt idx="420">
                  <c:v>42516</c:v>
                </c:pt>
                <c:pt idx="421">
                  <c:v>42515</c:v>
                </c:pt>
                <c:pt idx="422">
                  <c:v>42514</c:v>
                </c:pt>
                <c:pt idx="423">
                  <c:v>42513</c:v>
                </c:pt>
                <c:pt idx="424">
                  <c:v>42510</c:v>
                </c:pt>
                <c:pt idx="425">
                  <c:v>42509</c:v>
                </c:pt>
                <c:pt idx="426">
                  <c:v>42508</c:v>
                </c:pt>
                <c:pt idx="427">
                  <c:v>42507</c:v>
                </c:pt>
                <c:pt idx="428">
                  <c:v>42503</c:v>
                </c:pt>
                <c:pt idx="429">
                  <c:v>42502</c:v>
                </c:pt>
                <c:pt idx="430">
                  <c:v>42501</c:v>
                </c:pt>
                <c:pt idx="431">
                  <c:v>42500</c:v>
                </c:pt>
                <c:pt idx="432">
                  <c:v>42499</c:v>
                </c:pt>
                <c:pt idx="433">
                  <c:v>42496</c:v>
                </c:pt>
                <c:pt idx="434">
                  <c:v>42495</c:v>
                </c:pt>
                <c:pt idx="435">
                  <c:v>42494</c:v>
                </c:pt>
                <c:pt idx="436">
                  <c:v>42493</c:v>
                </c:pt>
                <c:pt idx="437">
                  <c:v>42489</c:v>
                </c:pt>
                <c:pt idx="438">
                  <c:v>42488</c:v>
                </c:pt>
                <c:pt idx="439">
                  <c:v>42487</c:v>
                </c:pt>
                <c:pt idx="440">
                  <c:v>42486</c:v>
                </c:pt>
                <c:pt idx="441">
                  <c:v>42485</c:v>
                </c:pt>
                <c:pt idx="442">
                  <c:v>42482</c:v>
                </c:pt>
                <c:pt idx="443">
                  <c:v>42481</c:v>
                </c:pt>
                <c:pt idx="444">
                  <c:v>42480</c:v>
                </c:pt>
                <c:pt idx="445">
                  <c:v>42479</c:v>
                </c:pt>
                <c:pt idx="446">
                  <c:v>42478</c:v>
                </c:pt>
                <c:pt idx="447">
                  <c:v>42475</c:v>
                </c:pt>
                <c:pt idx="448">
                  <c:v>42474</c:v>
                </c:pt>
                <c:pt idx="449">
                  <c:v>42473</c:v>
                </c:pt>
                <c:pt idx="450">
                  <c:v>42472</c:v>
                </c:pt>
                <c:pt idx="451">
                  <c:v>42471</c:v>
                </c:pt>
                <c:pt idx="452">
                  <c:v>42468</c:v>
                </c:pt>
                <c:pt idx="453">
                  <c:v>42467</c:v>
                </c:pt>
                <c:pt idx="454">
                  <c:v>42466</c:v>
                </c:pt>
                <c:pt idx="455">
                  <c:v>42465</c:v>
                </c:pt>
                <c:pt idx="456">
                  <c:v>42461</c:v>
                </c:pt>
                <c:pt idx="457">
                  <c:v>42460</c:v>
                </c:pt>
                <c:pt idx="458">
                  <c:v>42459</c:v>
                </c:pt>
                <c:pt idx="459">
                  <c:v>42458</c:v>
                </c:pt>
                <c:pt idx="460">
                  <c:v>42453</c:v>
                </c:pt>
                <c:pt idx="461">
                  <c:v>42452</c:v>
                </c:pt>
                <c:pt idx="462">
                  <c:v>42451</c:v>
                </c:pt>
                <c:pt idx="463">
                  <c:v>42450</c:v>
                </c:pt>
                <c:pt idx="464">
                  <c:v>42447</c:v>
                </c:pt>
                <c:pt idx="465">
                  <c:v>42446</c:v>
                </c:pt>
                <c:pt idx="466">
                  <c:v>42445</c:v>
                </c:pt>
                <c:pt idx="467">
                  <c:v>42444</c:v>
                </c:pt>
                <c:pt idx="468">
                  <c:v>42443</c:v>
                </c:pt>
                <c:pt idx="469">
                  <c:v>42440</c:v>
                </c:pt>
                <c:pt idx="470">
                  <c:v>42439</c:v>
                </c:pt>
                <c:pt idx="471">
                  <c:v>42438</c:v>
                </c:pt>
                <c:pt idx="472">
                  <c:v>42437</c:v>
                </c:pt>
                <c:pt idx="473">
                  <c:v>42436</c:v>
                </c:pt>
                <c:pt idx="474">
                  <c:v>42433</c:v>
                </c:pt>
                <c:pt idx="475">
                  <c:v>42432</c:v>
                </c:pt>
                <c:pt idx="476">
                  <c:v>42431</c:v>
                </c:pt>
                <c:pt idx="477">
                  <c:v>42430</c:v>
                </c:pt>
                <c:pt idx="478">
                  <c:v>42429</c:v>
                </c:pt>
                <c:pt idx="479">
                  <c:v>42426</c:v>
                </c:pt>
                <c:pt idx="480">
                  <c:v>42425</c:v>
                </c:pt>
                <c:pt idx="481">
                  <c:v>42424</c:v>
                </c:pt>
                <c:pt idx="482">
                  <c:v>42423</c:v>
                </c:pt>
                <c:pt idx="483">
                  <c:v>42422</c:v>
                </c:pt>
                <c:pt idx="484">
                  <c:v>42419</c:v>
                </c:pt>
                <c:pt idx="485">
                  <c:v>42418</c:v>
                </c:pt>
                <c:pt idx="486">
                  <c:v>42417</c:v>
                </c:pt>
                <c:pt idx="487">
                  <c:v>42416</c:v>
                </c:pt>
                <c:pt idx="488">
                  <c:v>42405</c:v>
                </c:pt>
                <c:pt idx="489">
                  <c:v>42404</c:v>
                </c:pt>
                <c:pt idx="490">
                  <c:v>42403</c:v>
                </c:pt>
                <c:pt idx="491">
                  <c:v>42402</c:v>
                </c:pt>
                <c:pt idx="492">
                  <c:v>42401</c:v>
                </c:pt>
                <c:pt idx="493">
                  <c:v>42398</c:v>
                </c:pt>
                <c:pt idx="494">
                  <c:v>42397</c:v>
                </c:pt>
                <c:pt idx="495">
                  <c:v>42396</c:v>
                </c:pt>
                <c:pt idx="496">
                  <c:v>42395</c:v>
                </c:pt>
                <c:pt idx="497">
                  <c:v>42394</c:v>
                </c:pt>
                <c:pt idx="498">
                  <c:v>42391</c:v>
                </c:pt>
                <c:pt idx="499">
                  <c:v>42390</c:v>
                </c:pt>
                <c:pt idx="500">
                  <c:v>42389</c:v>
                </c:pt>
                <c:pt idx="501">
                  <c:v>42388</c:v>
                </c:pt>
                <c:pt idx="502">
                  <c:v>42384</c:v>
                </c:pt>
                <c:pt idx="503">
                  <c:v>42383</c:v>
                </c:pt>
                <c:pt idx="504">
                  <c:v>42382</c:v>
                </c:pt>
                <c:pt idx="505">
                  <c:v>42381</c:v>
                </c:pt>
                <c:pt idx="506">
                  <c:v>42380</c:v>
                </c:pt>
                <c:pt idx="507">
                  <c:v>42377</c:v>
                </c:pt>
                <c:pt idx="508">
                  <c:v>42376</c:v>
                </c:pt>
                <c:pt idx="509">
                  <c:v>42375</c:v>
                </c:pt>
                <c:pt idx="510">
                  <c:v>42374</c:v>
                </c:pt>
                <c:pt idx="511">
                  <c:v>42373</c:v>
                </c:pt>
              </c:numCache>
            </c:numRef>
          </c:cat>
          <c:val>
            <c:numRef>
              <c:f>'Graf 3+4'!$P$3:$P$567</c:f>
              <c:numCache>
                <c:formatCode>General</c:formatCode>
                <c:ptCount val="565"/>
                <c:pt idx="0">
                  <c:v>1.004241476243668</c:v>
                </c:pt>
                <c:pt idx="1">
                  <c:v>1.0092350174045843</c:v>
                </c:pt>
                <c:pt idx="2">
                  <c:v>1.0033092069856184</c:v>
                </c:pt>
                <c:pt idx="3">
                  <c:v>0.99761790490914248</c:v>
                </c:pt>
                <c:pt idx="4">
                  <c:v>0.99254002568973676</c:v>
                </c:pt>
                <c:pt idx="5">
                  <c:v>0.99799287555767779</c:v>
                </c:pt>
                <c:pt idx="6">
                  <c:v>0.98806768159531211</c:v>
                </c:pt>
                <c:pt idx="7">
                  <c:v>0.98734018999726358</c:v>
                </c:pt>
                <c:pt idx="8">
                  <c:v>0.99317316787702914</c:v>
                </c:pt>
                <c:pt idx="9">
                  <c:v>0.98882065663549401</c:v>
                </c:pt>
                <c:pt idx="10">
                  <c:v>0.99872886163643759</c:v>
                </c:pt>
                <c:pt idx="11">
                  <c:v>1.0101072185490336</c:v>
                </c:pt>
                <c:pt idx="12">
                  <c:v>0.99780539023341019</c:v>
                </c:pt>
                <c:pt idx="13">
                  <c:v>0.99159683495648709</c:v>
                </c:pt>
                <c:pt idx="14">
                  <c:v>0.97054265776525994</c:v>
                </c:pt>
                <c:pt idx="15">
                  <c:v>0.96623474254745834</c:v>
                </c:pt>
                <c:pt idx="16">
                  <c:v>0.95688049903860684</c:v>
                </c:pt>
                <c:pt idx="17">
                  <c:v>0.94951639101065521</c:v>
                </c:pt>
                <c:pt idx="18">
                  <c:v>0.98962217156545407</c:v>
                </c:pt>
                <c:pt idx="19">
                  <c:v>1.0039444727930886</c:v>
                </c:pt>
                <c:pt idx="20">
                  <c:v>1.0225692285009245</c:v>
                </c:pt>
                <c:pt idx="21">
                  <c:v>1.0580169998828974</c:v>
                </c:pt>
                <c:pt idx="22">
                  <c:v>1.0503064383916552</c:v>
                </c:pt>
                <c:pt idx="23">
                  <c:v>1.0457251829195409</c:v>
                </c:pt>
                <c:pt idx="24">
                  <c:v>1.0559953134736419</c:v>
                </c:pt>
                <c:pt idx="25">
                  <c:v>1.0581723275301873</c:v>
                </c:pt>
                <c:pt idx="26">
                  <c:v>1.0687880014246458</c:v>
                </c:pt>
                <c:pt idx="27">
                  <c:v>1.0794449342254155</c:v>
                </c:pt>
                <c:pt idx="28">
                  <c:v>1.0764651917416659</c:v>
                </c:pt>
                <c:pt idx="29">
                  <c:v>1.0798502423050624</c:v>
                </c:pt>
                <c:pt idx="30">
                  <c:v>1.0759185112330407</c:v>
                </c:pt>
                <c:pt idx="31">
                  <c:v>1.0622232847064763</c:v>
                </c:pt>
                <c:pt idx="32">
                  <c:v>1.0581283382550759</c:v>
                </c:pt>
                <c:pt idx="33">
                  <c:v>1.0541511010363873</c:v>
                </c:pt>
                <c:pt idx="34">
                  <c:v>1.0450246916351815</c:v>
                </c:pt>
                <c:pt idx="35">
                  <c:v>1.0425743373243237</c:v>
                </c:pt>
                <c:pt idx="36">
                  <c:v>1.0402526137213775</c:v>
                </c:pt>
                <c:pt idx="37">
                  <c:v>1.0391616796986158</c:v>
                </c:pt>
                <c:pt idx="38">
                  <c:v>1.0380965324922988</c:v>
                </c:pt>
                <c:pt idx="39">
                  <c:v>1.0356892573336189</c:v>
                </c:pt>
                <c:pt idx="40">
                  <c:v>1.0343483428785003</c:v>
                </c:pt>
                <c:pt idx="41">
                  <c:v>1.028969819716782</c:v>
                </c:pt>
                <c:pt idx="42">
                  <c:v>1.0271374388776608</c:v>
                </c:pt>
                <c:pt idx="43">
                  <c:v>1.0221008185645664</c:v>
                </c:pt>
                <c:pt idx="44">
                  <c:v>1.0157960936310204</c:v>
                </c:pt>
                <c:pt idx="45">
                  <c:v>1.0033110272314849</c:v>
                </c:pt>
                <c:pt idx="46">
                  <c:v>1.0000385285375115</c:v>
                </c:pt>
                <c:pt idx="47">
                  <c:v>0.99378841097996584</c:v>
                </c:pt>
                <c:pt idx="48">
                  <c:v>1.0002442163204459</c:v>
                </c:pt>
                <c:pt idx="49">
                  <c:v>1.0011531257565398</c:v>
                </c:pt>
                <c:pt idx="50">
                  <c:v>0.99737520546025238</c:v>
                </c:pt>
                <c:pt idx="51">
                  <c:v>1.0000849448071116</c:v>
                </c:pt>
                <c:pt idx="52">
                  <c:v>0.99140388889461928</c:v>
                </c:pt>
                <c:pt idx="53">
                  <c:v>0.99086206237497199</c:v>
                </c:pt>
                <c:pt idx="54">
                  <c:v>0.9988411101315493</c:v>
                </c:pt>
                <c:pt idx="55">
                  <c:v>1.0020565744550336</c:v>
                </c:pt>
                <c:pt idx="56">
                  <c:v>0.99531438376486314</c:v>
                </c:pt>
                <c:pt idx="57">
                  <c:v>1.0078689228816433</c:v>
                </c:pt>
                <c:pt idx="58">
                  <c:v>0.99809905656656739</c:v>
                </c:pt>
                <c:pt idx="59">
                  <c:v>0.99265712817382623</c:v>
                </c:pt>
                <c:pt idx="60">
                  <c:v>0.99930436270461853</c:v>
                </c:pt>
                <c:pt idx="61">
                  <c:v>1.0022501272655235</c:v>
                </c:pt>
                <c:pt idx="62">
                  <c:v>1.0040530807964667</c:v>
                </c:pt>
                <c:pt idx="63">
                  <c:v>1.0064797719110581</c:v>
                </c:pt>
                <c:pt idx="64">
                  <c:v>1.0063496243315906</c:v>
                </c:pt>
                <c:pt idx="65">
                  <c:v>1.0126215848395363</c:v>
                </c:pt>
                <c:pt idx="66">
                  <c:v>1.0113458958613071</c:v>
                </c:pt>
                <c:pt idx="67">
                  <c:v>1.0078792376082213</c:v>
                </c:pt>
                <c:pt idx="68">
                  <c:v>1.0174631354705852</c:v>
                </c:pt>
                <c:pt idx="69">
                  <c:v>1.0407146527972022</c:v>
                </c:pt>
                <c:pt idx="70">
                  <c:v>1.0346574813015244</c:v>
                </c:pt>
                <c:pt idx="71">
                  <c:v>1.0291667096446941</c:v>
                </c:pt>
                <c:pt idx="72">
                  <c:v>1.0262870806836117</c:v>
                </c:pt>
                <c:pt idx="73">
                  <c:v>1.0312451270501277</c:v>
                </c:pt>
                <c:pt idx="74">
                  <c:v>1.032238374544711</c:v>
                </c:pt>
                <c:pt idx="75">
                  <c:v>1.0404367619282229</c:v>
                </c:pt>
                <c:pt idx="76">
                  <c:v>1.0459848713298534</c:v>
                </c:pt>
                <c:pt idx="77">
                  <c:v>1.0413848066504503</c:v>
                </c:pt>
                <c:pt idx="78">
                  <c:v>1.0399049467608423</c:v>
                </c:pt>
                <c:pt idx="79">
                  <c:v>1.0361628246332661</c:v>
                </c:pt>
                <c:pt idx="80">
                  <c:v>1.0355909640568184</c:v>
                </c:pt>
                <c:pt idx="81">
                  <c:v>1.0278849531802425</c:v>
                </c:pt>
                <c:pt idx="82">
                  <c:v>1.0229005132486597</c:v>
                </c:pt>
                <c:pt idx="83">
                  <c:v>1.026409037156679</c:v>
                </c:pt>
                <c:pt idx="84">
                  <c:v>1.0302327669739444</c:v>
                </c:pt>
                <c:pt idx="85">
                  <c:v>1.0285411518151795</c:v>
                </c:pt>
                <c:pt idx="86">
                  <c:v>1.0365732900762017</c:v>
                </c:pt>
                <c:pt idx="87">
                  <c:v>1.0337682911956527</c:v>
                </c:pt>
                <c:pt idx="88">
                  <c:v>1.0305315906703907</c:v>
                </c:pt>
                <c:pt idx="89">
                  <c:v>1.027907402879265</c:v>
                </c:pt>
                <c:pt idx="90">
                  <c:v>1.0256172302046747</c:v>
                </c:pt>
                <c:pt idx="91">
                  <c:v>1.0249950094925824</c:v>
                </c:pt>
                <c:pt idx="92">
                  <c:v>1.0224236088315903</c:v>
                </c:pt>
                <c:pt idx="93">
                  <c:v>1.0259494250753429</c:v>
                </c:pt>
                <c:pt idx="94">
                  <c:v>1.0229906154190602</c:v>
                </c:pt>
                <c:pt idx="95">
                  <c:v>1.0249410088652042</c:v>
                </c:pt>
                <c:pt idx="96">
                  <c:v>1.0285975794370465</c:v>
                </c:pt>
                <c:pt idx="97">
                  <c:v>1.0272557548589947</c:v>
                </c:pt>
                <c:pt idx="98">
                  <c:v>1.0279183243544652</c:v>
                </c:pt>
                <c:pt idx="99">
                  <c:v>1.0263116540028117</c:v>
                </c:pt>
                <c:pt idx="100">
                  <c:v>1.0236996011841306</c:v>
                </c:pt>
                <c:pt idx="101">
                  <c:v>1.015983275580977</c:v>
                </c:pt>
                <c:pt idx="102">
                  <c:v>1.0131615911133169</c:v>
                </c:pt>
                <c:pt idx="103">
                  <c:v>1.014869588484882</c:v>
                </c:pt>
                <c:pt idx="104">
                  <c:v>1.0143571892734125</c:v>
                </c:pt>
                <c:pt idx="105">
                  <c:v>1.013740125924609</c:v>
                </c:pt>
                <c:pt idx="106">
                  <c:v>1.0170711758606275</c:v>
                </c:pt>
                <c:pt idx="107">
                  <c:v>1.0186739023462363</c:v>
                </c:pt>
                <c:pt idx="108">
                  <c:v>1.0211567177083833</c:v>
                </c:pt>
                <c:pt idx="109">
                  <c:v>1.0183802360130791</c:v>
                </c:pt>
                <c:pt idx="110">
                  <c:v>1.0202050324944225</c:v>
                </c:pt>
                <c:pt idx="111">
                  <c:v>1.0174018538597405</c:v>
                </c:pt>
                <c:pt idx="112">
                  <c:v>1.0228040402177256</c:v>
                </c:pt>
                <c:pt idx="113">
                  <c:v>1.0266632648293914</c:v>
                </c:pt>
                <c:pt idx="114">
                  <c:v>1.025249843913917</c:v>
                </c:pt>
                <c:pt idx="115">
                  <c:v>1.0243187881531117</c:v>
                </c:pt>
                <c:pt idx="116">
                  <c:v>1.0209282768521153</c:v>
                </c:pt>
                <c:pt idx="117">
                  <c:v>1.0210053339271381</c:v>
                </c:pt>
                <c:pt idx="118">
                  <c:v>1.0270400557237935</c:v>
                </c:pt>
                <c:pt idx="119">
                  <c:v>1.0267148384622806</c:v>
                </c:pt>
                <c:pt idx="120">
                  <c:v>1.0214974070597631</c:v>
                </c:pt>
                <c:pt idx="121">
                  <c:v>1.0195834185309525</c:v>
                </c:pt>
                <c:pt idx="122">
                  <c:v>1.020437720591046</c:v>
                </c:pt>
                <c:pt idx="123">
                  <c:v>1.0209231194888264</c:v>
                </c:pt>
                <c:pt idx="124">
                  <c:v>1.0201422340120221</c:v>
                </c:pt>
                <c:pt idx="125">
                  <c:v>1.0106981917070812</c:v>
                </c:pt>
                <c:pt idx="126">
                  <c:v>0.99249269929720318</c:v>
                </c:pt>
                <c:pt idx="127">
                  <c:v>0.9974052395170524</c:v>
                </c:pt>
                <c:pt idx="128">
                  <c:v>0.99817004615536775</c:v>
                </c:pt>
                <c:pt idx="129">
                  <c:v>0.9971628434424733</c:v>
                </c:pt>
                <c:pt idx="130">
                  <c:v>0.99164689171782072</c:v>
                </c:pt>
                <c:pt idx="131">
                  <c:v>0.99155769967035345</c:v>
                </c:pt>
                <c:pt idx="132">
                  <c:v>0.98488983568640565</c:v>
                </c:pt>
                <c:pt idx="133">
                  <c:v>0.98634936949716934</c:v>
                </c:pt>
                <c:pt idx="134">
                  <c:v>0.98213185982407936</c:v>
                </c:pt>
                <c:pt idx="135">
                  <c:v>0.97338921892643115</c:v>
                </c:pt>
                <c:pt idx="136">
                  <c:v>0.9895311592721201</c:v>
                </c:pt>
                <c:pt idx="137">
                  <c:v>0.99372470237463206</c:v>
                </c:pt>
                <c:pt idx="138">
                  <c:v>0.99563596053464265</c:v>
                </c:pt>
                <c:pt idx="139">
                  <c:v>0.99490300819899413</c:v>
                </c:pt>
                <c:pt idx="140">
                  <c:v>0.98963157616909847</c:v>
                </c:pt>
                <c:pt idx="141">
                  <c:v>0.99292258069604999</c:v>
                </c:pt>
                <c:pt idx="142">
                  <c:v>0.99660190434122575</c:v>
                </c:pt>
                <c:pt idx="143">
                  <c:v>0.9989017849937718</c:v>
                </c:pt>
                <c:pt idx="144">
                  <c:v>0.99295261475285002</c:v>
                </c:pt>
                <c:pt idx="145">
                  <c:v>0.9869494438845503</c:v>
                </c:pt>
                <c:pt idx="146">
                  <c:v>0.98590007214241127</c:v>
                </c:pt>
                <c:pt idx="147">
                  <c:v>0.98526116584320778</c:v>
                </c:pt>
                <c:pt idx="148">
                  <c:v>0.98405191583911211</c:v>
                </c:pt>
                <c:pt idx="149">
                  <c:v>0.98614823232890159</c:v>
                </c:pt>
                <c:pt idx="150">
                  <c:v>0.98232055864559154</c:v>
                </c:pt>
                <c:pt idx="151">
                  <c:v>0.98440868402898074</c:v>
                </c:pt>
                <c:pt idx="152">
                  <c:v>0.98019511822193539</c:v>
                </c:pt>
                <c:pt idx="153">
                  <c:v>0.96702594275084053</c:v>
                </c:pt>
                <c:pt idx="154">
                  <c:v>0.96365788114886652</c:v>
                </c:pt>
                <c:pt idx="155">
                  <c:v>0.97759853749312098</c:v>
                </c:pt>
                <c:pt idx="156">
                  <c:v>0.97630798317364731</c:v>
                </c:pt>
                <c:pt idx="157">
                  <c:v>0.97005270825281276</c:v>
                </c:pt>
                <c:pt idx="158">
                  <c:v>0.9717191433437552</c:v>
                </c:pt>
                <c:pt idx="159">
                  <c:v>0.97463001985888253</c:v>
                </c:pt>
                <c:pt idx="160">
                  <c:v>0.976245488065558</c:v>
                </c:pt>
                <c:pt idx="161">
                  <c:v>0.97457298548839322</c:v>
                </c:pt>
                <c:pt idx="162">
                  <c:v>0.9729620678963844</c:v>
                </c:pt>
                <c:pt idx="163">
                  <c:v>0.96955760137707669</c:v>
                </c:pt>
                <c:pt idx="164">
                  <c:v>0.96850034190284873</c:v>
                </c:pt>
                <c:pt idx="165">
                  <c:v>0.96717641640915253</c:v>
                </c:pt>
                <c:pt idx="166">
                  <c:v>0.96266766739739429</c:v>
                </c:pt>
                <c:pt idx="167">
                  <c:v>0.96812719150018001</c:v>
                </c:pt>
                <c:pt idx="168">
                  <c:v>0.96638187908834805</c:v>
                </c:pt>
                <c:pt idx="169">
                  <c:v>0.95801754595665756</c:v>
                </c:pt>
                <c:pt idx="170">
                  <c:v>0.95485638563486241</c:v>
                </c:pt>
                <c:pt idx="171">
                  <c:v>0.95751364122589921</c:v>
                </c:pt>
                <c:pt idx="172">
                  <c:v>0.9525992807601833</c:v>
                </c:pt>
                <c:pt idx="173">
                  <c:v>0.95392229613094603</c:v>
                </c:pt>
                <c:pt idx="174">
                  <c:v>0.94748833374086627</c:v>
                </c:pt>
                <c:pt idx="175">
                  <c:v>0.95031578232043734</c:v>
                </c:pt>
                <c:pt idx="176">
                  <c:v>0.94976606806870101</c:v>
                </c:pt>
                <c:pt idx="177">
                  <c:v>0.95676461005176172</c:v>
                </c:pt>
                <c:pt idx="178">
                  <c:v>0.95255771847956083</c:v>
                </c:pt>
                <c:pt idx="179">
                  <c:v>0.95817742421861407</c:v>
                </c:pt>
                <c:pt idx="180">
                  <c:v>0.95573010365086719</c:v>
                </c:pt>
                <c:pt idx="181">
                  <c:v>0.95269393354525045</c:v>
                </c:pt>
                <c:pt idx="182">
                  <c:v>0.94110533823505327</c:v>
                </c:pt>
                <c:pt idx="183">
                  <c:v>0.94214105813319227</c:v>
                </c:pt>
                <c:pt idx="184">
                  <c:v>0.94125611526767627</c:v>
                </c:pt>
                <c:pt idx="185">
                  <c:v>0.94567172836592284</c:v>
                </c:pt>
                <c:pt idx="186">
                  <c:v>0.94351200664511103</c:v>
                </c:pt>
                <c:pt idx="187">
                  <c:v>0.94283608867995172</c:v>
                </c:pt>
                <c:pt idx="188">
                  <c:v>0.92956194569721184</c:v>
                </c:pt>
                <c:pt idx="189">
                  <c:v>0.92891606178885278</c:v>
                </c:pt>
                <c:pt idx="190">
                  <c:v>0.93308108770612008</c:v>
                </c:pt>
                <c:pt idx="191">
                  <c:v>0.93761805052881175</c:v>
                </c:pt>
                <c:pt idx="192">
                  <c:v>0.93746879036774433</c:v>
                </c:pt>
                <c:pt idx="193">
                  <c:v>0.94180795313959043</c:v>
                </c:pt>
                <c:pt idx="194">
                  <c:v>0.94439330901889362</c:v>
                </c:pt>
                <c:pt idx="195">
                  <c:v>0.93749609405574441</c:v>
                </c:pt>
                <c:pt idx="196">
                  <c:v>0.93545863218231096</c:v>
                </c:pt>
                <c:pt idx="197">
                  <c:v>0.92878045347178528</c:v>
                </c:pt>
                <c:pt idx="198">
                  <c:v>0.92613654635043741</c:v>
                </c:pt>
                <c:pt idx="199">
                  <c:v>0.93455275648932823</c:v>
                </c:pt>
                <c:pt idx="200">
                  <c:v>0.9339720980578583</c:v>
                </c:pt>
                <c:pt idx="201">
                  <c:v>0.94138201560678814</c:v>
                </c:pt>
                <c:pt idx="202">
                  <c:v>0.94876341597047331</c:v>
                </c:pt>
                <c:pt idx="203">
                  <c:v>0.95118343285021989</c:v>
                </c:pt>
                <c:pt idx="204">
                  <c:v>0.9537214623369894</c:v>
                </c:pt>
                <c:pt idx="205">
                  <c:v>0.95704219754642994</c:v>
                </c:pt>
                <c:pt idx="206">
                  <c:v>0.95629255962367021</c:v>
                </c:pt>
                <c:pt idx="207">
                  <c:v>0.95285229493565138</c:v>
                </c:pt>
                <c:pt idx="208">
                  <c:v>0.95094710426186302</c:v>
                </c:pt>
                <c:pt idx="209">
                  <c:v>0.94941931123109902</c:v>
                </c:pt>
                <c:pt idx="210">
                  <c:v>0.96265249868183866</c:v>
                </c:pt>
                <c:pt idx="211">
                  <c:v>0.9623336522808591</c:v>
                </c:pt>
                <c:pt idx="212">
                  <c:v>0.96190498437925676</c:v>
                </c:pt>
                <c:pt idx="213">
                  <c:v>0.96980060420027814</c:v>
                </c:pt>
                <c:pt idx="214">
                  <c:v>0.99384210823303276</c:v>
                </c:pt>
                <c:pt idx="215">
                  <c:v>0.99319592095036258</c:v>
                </c:pt>
                <c:pt idx="216">
                  <c:v>0.99778779452336563</c:v>
                </c:pt>
                <c:pt idx="217">
                  <c:v>0.99184984913195517</c:v>
                </c:pt>
                <c:pt idx="218">
                  <c:v>0.99707486489225061</c:v>
                </c:pt>
                <c:pt idx="219">
                  <c:v>0.99537263163259682</c:v>
                </c:pt>
                <c:pt idx="220">
                  <c:v>0.99212652650368993</c:v>
                </c:pt>
                <c:pt idx="221">
                  <c:v>0.97762796480129899</c:v>
                </c:pt>
                <c:pt idx="222">
                  <c:v>0.97390343838376736</c:v>
                </c:pt>
                <c:pt idx="223">
                  <c:v>0.98333140185021928</c:v>
                </c:pt>
                <c:pt idx="224">
                  <c:v>0.98686085858570538</c:v>
                </c:pt>
                <c:pt idx="225">
                  <c:v>0.9911102225614622</c:v>
                </c:pt>
                <c:pt idx="226">
                  <c:v>0.99186562459613303</c:v>
                </c:pt>
                <c:pt idx="227">
                  <c:v>0.98552661836543143</c:v>
                </c:pt>
                <c:pt idx="228">
                  <c:v>0.98451638190942581</c:v>
                </c:pt>
                <c:pt idx="229">
                  <c:v>0.9894889902428754</c:v>
                </c:pt>
                <c:pt idx="230">
                  <c:v>0.98621163755992403</c:v>
                </c:pt>
                <c:pt idx="231">
                  <c:v>0.9821582533891462</c:v>
                </c:pt>
                <c:pt idx="232">
                  <c:v>0.99171090369746551</c:v>
                </c:pt>
                <c:pt idx="233">
                  <c:v>0.98346670679297565</c:v>
                </c:pt>
                <c:pt idx="234">
                  <c:v>0.98272890046834926</c:v>
                </c:pt>
                <c:pt idx="235">
                  <c:v>0.9820299260555454</c:v>
                </c:pt>
                <c:pt idx="236">
                  <c:v>0.97466885177070495</c:v>
                </c:pt>
                <c:pt idx="237">
                  <c:v>0.9758781017748005</c:v>
                </c:pt>
                <c:pt idx="238">
                  <c:v>0.98313451192230705</c:v>
                </c:pt>
                <c:pt idx="239">
                  <c:v>0.98366268659795442</c:v>
                </c:pt>
                <c:pt idx="240">
                  <c:v>0.98107156660674011</c:v>
                </c:pt>
                <c:pt idx="241">
                  <c:v>0.97635318594600307</c:v>
                </c:pt>
                <c:pt idx="242">
                  <c:v>0.97990751937500042</c:v>
                </c:pt>
                <c:pt idx="243">
                  <c:v>0.98503606210436201</c:v>
                </c:pt>
                <c:pt idx="244">
                  <c:v>0.98345851568657561</c:v>
                </c:pt>
                <c:pt idx="245">
                  <c:v>0.97949250331739812</c:v>
                </c:pt>
                <c:pt idx="246">
                  <c:v>0.98700799512659509</c:v>
                </c:pt>
                <c:pt idx="247">
                  <c:v>0.986383650794325</c:v>
                </c:pt>
                <c:pt idx="248">
                  <c:v>0.98937006751291923</c:v>
                </c:pt>
                <c:pt idx="249">
                  <c:v>0.98697553407530603</c:v>
                </c:pt>
                <c:pt idx="250">
                  <c:v>0.97142729725646471</c:v>
                </c:pt>
                <c:pt idx="251">
                  <c:v>0.97978343928175538</c:v>
                </c:pt>
                <c:pt idx="252">
                  <c:v>0.97473741436501637</c:v>
                </c:pt>
                <c:pt idx="253">
                  <c:v>0.97623669021053572</c:v>
                </c:pt>
                <c:pt idx="254">
                  <c:v>0.97590631558573393</c:v>
                </c:pt>
                <c:pt idx="255">
                  <c:v>0.9697963569599225</c:v>
                </c:pt>
                <c:pt idx="256">
                  <c:v>0.96569473627367763</c:v>
                </c:pt>
                <c:pt idx="257">
                  <c:v>0.96078098255658395</c:v>
                </c:pt>
                <c:pt idx="258">
                  <c:v>0.95656589987798302</c:v>
                </c:pt>
                <c:pt idx="259">
                  <c:v>0.95774784619407827</c:v>
                </c:pt>
                <c:pt idx="260">
                  <c:v>0.95264691052702799</c:v>
                </c:pt>
                <c:pt idx="261">
                  <c:v>0.95840980894092642</c:v>
                </c:pt>
                <c:pt idx="262">
                  <c:v>0.95549377506251032</c:v>
                </c:pt>
                <c:pt idx="263">
                  <c:v>0.95336985151040965</c:v>
                </c:pt>
                <c:pt idx="264">
                  <c:v>0.9516169547408001</c:v>
                </c:pt>
                <c:pt idx="265">
                  <c:v>0.94748014263446623</c:v>
                </c:pt>
                <c:pt idx="266">
                  <c:v>0.94085444767976301</c:v>
                </c:pt>
                <c:pt idx="267">
                  <c:v>0.94440787098582701</c:v>
                </c:pt>
                <c:pt idx="268">
                  <c:v>0.94312247402964222</c:v>
                </c:pt>
                <c:pt idx="269">
                  <c:v>0.94433263415667112</c:v>
                </c:pt>
                <c:pt idx="270">
                  <c:v>0.94631215153668202</c:v>
                </c:pt>
                <c:pt idx="271">
                  <c:v>0.95161058388026665</c:v>
                </c:pt>
                <c:pt idx="272">
                  <c:v>0.9591697615902639</c:v>
                </c:pt>
                <c:pt idx="273">
                  <c:v>0.96207153687605762</c:v>
                </c:pt>
                <c:pt idx="274">
                  <c:v>0.95693996040358498</c:v>
                </c:pt>
                <c:pt idx="275">
                  <c:v>0.9603043815138258</c:v>
                </c:pt>
                <c:pt idx="276">
                  <c:v>0.95829695369719237</c:v>
                </c:pt>
                <c:pt idx="277">
                  <c:v>0.95135787307910968</c:v>
                </c:pt>
                <c:pt idx="278">
                  <c:v>0.94156373681914474</c:v>
                </c:pt>
                <c:pt idx="279">
                  <c:v>0.93927629451335437</c:v>
                </c:pt>
                <c:pt idx="280">
                  <c:v>0.94113870940927558</c:v>
                </c:pt>
                <c:pt idx="281">
                  <c:v>0.94490904534778541</c:v>
                </c:pt>
                <c:pt idx="282">
                  <c:v>0.9435408272046667</c:v>
                </c:pt>
                <c:pt idx="283">
                  <c:v>0.95246124544862698</c:v>
                </c:pt>
                <c:pt idx="284">
                  <c:v>0.95181566491457892</c:v>
                </c:pt>
                <c:pt idx="285">
                  <c:v>0.94133286896838786</c:v>
                </c:pt>
                <c:pt idx="286">
                  <c:v>0.945946585491791</c:v>
                </c:pt>
                <c:pt idx="287">
                  <c:v>0.94743220949331042</c:v>
                </c:pt>
                <c:pt idx="288">
                  <c:v>0.94582311214716819</c:v>
                </c:pt>
                <c:pt idx="289">
                  <c:v>0.95275642865333965</c:v>
                </c:pt>
                <c:pt idx="290">
                  <c:v>0.9571571764103417</c:v>
                </c:pt>
                <c:pt idx="291">
                  <c:v>0.95653010170927155</c:v>
                </c:pt>
                <c:pt idx="292">
                  <c:v>0.98077395640753851</c:v>
                </c:pt>
                <c:pt idx="293">
                  <c:v>0.97545944522546479</c:v>
                </c:pt>
                <c:pt idx="294">
                  <c:v>0.9775454469886764</c:v>
                </c:pt>
                <c:pt idx="295">
                  <c:v>0.97069070442908301</c:v>
                </c:pt>
                <c:pt idx="296">
                  <c:v>0.97222638519193583</c:v>
                </c:pt>
                <c:pt idx="297">
                  <c:v>0.98409863548302345</c:v>
                </c:pt>
                <c:pt idx="298">
                  <c:v>0.99303786293427287</c:v>
                </c:pt>
                <c:pt idx="299">
                  <c:v>0.98597712921743386</c:v>
                </c:pt>
                <c:pt idx="300">
                  <c:v>0.99595480693562222</c:v>
                </c:pt>
                <c:pt idx="301">
                  <c:v>0.99415761751659004</c:v>
                </c:pt>
                <c:pt idx="302">
                  <c:v>0.98958819364260941</c:v>
                </c:pt>
                <c:pt idx="303">
                  <c:v>0.98327770459715236</c:v>
                </c:pt>
                <c:pt idx="304">
                  <c:v>0.98546655025183105</c:v>
                </c:pt>
                <c:pt idx="305">
                  <c:v>0.97630343255898067</c:v>
                </c:pt>
                <c:pt idx="306">
                  <c:v>0.96863048948231611</c:v>
                </c:pt>
                <c:pt idx="307">
                  <c:v>0.97336191523843107</c:v>
                </c:pt>
                <c:pt idx="308">
                  <c:v>0.97233195945220308</c:v>
                </c:pt>
                <c:pt idx="309">
                  <c:v>0.97291716849833965</c:v>
                </c:pt>
                <c:pt idx="310">
                  <c:v>0.97394409054145648</c:v>
                </c:pt>
                <c:pt idx="311">
                  <c:v>0.96959734341183257</c:v>
                </c:pt>
                <c:pt idx="312">
                  <c:v>0.96208549209436889</c:v>
                </c:pt>
                <c:pt idx="313">
                  <c:v>0.94906709365589714</c:v>
                </c:pt>
                <c:pt idx="314">
                  <c:v>0.95498805008588539</c:v>
                </c:pt>
                <c:pt idx="315">
                  <c:v>0.95057274036194994</c:v>
                </c:pt>
                <c:pt idx="316">
                  <c:v>0.9481408918840698</c:v>
                </c:pt>
                <c:pt idx="317">
                  <c:v>0.949238803515987</c:v>
                </c:pt>
                <c:pt idx="318">
                  <c:v>0.94128918306758758</c:v>
                </c:pt>
                <c:pt idx="319">
                  <c:v>0.94726687049375391</c:v>
                </c:pt>
                <c:pt idx="320">
                  <c:v>0.94060962461069497</c:v>
                </c:pt>
                <c:pt idx="321">
                  <c:v>0.94175607613239021</c:v>
                </c:pt>
                <c:pt idx="322">
                  <c:v>0.94420703719187027</c:v>
                </c:pt>
                <c:pt idx="323">
                  <c:v>0.94540900621249913</c:v>
                </c:pt>
                <c:pt idx="324">
                  <c:v>0.95014953319794759</c:v>
                </c:pt>
                <c:pt idx="325">
                  <c:v>0.9490297786156302</c:v>
                </c:pt>
                <c:pt idx="326">
                  <c:v>0.93771209656525667</c:v>
                </c:pt>
                <c:pt idx="327">
                  <c:v>0.93574532090631268</c:v>
                </c:pt>
                <c:pt idx="328">
                  <c:v>0.93582450160151309</c:v>
                </c:pt>
                <c:pt idx="329">
                  <c:v>0.93556845368293384</c:v>
                </c:pt>
                <c:pt idx="330">
                  <c:v>0.92261194360392906</c:v>
                </c:pt>
                <c:pt idx="331">
                  <c:v>0.92948094475614484</c:v>
                </c:pt>
                <c:pt idx="332">
                  <c:v>0.92873373382787394</c:v>
                </c:pt>
                <c:pt idx="333">
                  <c:v>0.9278697237898248</c:v>
                </c:pt>
                <c:pt idx="334">
                  <c:v>0.92991810713845824</c:v>
                </c:pt>
                <c:pt idx="335">
                  <c:v>0.92472828279825192</c:v>
                </c:pt>
                <c:pt idx="336">
                  <c:v>0.91154970272351254</c:v>
                </c:pt>
                <c:pt idx="337">
                  <c:v>0.90966271450839109</c:v>
                </c:pt>
                <c:pt idx="338">
                  <c:v>0.90643936245281787</c:v>
                </c:pt>
                <c:pt idx="339">
                  <c:v>0.90956836509763506</c:v>
                </c:pt>
                <c:pt idx="340">
                  <c:v>0.90418559469556092</c:v>
                </c:pt>
                <c:pt idx="341">
                  <c:v>0.92040610898782815</c:v>
                </c:pt>
                <c:pt idx="342">
                  <c:v>0.92295961056446441</c:v>
                </c:pt>
                <c:pt idx="343">
                  <c:v>0.91797244026408131</c:v>
                </c:pt>
                <c:pt idx="344">
                  <c:v>0.91710023911963201</c:v>
                </c:pt>
                <c:pt idx="345">
                  <c:v>0.91802613751714823</c:v>
                </c:pt>
                <c:pt idx="346">
                  <c:v>0.91098724675070952</c:v>
                </c:pt>
                <c:pt idx="347">
                  <c:v>0.91725526339261076</c:v>
                </c:pt>
                <c:pt idx="348">
                  <c:v>0.91679019057367472</c:v>
                </c:pt>
                <c:pt idx="349">
                  <c:v>0.93404551464114771</c:v>
                </c:pt>
                <c:pt idx="350">
                  <c:v>0.9392329119868652</c:v>
                </c:pt>
                <c:pt idx="351">
                  <c:v>0.93801152701032509</c:v>
                </c:pt>
                <c:pt idx="352">
                  <c:v>0.93764292722232312</c:v>
                </c:pt>
                <c:pt idx="353">
                  <c:v>0.93055579994041726</c:v>
                </c:pt>
                <c:pt idx="354">
                  <c:v>0.92932804410334391</c:v>
                </c:pt>
                <c:pt idx="355">
                  <c:v>0.93605870656969214</c:v>
                </c:pt>
                <c:pt idx="356">
                  <c:v>0.93277801676931849</c:v>
                </c:pt>
                <c:pt idx="357">
                  <c:v>0.93136732622264407</c:v>
                </c:pt>
                <c:pt idx="358">
                  <c:v>0.93145287777837793</c:v>
                </c:pt>
                <c:pt idx="359">
                  <c:v>0.93085219664237462</c:v>
                </c:pt>
                <c:pt idx="360">
                  <c:v>0.93617671917671497</c:v>
                </c:pt>
                <c:pt idx="361">
                  <c:v>0.93733742929103248</c:v>
                </c:pt>
                <c:pt idx="362">
                  <c:v>0.9358505917922687</c:v>
                </c:pt>
                <c:pt idx="363">
                  <c:v>0.94291830311826319</c:v>
                </c:pt>
                <c:pt idx="364">
                  <c:v>0.94170844636554552</c:v>
                </c:pt>
                <c:pt idx="365">
                  <c:v>0.9433591059923101</c:v>
                </c:pt>
                <c:pt idx="366">
                  <c:v>0.94350533241026646</c:v>
                </c:pt>
                <c:pt idx="367">
                  <c:v>0.94810388021811409</c:v>
                </c:pt>
                <c:pt idx="368">
                  <c:v>0.92549399955950051</c:v>
                </c:pt>
                <c:pt idx="369">
                  <c:v>0.91092293139675362</c:v>
                </c:pt>
                <c:pt idx="370">
                  <c:v>0.91580998817446946</c:v>
                </c:pt>
                <c:pt idx="371">
                  <c:v>0.91791388902203652</c:v>
                </c:pt>
                <c:pt idx="372">
                  <c:v>0.91142046526697851</c:v>
                </c:pt>
                <c:pt idx="373">
                  <c:v>0.90305309839217685</c:v>
                </c:pt>
                <c:pt idx="374">
                  <c:v>0.90479143319485311</c:v>
                </c:pt>
                <c:pt idx="375">
                  <c:v>0.9035885540512909</c:v>
                </c:pt>
                <c:pt idx="376">
                  <c:v>0.90140971974887896</c:v>
                </c:pt>
                <c:pt idx="377">
                  <c:v>0.89598113982582683</c:v>
                </c:pt>
                <c:pt idx="378">
                  <c:v>0.90385491669644791</c:v>
                </c:pt>
                <c:pt idx="379">
                  <c:v>0.90840067737416186</c:v>
                </c:pt>
                <c:pt idx="380">
                  <c:v>0.90769563547513576</c:v>
                </c:pt>
                <c:pt idx="381">
                  <c:v>0.92534200902963315</c:v>
                </c:pt>
                <c:pt idx="382">
                  <c:v>0.91492474193464235</c:v>
                </c:pt>
                <c:pt idx="383">
                  <c:v>0.91401097850957058</c:v>
                </c:pt>
                <c:pt idx="384">
                  <c:v>0.92195726184054771</c:v>
                </c:pt>
                <c:pt idx="385">
                  <c:v>0.91858677324408466</c:v>
                </c:pt>
                <c:pt idx="386">
                  <c:v>0.92122582637645478</c:v>
                </c:pt>
                <c:pt idx="387">
                  <c:v>0.92333913182766636</c:v>
                </c:pt>
                <c:pt idx="388">
                  <c:v>0.92659494493452876</c:v>
                </c:pt>
                <c:pt idx="389">
                  <c:v>0.92651060687603948</c:v>
                </c:pt>
                <c:pt idx="390">
                  <c:v>0.92853441690547278</c:v>
                </c:pt>
                <c:pt idx="391">
                  <c:v>0.92510386019540947</c:v>
                </c:pt>
                <c:pt idx="392">
                  <c:v>0.90858088171496287</c:v>
                </c:pt>
                <c:pt idx="393">
                  <c:v>0.90651095879024035</c:v>
                </c:pt>
                <c:pt idx="394">
                  <c:v>0.91523388035766629</c:v>
                </c:pt>
                <c:pt idx="395">
                  <c:v>0.91536888192611143</c:v>
                </c:pt>
                <c:pt idx="396">
                  <c:v>0.91206210193498205</c:v>
                </c:pt>
                <c:pt idx="397">
                  <c:v>0.88963788635476959</c:v>
                </c:pt>
                <c:pt idx="398">
                  <c:v>0.88876720208187598</c:v>
                </c:pt>
                <c:pt idx="399">
                  <c:v>0.88936970346374589</c:v>
                </c:pt>
                <c:pt idx="400">
                  <c:v>0.88359497345171401</c:v>
                </c:pt>
                <c:pt idx="401">
                  <c:v>0.87848190281221927</c:v>
                </c:pt>
                <c:pt idx="402">
                  <c:v>0.86591704896886112</c:v>
                </c:pt>
                <c:pt idx="403">
                  <c:v>0.87734637276572414</c:v>
                </c:pt>
                <c:pt idx="404">
                  <c:v>0.88146922965374686</c:v>
                </c:pt>
                <c:pt idx="405">
                  <c:v>0.8732802468738794</c:v>
                </c:pt>
                <c:pt idx="406">
                  <c:v>0.87639044031140778</c:v>
                </c:pt>
                <c:pt idx="407">
                  <c:v>0.87526674186304598</c:v>
                </c:pt>
                <c:pt idx="408">
                  <c:v>0.87153887832809207</c:v>
                </c:pt>
                <c:pt idx="409">
                  <c:v>0.87590534478793836</c:v>
                </c:pt>
                <c:pt idx="410">
                  <c:v>0.86224682655301865</c:v>
                </c:pt>
                <c:pt idx="411">
                  <c:v>0.85948096295860343</c:v>
                </c:pt>
                <c:pt idx="412">
                  <c:v>0.88802484514258295</c:v>
                </c:pt>
                <c:pt idx="413">
                  <c:v>0.89072062927113116</c:v>
                </c:pt>
                <c:pt idx="414">
                  <c:v>0.89012995948739448</c:v>
                </c:pt>
                <c:pt idx="415">
                  <c:v>0.89152062732953552</c:v>
                </c:pt>
                <c:pt idx="416">
                  <c:v>0.88743933272213527</c:v>
                </c:pt>
                <c:pt idx="417">
                  <c:v>0.88388348242158232</c:v>
                </c:pt>
                <c:pt idx="418">
                  <c:v>0.88482636978052087</c:v>
                </c:pt>
                <c:pt idx="419">
                  <c:v>0.85583288686747216</c:v>
                </c:pt>
                <c:pt idx="420">
                  <c:v>0.85625670078009686</c:v>
                </c:pt>
                <c:pt idx="421">
                  <c:v>0.85402477597323989</c:v>
                </c:pt>
                <c:pt idx="422">
                  <c:v>0.85602097894036222</c:v>
                </c:pt>
                <c:pt idx="423">
                  <c:v>0.86268884292431003</c:v>
                </c:pt>
                <c:pt idx="424">
                  <c:v>0.85717895868587968</c:v>
                </c:pt>
                <c:pt idx="425">
                  <c:v>0.85154317410833746</c:v>
                </c:pt>
                <c:pt idx="426">
                  <c:v>0.85172762568949401</c:v>
                </c:pt>
                <c:pt idx="427">
                  <c:v>0.86270067452244348</c:v>
                </c:pt>
                <c:pt idx="428">
                  <c:v>0.85767224531574893</c:v>
                </c:pt>
                <c:pt idx="429">
                  <c:v>0.86032768066091925</c:v>
                </c:pt>
                <c:pt idx="430">
                  <c:v>0.86068414547647665</c:v>
                </c:pt>
                <c:pt idx="431">
                  <c:v>0.85933534328926919</c:v>
                </c:pt>
                <c:pt idx="432">
                  <c:v>0.8591903303685573</c:v>
                </c:pt>
                <c:pt idx="433">
                  <c:v>0.88380460510069303</c:v>
                </c:pt>
                <c:pt idx="434">
                  <c:v>0.9094682515749678</c:v>
                </c:pt>
                <c:pt idx="435">
                  <c:v>0.90747508235095675</c:v>
                </c:pt>
                <c:pt idx="436">
                  <c:v>0.9078910085314924</c:v>
                </c:pt>
                <c:pt idx="437">
                  <c:v>0.89141171595184598</c:v>
                </c:pt>
                <c:pt idx="438">
                  <c:v>0.89361573032208053</c:v>
                </c:pt>
                <c:pt idx="439">
                  <c:v>0.89606790487880494</c:v>
                </c:pt>
                <c:pt idx="440">
                  <c:v>0.89941382015606786</c:v>
                </c:pt>
                <c:pt idx="441">
                  <c:v>0.8939439813267045</c:v>
                </c:pt>
                <c:pt idx="442">
                  <c:v>0.89775739641739205</c:v>
                </c:pt>
                <c:pt idx="443">
                  <c:v>0.89583127291613707</c:v>
                </c:pt>
                <c:pt idx="444">
                  <c:v>0.90180562322488111</c:v>
                </c:pt>
                <c:pt idx="445">
                  <c:v>0.92311433146313182</c:v>
                </c:pt>
                <c:pt idx="446">
                  <c:v>0.92033451265040545</c:v>
                </c:pt>
                <c:pt idx="447">
                  <c:v>0.9338213210252353</c:v>
                </c:pt>
                <c:pt idx="448">
                  <c:v>0.93510944835022025</c:v>
                </c:pt>
                <c:pt idx="449">
                  <c:v>0.93033919068228277</c:v>
                </c:pt>
                <c:pt idx="450">
                  <c:v>0.91729652229892211</c:v>
                </c:pt>
                <c:pt idx="451">
                  <c:v>0.92042461482080595</c:v>
                </c:pt>
                <c:pt idx="452">
                  <c:v>0.90555957695059075</c:v>
                </c:pt>
                <c:pt idx="453">
                  <c:v>0.91267734503791886</c:v>
                </c:pt>
                <c:pt idx="454">
                  <c:v>0.92547124648616708</c:v>
                </c:pt>
                <c:pt idx="455">
                  <c:v>0.92622149115754904</c:v>
                </c:pt>
                <c:pt idx="456">
                  <c:v>0.91301409052325411</c:v>
                </c:pt>
                <c:pt idx="457">
                  <c:v>0.91131064376635573</c:v>
                </c:pt>
                <c:pt idx="458">
                  <c:v>0.91031860976901691</c:v>
                </c:pt>
                <c:pt idx="459">
                  <c:v>0.88580202156505949</c:v>
                </c:pt>
                <c:pt idx="460">
                  <c:v>0.89828223397561724</c:v>
                </c:pt>
                <c:pt idx="461">
                  <c:v>0.9131445414770325</c:v>
                </c:pt>
                <c:pt idx="462">
                  <c:v>0.90992968390217033</c:v>
                </c:pt>
                <c:pt idx="463">
                  <c:v>0.91582697713589178</c:v>
                </c:pt>
                <c:pt idx="464">
                  <c:v>0.89651659548494089</c:v>
                </c:pt>
                <c:pt idx="465">
                  <c:v>0.88125140689836778</c:v>
                </c:pt>
                <c:pt idx="466">
                  <c:v>0.87081472384746583</c:v>
                </c:pt>
                <c:pt idx="467">
                  <c:v>0.86897566877350019</c:v>
                </c:pt>
                <c:pt idx="468">
                  <c:v>0.86749853925269194</c:v>
                </c:pt>
                <c:pt idx="469">
                  <c:v>0.85257525351474317</c:v>
                </c:pt>
                <c:pt idx="470">
                  <c:v>0.85088151473580043</c:v>
                </c:pt>
                <c:pt idx="471">
                  <c:v>0.86842595452176385</c:v>
                </c:pt>
                <c:pt idx="472">
                  <c:v>0.88020628239658438</c:v>
                </c:pt>
                <c:pt idx="473">
                  <c:v>0.87897852655951092</c:v>
                </c:pt>
                <c:pt idx="474">
                  <c:v>0.87194236616187204</c:v>
                </c:pt>
                <c:pt idx="475">
                  <c:v>0.86757711319927022</c:v>
                </c:pt>
                <c:pt idx="476">
                  <c:v>0.86452001026618674</c:v>
                </c:pt>
                <c:pt idx="477">
                  <c:v>0.82917356590412528</c:v>
                </c:pt>
                <c:pt idx="478">
                  <c:v>0.81546377741062748</c:v>
                </c:pt>
                <c:pt idx="479">
                  <c:v>0.83950042745440445</c:v>
                </c:pt>
                <c:pt idx="480">
                  <c:v>0.83162331346636098</c:v>
                </c:pt>
                <c:pt idx="481">
                  <c:v>0.88855180632098585</c:v>
                </c:pt>
                <c:pt idx="482">
                  <c:v>0.8807960420573876</c:v>
                </c:pt>
                <c:pt idx="483">
                  <c:v>0.88802969913156082</c:v>
                </c:pt>
                <c:pt idx="484">
                  <c:v>0.86765690064309298</c:v>
                </c:pt>
                <c:pt idx="485">
                  <c:v>0.86852819166460882</c:v>
                </c:pt>
                <c:pt idx="486">
                  <c:v>0.86987669047750515</c:v>
                </c:pt>
                <c:pt idx="487">
                  <c:v>0.86054277304749816</c:v>
                </c:pt>
                <c:pt idx="488">
                  <c:v>0.83837248176568713</c:v>
                </c:pt>
                <c:pt idx="489">
                  <c:v>0.84369093681380536</c:v>
                </c:pt>
                <c:pt idx="490">
                  <c:v>0.83101717159275756</c:v>
                </c:pt>
                <c:pt idx="491">
                  <c:v>0.83414890460637492</c:v>
                </c:pt>
                <c:pt idx="492">
                  <c:v>0.81572922993285113</c:v>
                </c:pt>
                <c:pt idx="493">
                  <c:v>0.83051751410235486</c:v>
                </c:pt>
                <c:pt idx="494">
                  <c:v>0.80565932642408455</c:v>
                </c:pt>
                <c:pt idx="495">
                  <c:v>0.82989802375906263</c:v>
                </c:pt>
                <c:pt idx="496">
                  <c:v>0.83421413008326417</c:v>
                </c:pt>
                <c:pt idx="497">
                  <c:v>0.89146996381957966</c:v>
                </c:pt>
                <c:pt idx="498">
                  <c:v>0.8848102909420319</c:v>
                </c:pt>
                <c:pt idx="499">
                  <c:v>0.87386424242277161</c:v>
                </c:pt>
                <c:pt idx="500">
                  <c:v>0.90305249164355461</c:v>
                </c:pt>
                <c:pt idx="501">
                  <c:v>0.91247074713205101</c:v>
                </c:pt>
                <c:pt idx="502">
                  <c:v>0.88007977530885018</c:v>
                </c:pt>
                <c:pt idx="503">
                  <c:v>0.91244344344405082</c:v>
                </c:pt>
                <c:pt idx="504">
                  <c:v>0.89483195793533166</c:v>
                </c:pt>
                <c:pt idx="505">
                  <c:v>0.91705837346469843</c:v>
                </c:pt>
                <c:pt idx="506">
                  <c:v>0.91519049783117712</c:v>
                </c:pt>
                <c:pt idx="507">
                  <c:v>0.96667554542150524</c:v>
                </c:pt>
                <c:pt idx="508">
                  <c:v>0.9480453289760693</c:v>
                </c:pt>
                <c:pt idx="509">
                  <c:v>1.0198958940713987</c:v>
                </c:pt>
                <c:pt idx="510">
                  <c:v>0.99740675638860798</c:v>
                </c:pt>
                <c:pt idx="511">
                  <c:v>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845-49C1-A22D-C8D811725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893032"/>
        <c:axId val="322191208"/>
      </c:lineChart>
      <c:dateAx>
        <c:axId val="320893032"/>
        <c:scaling>
          <c:orientation val="minMax"/>
          <c:min val="42369"/>
        </c:scaling>
        <c:delete val="0"/>
        <c:axPos val="b"/>
        <c:numFmt formatCode="[$-41B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2191208"/>
        <c:crosses val="autoZero"/>
        <c:auto val="0"/>
        <c:lblOffset val="100"/>
        <c:baseTimeUnit val="days"/>
        <c:majorUnit val="2"/>
        <c:majorTimeUnit val="months"/>
      </c:dateAx>
      <c:valAx>
        <c:axId val="322191208"/>
        <c:scaling>
          <c:orientation val="minMax"/>
          <c:max val="1.5"/>
          <c:min val="0.8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0893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4605048648395298E-2"/>
          <c:y val="7.0864866588032774E-2"/>
          <c:w val="0.40836802376447129"/>
          <c:h val="0.21574386248473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85272162408270391"/>
        </c:manualLayout>
      </c:layout>
      <c:lineChart>
        <c:grouping val="standard"/>
        <c:varyColors val="0"/>
        <c:ser>
          <c:idx val="0"/>
          <c:order val="0"/>
          <c:tx>
            <c:strRef>
              <c:f>'Graf 45+46'!$B$22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45+46'!$C$21:$M$21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45+46'!$C$22:$M$22</c:f>
              <c:numCache>
                <c:formatCode>#\ ##0.0</c:formatCode>
                <c:ptCount val="11"/>
                <c:pt idx="0">
                  <c:v>34.4</c:v>
                </c:pt>
                <c:pt idx="1">
                  <c:v>34.5</c:v>
                </c:pt>
                <c:pt idx="2">
                  <c:v>36.299999999999997</c:v>
                </c:pt>
                <c:pt idx="3">
                  <c:v>34.700000000000003</c:v>
                </c:pt>
                <c:pt idx="4">
                  <c:v>36.5</c:v>
                </c:pt>
                <c:pt idx="5">
                  <c:v>36.299999999999997</c:v>
                </c:pt>
                <c:pt idx="6">
                  <c:v>38.700000000000003</c:v>
                </c:pt>
                <c:pt idx="7">
                  <c:v>39.299999999999997</c:v>
                </c:pt>
                <c:pt idx="8">
                  <c:v>42.5</c:v>
                </c:pt>
                <c:pt idx="9">
                  <c:v>39.299999999999997</c:v>
                </c:pt>
                <c:pt idx="10" formatCode="0.0">
                  <c:v>39.4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9E-41EF-9C2D-8A914693EB75}"/>
            </c:ext>
          </c:extLst>
        </c:ser>
        <c:ser>
          <c:idx val="1"/>
          <c:order val="1"/>
          <c:tx>
            <c:strRef>
              <c:f>'Graf 45+46'!$B$23</c:f>
              <c:strCache>
                <c:ptCount val="1"/>
                <c:pt idx="0">
                  <c:v>EA 19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45+46'!$C$21:$M$21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45+46'!$C$23:$M$23</c:f>
              <c:numCache>
                <c:formatCode>#\ ##0.0</c:formatCode>
                <c:ptCount val="11"/>
                <c:pt idx="0">
                  <c:v>44.7</c:v>
                </c:pt>
                <c:pt idx="1">
                  <c:v>44.5</c:v>
                </c:pt>
                <c:pt idx="2">
                  <c:v>44.5</c:v>
                </c:pt>
                <c:pt idx="3">
                  <c:v>44.4</c:v>
                </c:pt>
                <c:pt idx="4">
                  <c:v>45</c:v>
                </c:pt>
                <c:pt idx="5">
                  <c:v>46.1</c:v>
                </c:pt>
                <c:pt idx="6">
                  <c:v>46.8</c:v>
                </c:pt>
                <c:pt idx="7">
                  <c:v>46.7</c:v>
                </c:pt>
                <c:pt idx="8">
                  <c:v>46.3</c:v>
                </c:pt>
                <c:pt idx="9">
                  <c:v>46.1</c:v>
                </c:pt>
                <c:pt idx="10">
                  <c:v>46.2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29E-41EF-9C2D-8A914693EB75}"/>
            </c:ext>
          </c:extLst>
        </c:ser>
        <c:ser>
          <c:idx val="2"/>
          <c:order val="2"/>
          <c:tx>
            <c:strRef>
              <c:f>'Graf 45+46'!$B$24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45+46'!$C$21:$M$21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45+46'!$C$24:$M$24</c:f>
              <c:numCache>
                <c:formatCode>#\ ##0.0</c:formatCode>
                <c:ptCount val="11"/>
                <c:pt idx="0">
                  <c:v>41.966666666666661</c:v>
                </c:pt>
                <c:pt idx="1">
                  <c:v>41.433333333333337</c:v>
                </c:pt>
                <c:pt idx="2">
                  <c:v>40.766666666666666</c:v>
                </c:pt>
                <c:pt idx="3">
                  <c:v>40.866666666666667</c:v>
                </c:pt>
                <c:pt idx="4">
                  <c:v>41.133333333333333</c:v>
                </c:pt>
                <c:pt idx="5">
                  <c:v>41.9</c:v>
                </c:pt>
                <c:pt idx="6">
                  <c:v>42.2</c:v>
                </c:pt>
                <c:pt idx="7">
                  <c:v>41.9</c:v>
                </c:pt>
                <c:pt idx="8">
                  <c:v>42.733333333333327</c:v>
                </c:pt>
                <c:pt idx="9">
                  <c:v>41.300000000000004</c:v>
                </c:pt>
                <c:pt idx="10">
                  <c:v>41.5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29E-41EF-9C2D-8A914693E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809984"/>
        <c:axId val="451810376"/>
      </c:lineChart>
      <c:catAx>
        <c:axId val="45180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1810376"/>
        <c:crosses val="autoZero"/>
        <c:auto val="1"/>
        <c:lblAlgn val="ctr"/>
        <c:lblOffset val="100"/>
        <c:noMultiLvlLbl val="0"/>
      </c:catAx>
      <c:valAx>
        <c:axId val="451810376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180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859604355011175"/>
          <c:y val="0.65539781697029564"/>
          <c:w val="0.45600828721243547"/>
          <c:h val="0.1874953269217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91257922028039162"/>
          <c:h val="0.86179191886728423"/>
        </c:manualLayout>
      </c:layout>
      <c:lineChart>
        <c:grouping val="standard"/>
        <c:varyColors val="0"/>
        <c:ser>
          <c:idx val="0"/>
          <c:order val="0"/>
          <c:tx>
            <c:strRef>
              <c:f>'Graf 45+46'!$B$22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45+46'!$C$21:$M$21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45+46'!$P$22:$Z$22</c:f>
              <c:numCache>
                <c:formatCode>#\ ##0.0</c:formatCode>
                <c:ptCount val="11"/>
                <c:pt idx="0">
                  <c:v>29</c:v>
                </c:pt>
                <c:pt idx="1">
                  <c:v>28.9</c:v>
                </c:pt>
                <c:pt idx="2">
                  <c:v>28.8</c:v>
                </c:pt>
                <c:pt idx="3">
                  <c:v>28</c:v>
                </c:pt>
                <c:pt idx="4">
                  <c:v>28.5</c:v>
                </c:pt>
                <c:pt idx="5">
                  <c:v>28.2</c:v>
                </c:pt>
                <c:pt idx="6">
                  <c:v>30.1</c:v>
                </c:pt>
                <c:pt idx="7">
                  <c:v>31</c:v>
                </c:pt>
                <c:pt idx="8">
                  <c:v>32.1</c:v>
                </c:pt>
                <c:pt idx="9">
                  <c:v>32.299999999999997</c:v>
                </c:pt>
                <c:pt idx="10" formatCode="0.0">
                  <c:v>32.803149988765092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BC5-468C-B486-EB8C06A94CAF}"/>
            </c:ext>
          </c:extLst>
        </c:ser>
        <c:ser>
          <c:idx val="1"/>
          <c:order val="1"/>
          <c:tx>
            <c:strRef>
              <c:f>'Graf 45+46'!$B$23</c:f>
              <c:strCache>
                <c:ptCount val="1"/>
                <c:pt idx="0">
                  <c:v>EA 19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45+46'!$C$21:$M$21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45+46'!$P$23:$Z$23</c:f>
              <c:numCache>
                <c:formatCode>#\ ##0.0</c:formatCode>
                <c:ptCount val="11"/>
                <c:pt idx="0">
                  <c:v>39.700000000000003</c:v>
                </c:pt>
                <c:pt idx="1">
                  <c:v>39.299999999999997</c:v>
                </c:pt>
                <c:pt idx="2">
                  <c:v>38.900000000000006</c:v>
                </c:pt>
                <c:pt idx="3">
                  <c:v>38.9</c:v>
                </c:pt>
                <c:pt idx="4">
                  <c:v>39.4</c:v>
                </c:pt>
                <c:pt idx="5">
                  <c:v>40.400000000000006</c:v>
                </c:pt>
                <c:pt idx="6">
                  <c:v>41.1</c:v>
                </c:pt>
                <c:pt idx="7">
                  <c:v>41</c:v>
                </c:pt>
                <c:pt idx="8">
                  <c:v>40.799999999999997</c:v>
                </c:pt>
                <c:pt idx="9">
                  <c:v>40.900000000000006</c:v>
                </c:pt>
                <c:pt idx="10">
                  <c:v>41.2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C5-468C-B486-EB8C06A94CAF}"/>
            </c:ext>
          </c:extLst>
        </c:ser>
        <c:ser>
          <c:idx val="2"/>
          <c:order val="2"/>
          <c:tx>
            <c:strRef>
              <c:f>'Graf 45+46'!$B$24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45+46'!$C$21:$M$21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45+46'!$P$24:$Z$24</c:f>
              <c:numCache>
                <c:formatCode>#\ ##0.0</c:formatCode>
                <c:ptCount val="11"/>
                <c:pt idx="0">
                  <c:v>37.766666666666666</c:v>
                </c:pt>
                <c:pt idx="1">
                  <c:v>37.233333333333341</c:v>
                </c:pt>
                <c:pt idx="2">
                  <c:v>36.633333333333333</c:v>
                </c:pt>
                <c:pt idx="3">
                  <c:v>36.166666666666664</c:v>
                </c:pt>
                <c:pt idx="4">
                  <c:v>36.5</c:v>
                </c:pt>
                <c:pt idx="5">
                  <c:v>37.6</c:v>
                </c:pt>
                <c:pt idx="6">
                  <c:v>37.900000000000006</c:v>
                </c:pt>
                <c:pt idx="7">
                  <c:v>37.56666666666667</c:v>
                </c:pt>
                <c:pt idx="8">
                  <c:v>37.799999999999997</c:v>
                </c:pt>
                <c:pt idx="9">
                  <c:v>38.233333333333334</c:v>
                </c:pt>
                <c:pt idx="10">
                  <c:v>38.200000000000003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BC5-468C-B486-EB8C06A94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811160"/>
        <c:axId val="451811552"/>
      </c:lineChart>
      <c:catAx>
        <c:axId val="451811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1811552"/>
        <c:crosses val="autoZero"/>
        <c:auto val="1"/>
        <c:lblAlgn val="ctr"/>
        <c:lblOffset val="100"/>
        <c:noMultiLvlLbl val="0"/>
      </c:catAx>
      <c:valAx>
        <c:axId val="451811552"/>
        <c:scaling>
          <c:orientation val="minMax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1811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090460976191727E-2"/>
          <c:y val="2.0008570357276767E-2"/>
          <c:w val="0.45600828721243547"/>
          <c:h val="0.17273519381505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89484086107861782"/>
          <c:h val="0.85272162408270391"/>
        </c:manualLayout>
      </c:layout>
      <c:lineChart>
        <c:grouping val="standard"/>
        <c:varyColors val="0"/>
        <c:ser>
          <c:idx val="0"/>
          <c:order val="0"/>
          <c:tx>
            <c:strRef>
              <c:f>'Graf 45+46'!$B$49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45+46'!$C$48:$M$48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45+46'!$C$49:$M$49</c:f>
              <c:numCache>
                <c:formatCode>#\ ##0.0</c:formatCode>
                <c:ptCount val="11"/>
                <c:pt idx="0">
                  <c:v>34.4</c:v>
                </c:pt>
                <c:pt idx="1">
                  <c:v>34.5</c:v>
                </c:pt>
                <c:pt idx="2">
                  <c:v>36.299999999999997</c:v>
                </c:pt>
                <c:pt idx="3">
                  <c:v>34.700000000000003</c:v>
                </c:pt>
                <c:pt idx="4">
                  <c:v>36.5</c:v>
                </c:pt>
                <c:pt idx="5">
                  <c:v>36.299999999999997</c:v>
                </c:pt>
                <c:pt idx="6">
                  <c:v>38.700000000000003</c:v>
                </c:pt>
                <c:pt idx="7">
                  <c:v>39.299999999999997</c:v>
                </c:pt>
                <c:pt idx="8">
                  <c:v>42.5</c:v>
                </c:pt>
                <c:pt idx="9">
                  <c:v>39.299999999999997</c:v>
                </c:pt>
                <c:pt idx="10" formatCode="0.0">
                  <c:v>39.4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381-46E0-B31C-28CA0F889FC3}"/>
            </c:ext>
          </c:extLst>
        </c:ser>
        <c:ser>
          <c:idx val="1"/>
          <c:order val="1"/>
          <c:tx>
            <c:strRef>
              <c:f>'Graf 45+46'!$B$50</c:f>
              <c:strCache>
                <c:ptCount val="1"/>
                <c:pt idx="0">
                  <c:v>Euro area average (19 countries)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45+46'!$C$48:$M$48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45+46'!$C$50:$M$50</c:f>
              <c:numCache>
                <c:formatCode>#\ ##0.0</c:formatCode>
                <c:ptCount val="11"/>
                <c:pt idx="0">
                  <c:v>44.7</c:v>
                </c:pt>
                <c:pt idx="1">
                  <c:v>44.5</c:v>
                </c:pt>
                <c:pt idx="2">
                  <c:v>44.5</c:v>
                </c:pt>
                <c:pt idx="3">
                  <c:v>44.4</c:v>
                </c:pt>
                <c:pt idx="4">
                  <c:v>45</c:v>
                </c:pt>
                <c:pt idx="5">
                  <c:v>46.1</c:v>
                </c:pt>
                <c:pt idx="6">
                  <c:v>46.8</c:v>
                </c:pt>
                <c:pt idx="7">
                  <c:v>46.7</c:v>
                </c:pt>
                <c:pt idx="8">
                  <c:v>46.3</c:v>
                </c:pt>
                <c:pt idx="9">
                  <c:v>46.1</c:v>
                </c:pt>
                <c:pt idx="10">
                  <c:v>46.2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381-46E0-B31C-28CA0F889FC3}"/>
            </c:ext>
          </c:extLst>
        </c:ser>
        <c:ser>
          <c:idx val="2"/>
          <c:order val="2"/>
          <c:tx>
            <c:strRef>
              <c:f>'Graf 45+46'!$B$51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45+46'!$C$48:$M$48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45+46'!$C$51:$M$51</c:f>
              <c:numCache>
                <c:formatCode>#\ ##0.0</c:formatCode>
                <c:ptCount val="11"/>
                <c:pt idx="0">
                  <c:v>41.966666666666661</c:v>
                </c:pt>
                <c:pt idx="1">
                  <c:v>41.433333333333337</c:v>
                </c:pt>
                <c:pt idx="2">
                  <c:v>40.766666666666666</c:v>
                </c:pt>
                <c:pt idx="3">
                  <c:v>40.866666666666667</c:v>
                </c:pt>
                <c:pt idx="4">
                  <c:v>41.133333333333333</c:v>
                </c:pt>
                <c:pt idx="5">
                  <c:v>41.9</c:v>
                </c:pt>
                <c:pt idx="6">
                  <c:v>42.2</c:v>
                </c:pt>
                <c:pt idx="7">
                  <c:v>41.9</c:v>
                </c:pt>
                <c:pt idx="8">
                  <c:v>42.733333333333327</c:v>
                </c:pt>
                <c:pt idx="9">
                  <c:v>41.300000000000004</c:v>
                </c:pt>
                <c:pt idx="10">
                  <c:v>41.5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381-46E0-B31C-28CA0F889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812336"/>
        <c:axId val="451812728"/>
      </c:lineChart>
      <c:catAx>
        <c:axId val="45181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1812728"/>
        <c:crosses val="autoZero"/>
        <c:auto val="1"/>
        <c:lblAlgn val="ctr"/>
        <c:lblOffset val="100"/>
        <c:noMultiLvlLbl val="0"/>
      </c:catAx>
      <c:valAx>
        <c:axId val="451812728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1812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6859604355011175"/>
          <c:y val="0.65539781697029564"/>
          <c:w val="0.45600828721243547"/>
          <c:h val="0.187495326921773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638813718130024E-2"/>
          <c:y val="4.9886621315192746E-2"/>
          <c:w val="0.91257922028039162"/>
          <c:h val="0.86179191886728423"/>
        </c:manualLayout>
      </c:layout>
      <c:lineChart>
        <c:grouping val="standard"/>
        <c:varyColors val="0"/>
        <c:ser>
          <c:idx val="0"/>
          <c:order val="0"/>
          <c:tx>
            <c:strRef>
              <c:f>'Graf 45+46'!$O$49</c:f>
              <c:strCache>
                <c:ptCount val="1"/>
                <c:pt idx="0">
                  <c:v>SK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'Graf 45+46'!$P$48:$Z$48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45+46'!$P$49:$Z$49</c:f>
              <c:numCache>
                <c:formatCode>#\ ##0.0</c:formatCode>
                <c:ptCount val="11"/>
                <c:pt idx="0">
                  <c:v>29</c:v>
                </c:pt>
                <c:pt idx="1">
                  <c:v>28.9</c:v>
                </c:pt>
                <c:pt idx="2">
                  <c:v>28.8</c:v>
                </c:pt>
                <c:pt idx="3">
                  <c:v>28</c:v>
                </c:pt>
                <c:pt idx="4">
                  <c:v>28.5</c:v>
                </c:pt>
                <c:pt idx="5">
                  <c:v>28.2</c:v>
                </c:pt>
                <c:pt idx="6">
                  <c:v>30.1</c:v>
                </c:pt>
                <c:pt idx="7">
                  <c:v>31</c:v>
                </c:pt>
                <c:pt idx="8">
                  <c:v>32.1</c:v>
                </c:pt>
                <c:pt idx="9">
                  <c:v>32.299999999999997</c:v>
                </c:pt>
                <c:pt idx="10" formatCode="0.0">
                  <c:v>32.803149988765092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1CB-4CA4-BE72-92F1A4D5E2E9}"/>
            </c:ext>
          </c:extLst>
        </c:ser>
        <c:ser>
          <c:idx val="1"/>
          <c:order val="1"/>
          <c:tx>
            <c:strRef>
              <c:f>'Graf 45+46'!$O$50</c:f>
              <c:strCache>
                <c:ptCount val="1"/>
                <c:pt idx="0">
                  <c:v>Euro area average (19 countries)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45+46'!$P$48:$Z$48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45+46'!$P$50:$Z$50</c:f>
              <c:numCache>
                <c:formatCode>#\ ##0.0</c:formatCode>
                <c:ptCount val="11"/>
                <c:pt idx="0">
                  <c:v>39.700000000000003</c:v>
                </c:pt>
                <c:pt idx="1">
                  <c:v>39.299999999999997</c:v>
                </c:pt>
                <c:pt idx="2">
                  <c:v>38.900000000000006</c:v>
                </c:pt>
                <c:pt idx="3">
                  <c:v>38.9</c:v>
                </c:pt>
                <c:pt idx="4">
                  <c:v>39.4</c:v>
                </c:pt>
                <c:pt idx="5">
                  <c:v>40.400000000000006</c:v>
                </c:pt>
                <c:pt idx="6">
                  <c:v>41.1</c:v>
                </c:pt>
                <c:pt idx="7">
                  <c:v>41</c:v>
                </c:pt>
                <c:pt idx="8">
                  <c:v>40.799999999999997</c:v>
                </c:pt>
                <c:pt idx="9">
                  <c:v>40.900000000000006</c:v>
                </c:pt>
                <c:pt idx="10">
                  <c:v>41.2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1CB-4CA4-BE72-92F1A4D5E2E9}"/>
            </c:ext>
          </c:extLst>
        </c:ser>
        <c:ser>
          <c:idx val="2"/>
          <c:order val="2"/>
          <c:tx>
            <c:strRef>
              <c:f>'Graf 45+46'!$O$51</c:f>
              <c:strCache>
                <c:ptCount val="1"/>
                <c:pt idx="0">
                  <c:v>V3</c:v>
                </c:pt>
              </c:strCache>
            </c:strRef>
          </c:tx>
          <c:spPr>
            <a:ln w="222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'Graf 45+46'!$P$48:$Z$48</c:f>
              <c:numCache>
                <c:formatCode>General</c:formatCode>
                <c:ptCount val="11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</c:numCache>
            </c:numRef>
          </c:cat>
          <c:val>
            <c:numRef>
              <c:f>'Graf 45+46'!$P$51:$Z$51</c:f>
              <c:numCache>
                <c:formatCode>#\ ##0.0</c:formatCode>
                <c:ptCount val="11"/>
                <c:pt idx="0">
                  <c:v>37.766666666666666</c:v>
                </c:pt>
                <c:pt idx="1">
                  <c:v>37.233333333333341</c:v>
                </c:pt>
                <c:pt idx="2">
                  <c:v>36.633333333333333</c:v>
                </c:pt>
                <c:pt idx="3">
                  <c:v>36.166666666666664</c:v>
                </c:pt>
                <c:pt idx="4">
                  <c:v>36.5</c:v>
                </c:pt>
                <c:pt idx="5">
                  <c:v>37.6</c:v>
                </c:pt>
                <c:pt idx="6">
                  <c:v>37.900000000000006</c:v>
                </c:pt>
                <c:pt idx="7">
                  <c:v>37.56666666666667</c:v>
                </c:pt>
                <c:pt idx="8">
                  <c:v>37.799999999999997</c:v>
                </c:pt>
                <c:pt idx="9">
                  <c:v>38.233333333333334</c:v>
                </c:pt>
                <c:pt idx="10">
                  <c:v>38.200000000000003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1CB-4CA4-BE72-92F1A4D5E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8445224"/>
        <c:axId val="328445616"/>
      </c:lineChart>
      <c:catAx>
        <c:axId val="328445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445616"/>
        <c:crosses val="autoZero"/>
        <c:auto val="1"/>
        <c:lblAlgn val="ctr"/>
        <c:lblOffset val="100"/>
        <c:noMultiLvlLbl val="0"/>
      </c:catAx>
      <c:valAx>
        <c:axId val="328445616"/>
        <c:scaling>
          <c:orientation val="minMax"/>
          <c:min val="2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445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6090460976191727E-2"/>
          <c:y val="2.0008570357276767E-2"/>
          <c:w val="0.45600828721243547"/>
          <c:h val="0.172735193815058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47'!$B$22:$B$22</c:f>
              <c:strCache>
                <c:ptCount val="1"/>
                <c:pt idx="0">
                  <c:v>Sociálna poisťovňa (EAO+dlžné)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47'!$C$21:$H$21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47'!$C$22:$H$22</c:f>
              <c:numCache>
                <c:formatCode>0.0</c:formatCode>
                <c:ptCount val="6"/>
                <c:pt idx="0">
                  <c:v>8.1133922734553483</c:v>
                </c:pt>
                <c:pt idx="1">
                  <c:v>8.3619150746602244</c:v>
                </c:pt>
                <c:pt idx="2">
                  <c:v>8.3671829835179281</c:v>
                </c:pt>
                <c:pt idx="3">
                  <c:v>8.2782262383547156</c:v>
                </c:pt>
                <c:pt idx="4">
                  <c:v>8.2367245126834003</c:v>
                </c:pt>
                <c:pt idx="5">
                  <c:v>8.1532187945747285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A44-491F-A2B1-728DF57C771E}"/>
            </c:ext>
          </c:extLst>
        </c:ser>
        <c:ser>
          <c:idx val="1"/>
          <c:order val="1"/>
          <c:tx>
            <c:strRef>
              <c:f>'Graf 47'!$B$23:$B$23</c:f>
              <c:strCache>
                <c:ptCount val="1"/>
                <c:pt idx="0">
                  <c:v>Daň z pridanej hodnoty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47'!$C$21:$H$21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47'!$C$23:$H$23</c:f>
              <c:numCache>
                <c:formatCode>0.0</c:formatCode>
                <c:ptCount val="6"/>
                <c:pt idx="0">
                  <c:v>6.6782318439002717</c:v>
                </c:pt>
                <c:pt idx="1">
                  <c:v>7.0065760050602597</c:v>
                </c:pt>
                <c:pt idx="2">
                  <c:v>6.8171038041494683</c:v>
                </c:pt>
                <c:pt idx="3">
                  <c:v>6.7807409003327379</c:v>
                </c:pt>
                <c:pt idx="4">
                  <c:v>6.7015898828240976</c:v>
                </c:pt>
                <c:pt idx="5">
                  <c:v>6.6320597555995802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A44-491F-A2B1-728DF57C771E}"/>
            </c:ext>
          </c:extLst>
        </c:ser>
        <c:ser>
          <c:idx val="2"/>
          <c:order val="2"/>
          <c:tx>
            <c:strRef>
              <c:f>'Graf 47'!$B$24:$B$24</c:f>
              <c:strCache>
                <c:ptCount val="1"/>
                <c:pt idx="0">
                  <c:v>Ostatné dane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47'!$C$21:$H$21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47'!$C$24:$H$24</c:f>
              <c:numCache>
                <c:formatCode>0.0</c:formatCode>
                <c:ptCount val="6"/>
                <c:pt idx="0">
                  <c:v>4.5101331200910355</c:v>
                </c:pt>
                <c:pt idx="1">
                  <c:v>4.429897894447735</c:v>
                </c:pt>
                <c:pt idx="2">
                  <c:v>4.2818236049477427</c:v>
                </c:pt>
                <c:pt idx="3">
                  <c:v>4.0396383445507089</c:v>
                </c:pt>
                <c:pt idx="4">
                  <c:v>3.7087800257457171</c:v>
                </c:pt>
                <c:pt idx="5">
                  <c:v>3.3132526034804295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A44-491F-A2B1-728DF57C771E}"/>
            </c:ext>
          </c:extLst>
        </c:ser>
        <c:ser>
          <c:idx val="3"/>
          <c:order val="3"/>
          <c:tx>
            <c:strRef>
              <c:f>'Graf 47'!$B$25:$B$25</c:f>
              <c:strCache>
                <c:ptCount val="1"/>
                <c:pt idx="0">
                  <c:v>Zdravotné poisťovne (EAO+dlžné)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47'!$C$21:$H$21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47'!$C$25:$H$25</c:f>
              <c:numCache>
                <c:formatCode>0.0</c:formatCode>
                <c:ptCount val="6"/>
                <c:pt idx="0">
                  <c:v>3.6735647572910985</c:v>
                </c:pt>
                <c:pt idx="1">
                  <c:v>3.908005274507075</c:v>
                </c:pt>
                <c:pt idx="2">
                  <c:v>3.9899894172964272</c:v>
                </c:pt>
                <c:pt idx="3">
                  <c:v>4.0807237843443316</c:v>
                </c:pt>
                <c:pt idx="4">
                  <c:v>4.0827701796020417</c:v>
                </c:pt>
                <c:pt idx="5">
                  <c:v>4.0859007854263227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A44-491F-A2B1-728DF57C771E}"/>
            </c:ext>
          </c:extLst>
        </c:ser>
        <c:ser>
          <c:idx val="4"/>
          <c:order val="4"/>
          <c:tx>
            <c:strRef>
              <c:f>'Graf 47'!$B$26:$B$26</c:f>
              <c:strCache>
                <c:ptCount val="1"/>
                <c:pt idx="0">
                  <c:v>Daň z príjmu právnických osôb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47'!$C$21:$H$21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47'!$C$26:$H$26</c:f>
              <c:numCache>
                <c:formatCode>0.0</c:formatCode>
                <c:ptCount val="6"/>
                <c:pt idx="0">
                  <c:v>3.4860243305915568</c:v>
                </c:pt>
                <c:pt idx="1">
                  <c:v>3.2060574662554617</c:v>
                </c:pt>
                <c:pt idx="2">
                  <c:v>3.0519108133839774</c:v>
                </c:pt>
                <c:pt idx="3">
                  <c:v>3.0194969216966689</c:v>
                </c:pt>
                <c:pt idx="4">
                  <c:v>3.0042032797937921</c:v>
                </c:pt>
                <c:pt idx="5">
                  <c:v>2.9905700985530368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A44-491F-A2B1-728DF57C771E}"/>
            </c:ext>
          </c:extLst>
        </c:ser>
        <c:ser>
          <c:idx val="5"/>
          <c:order val="5"/>
          <c:tx>
            <c:strRef>
              <c:f>'Graf 47'!$B$27:$B$27</c:f>
              <c:strCache>
                <c:ptCount val="1"/>
                <c:pt idx="0">
                  <c:v>Daň z príjmu fyzických osôb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47'!$C$21:$H$21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47'!$C$27:$H$27</c:f>
              <c:numCache>
                <c:formatCode>0.0</c:formatCode>
                <c:ptCount val="6"/>
                <c:pt idx="0">
                  <c:v>3.3049142662972257</c:v>
                </c:pt>
                <c:pt idx="1">
                  <c:v>3.3832184778624756</c:v>
                </c:pt>
                <c:pt idx="2">
                  <c:v>3.4348605320031438</c:v>
                </c:pt>
                <c:pt idx="3">
                  <c:v>3.440427663633725</c:v>
                </c:pt>
                <c:pt idx="4">
                  <c:v>3.48118981823868</c:v>
                </c:pt>
                <c:pt idx="5">
                  <c:v>3.5135396056791528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4A44-491F-A2B1-728DF57C771E}"/>
            </c:ext>
          </c:extLst>
        </c:ser>
        <c:ser>
          <c:idx val="6"/>
          <c:order val="6"/>
          <c:tx>
            <c:strRef>
              <c:f>'Graf 47'!$B$28:$B$28</c:f>
              <c:strCache>
                <c:ptCount val="1"/>
                <c:pt idx="0">
                  <c:v>Spotrebné dane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47'!$C$21:$H$21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47'!$C$28:$H$28</c:f>
              <c:numCache>
                <c:formatCode>0.0</c:formatCode>
                <c:ptCount val="6"/>
                <c:pt idx="0">
                  <c:v>2.6787156649867243</c:v>
                </c:pt>
                <c:pt idx="1">
                  <c:v>2.6470815167718089</c:v>
                </c:pt>
                <c:pt idx="2">
                  <c:v>2.590274087139802</c:v>
                </c:pt>
                <c:pt idx="3">
                  <c:v>2.5368111296926199</c:v>
                </c:pt>
                <c:pt idx="4">
                  <c:v>2.4527377146567639</c:v>
                </c:pt>
                <c:pt idx="5">
                  <c:v>2.371118905909213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A44-491F-A2B1-728DF57C7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8446400"/>
        <c:axId val="328446792"/>
      </c:barChart>
      <c:catAx>
        <c:axId val="32844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446792"/>
        <c:crosses val="autoZero"/>
        <c:auto val="1"/>
        <c:lblAlgn val="ctr"/>
        <c:lblOffset val="100"/>
        <c:noMultiLvlLbl val="0"/>
      </c:catAx>
      <c:valAx>
        <c:axId val="328446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44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4982452364297293E-2"/>
          <c:y val="0.68384300617392324"/>
          <c:w val="0.84321632916614353"/>
          <c:h val="0.286691069504779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 47'!$B$50</c:f>
              <c:strCache>
                <c:ptCount val="1"/>
                <c:pt idx="0">
                  <c:v>Social contributions (EAP+outstanding)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47'!$C$49:$H$49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47'!$C$50:$H$50</c:f>
              <c:numCache>
                <c:formatCode>0.0</c:formatCode>
                <c:ptCount val="6"/>
                <c:pt idx="0">
                  <c:v>8.1133922734553483</c:v>
                </c:pt>
                <c:pt idx="1">
                  <c:v>8.3619150746602244</c:v>
                </c:pt>
                <c:pt idx="2">
                  <c:v>8.3671829835179281</c:v>
                </c:pt>
                <c:pt idx="3">
                  <c:v>8.2782262383547156</c:v>
                </c:pt>
                <c:pt idx="4">
                  <c:v>8.2367245126834003</c:v>
                </c:pt>
                <c:pt idx="5">
                  <c:v>8.1532187945747285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98C-4058-A8DF-43B95A2B72F5}"/>
            </c:ext>
          </c:extLst>
        </c:ser>
        <c:ser>
          <c:idx val="1"/>
          <c:order val="1"/>
          <c:tx>
            <c:strRef>
              <c:f>'Graf 47'!$B$51</c:f>
              <c:strCache>
                <c:ptCount val="1"/>
                <c:pt idx="0">
                  <c:v>Value added tax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47'!$C$49:$H$49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47'!$C$51:$H$51</c:f>
              <c:numCache>
                <c:formatCode>0.0</c:formatCode>
                <c:ptCount val="6"/>
                <c:pt idx="0">
                  <c:v>6.6782318439002717</c:v>
                </c:pt>
                <c:pt idx="1">
                  <c:v>7.0065760050602597</c:v>
                </c:pt>
                <c:pt idx="2">
                  <c:v>6.8171038041494683</c:v>
                </c:pt>
                <c:pt idx="3">
                  <c:v>6.7807409003327379</c:v>
                </c:pt>
                <c:pt idx="4">
                  <c:v>6.7015898828240976</c:v>
                </c:pt>
                <c:pt idx="5">
                  <c:v>6.6320597555995802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98C-4058-A8DF-43B95A2B72F5}"/>
            </c:ext>
          </c:extLst>
        </c:ser>
        <c:ser>
          <c:idx val="2"/>
          <c:order val="2"/>
          <c:tx>
            <c:strRef>
              <c:f>'Graf 47'!$B$52</c:f>
              <c:strCache>
                <c:ptCount val="1"/>
                <c:pt idx="0">
                  <c:v>Other taxes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47'!$C$49:$H$49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47'!$C$52:$H$52</c:f>
              <c:numCache>
                <c:formatCode>0.0</c:formatCode>
                <c:ptCount val="6"/>
                <c:pt idx="0">
                  <c:v>4.5101331200910355</c:v>
                </c:pt>
                <c:pt idx="1">
                  <c:v>4.429897894447735</c:v>
                </c:pt>
                <c:pt idx="2">
                  <c:v>4.2818236049477427</c:v>
                </c:pt>
                <c:pt idx="3">
                  <c:v>4.0396383445507089</c:v>
                </c:pt>
                <c:pt idx="4">
                  <c:v>3.7087800257457171</c:v>
                </c:pt>
                <c:pt idx="5">
                  <c:v>3.3132526034804295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98C-4058-A8DF-43B95A2B72F5}"/>
            </c:ext>
          </c:extLst>
        </c:ser>
        <c:ser>
          <c:idx val="3"/>
          <c:order val="3"/>
          <c:tx>
            <c:strRef>
              <c:f>'Graf 47'!$B$53</c:f>
              <c:strCache>
                <c:ptCount val="1"/>
                <c:pt idx="0">
                  <c:v>Health contributions (EAP+outstanding)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47'!$C$49:$H$49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47'!$C$53:$H$53</c:f>
              <c:numCache>
                <c:formatCode>0.0</c:formatCode>
                <c:ptCount val="6"/>
                <c:pt idx="0">
                  <c:v>3.6735647572910985</c:v>
                </c:pt>
                <c:pt idx="1">
                  <c:v>3.908005274507075</c:v>
                </c:pt>
                <c:pt idx="2">
                  <c:v>3.9899894172964272</c:v>
                </c:pt>
                <c:pt idx="3">
                  <c:v>4.0807237843443316</c:v>
                </c:pt>
                <c:pt idx="4">
                  <c:v>4.0827701796020417</c:v>
                </c:pt>
                <c:pt idx="5">
                  <c:v>4.0859007854263227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98C-4058-A8DF-43B95A2B72F5}"/>
            </c:ext>
          </c:extLst>
        </c:ser>
        <c:ser>
          <c:idx val="4"/>
          <c:order val="4"/>
          <c:tx>
            <c:strRef>
              <c:f>'Graf 47'!$B$54</c:f>
              <c:strCache>
                <c:ptCount val="1"/>
                <c:pt idx="0">
                  <c:v>Corporate income tax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47'!$C$49:$H$49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47'!$C$54:$H$54</c:f>
              <c:numCache>
                <c:formatCode>0.0</c:formatCode>
                <c:ptCount val="6"/>
                <c:pt idx="0">
                  <c:v>3.4860243305915568</c:v>
                </c:pt>
                <c:pt idx="1">
                  <c:v>3.2060574662554617</c:v>
                </c:pt>
                <c:pt idx="2">
                  <c:v>3.0519108133839774</c:v>
                </c:pt>
                <c:pt idx="3">
                  <c:v>3.0194969216966689</c:v>
                </c:pt>
                <c:pt idx="4">
                  <c:v>3.0042032797937921</c:v>
                </c:pt>
                <c:pt idx="5">
                  <c:v>2.9905700985530368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D98C-4058-A8DF-43B95A2B72F5}"/>
            </c:ext>
          </c:extLst>
        </c:ser>
        <c:ser>
          <c:idx val="5"/>
          <c:order val="5"/>
          <c:tx>
            <c:strRef>
              <c:f>'Graf 47'!$B$55</c:f>
              <c:strCache>
                <c:ptCount val="1"/>
                <c:pt idx="0">
                  <c:v>Personal income tax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47'!$C$49:$H$49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47'!$C$55:$H$55</c:f>
              <c:numCache>
                <c:formatCode>0.0</c:formatCode>
                <c:ptCount val="6"/>
                <c:pt idx="0">
                  <c:v>3.3049142662972257</c:v>
                </c:pt>
                <c:pt idx="1">
                  <c:v>3.3832184778624756</c:v>
                </c:pt>
                <c:pt idx="2">
                  <c:v>3.4348605320031438</c:v>
                </c:pt>
                <c:pt idx="3">
                  <c:v>3.440427663633725</c:v>
                </c:pt>
                <c:pt idx="4">
                  <c:v>3.48118981823868</c:v>
                </c:pt>
                <c:pt idx="5">
                  <c:v>3.5135396056791528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D98C-4058-A8DF-43B95A2B72F5}"/>
            </c:ext>
          </c:extLst>
        </c:ser>
        <c:ser>
          <c:idx val="6"/>
          <c:order val="6"/>
          <c:tx>
            <c:strRef>
              <c:f>'Graf 47'!$B$56</c:f>
              <c:strCache>
                <c:ptCount val="1"/>
                <c:pt idx="0">
                  <c:v>Excise duties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47'!$C$49:$H$49</c:f>
              <c:numCache>
                <c:formatCode>General</c:formatCode>
                <c:ptCount val="6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</c:numCache>
            </c:numRef>
          </c:cat>
          <c:val>
            <c:numRef>
              <c:f>'Graf 47'!$C$56:$H$56</c:f>
              <c:numCache>
                <c:formatCode>0.0</c:formatCode>
                <c:ptCount val="6"/>
                <c:pt idx="0">
                  <c:v>2.6787156649867243</c:v>
                </c:pt>
                <c:pt idx="1">
                  <c:v>2.6470815167718089</c:v>
                </c:pt>
                <c:pt idx="2">
                  <c:v>2.590274087139802</c:v>
                </c:pt>
                <c:pt idx="3">
                  <c:v>2.5368111296926199</c:v>
                </c:pt>
                <c:pt idx="4">
                  <c:v>2.4527377146567639</c:v>
                </c:pt>
                <c:pt idx="5">
                  <c:v>2.371118905909213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D98C-4058-A8DF-43B95A2B7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8447576"/>
        <c:axId val="328447968"/>
      </c:barChart>
      <c:catAx>
        <c:axId val="328447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447968"/>
        <c:crosses val="autoZero"/>
        <c:auto val="1"/>
        <c:lblAlgn val="ctr"/>
        <c:lblOffset val="100"/>
        <c:noMultiLvlLbl val="0"/>
      </c:catAx>
      <c:valAx>
        <c:axId val="32844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328447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255905511811"/>
          <c:y val="5.0925925925925923E-2"/>
          <c:w val="0.85341885389326333"/>
          <c:h val="0.7774380285797608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'Graf 46 + 47'!#REF!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B2A-4F69-A40E-DB0899937A05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46 + 47'!#REF!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46 + 47'!#REF!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1"/>
          <c:order val="1"/>
          <c:spPr>
            <a:solidFill>
              <a:schemeClr val="tx2"/>
            </a:solidFill>
            <a:ln>
              <a:noFill/>
            </a:ln>
            <a:effectLst/>
          </c:spPr>
          <c:invertIfNegative val="0"/>
          <c:val>
            <c:numRef>
              <c:f>'Graf 46 + 47'!#REF!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B2A-4F69-A40E-DB0899937A05}"/>
            </c:ext>
            <c:ext xmlns:c15="http://schemas.microsoft.com/office/drawing/2012/chart" uri="{02D57815-91ED-43cb-92C2-25804820EDAC}">
              <c15:filteredSeriesTitle>
                <c15:tx>
                  <c:strRef>
                    <c:extLst xmlns:c16r2="http://schemas.microsoft.com/office/drawing/2015/06/chart" xmlns:c16="http://schemas.microsoft.com/office/drawing/2014/chart">
                      <c:ext uri="{02D57815-91ED-43cb-92C2-25804820EDAC}">
                        <c15:formulaRef>
                          <c15:sqref>'Graf 46 + 47'!#REF!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'Graf 46 + 47'!#REF!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52894520"/>
        <c:axId val="452894912"/>
      </c:barChart>
      <c:catAx>
        <c:axId val="452894520"/>
        <c:scaling>
          <c:orientation val="minMax"/>
        </c:scaling>
        <c:delete val="0"/>
        <c:axPos val="b"/>
        <c:numFmt formatCode="#\ ##0.000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2894912"/>
        <c:crosses val="autoZero"/>
        <c:auto val="1"/>
        <c:lblAlgn val="ctr"/>
        <c:lblOffset val="100"/>
        <c:noMultiLvlLbl val="0"/>
      </c:catAx>
      <c:valAx>
        <c:axId val="452894912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2894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48+49'!$B$22</c:f>
              <c:strCache>
                <c:ptCount val="1"/>
                <c:pt idx="0">
                  <c:v>daňová medzera na DPH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rgbClr val="2C9BDC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8A-4D91-A8D8-F95813531531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8A-4D91-A8D8-F95813531531}"/>
              </c:ext>
            </c:extLst>
          </c:dPt>
          <c:dLbls>
            <c:dLbl>
              <c:idx val="0"/>
              <c:layout>
                <c:manualLayout>
                  <c:x val="-4.1666666666666678E-2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66666666666678E-2"/>
                  <c:y val="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666666666666664E-2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77777777777777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7777777777777776E-2"/>
                  <c:y val="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1111111111111109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0000000000000051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333333333333333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7222222222222325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05"/>
                  <c:y val="-3.24074074074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4.7222222222222325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4.166666666666676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77777777777778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2222222222222223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0555555555555659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488A-4D91-A8D8-F95813531531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1.1111111111111112E-2"/>
                  <c:y val="-9.2592592592593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88A-4D91-A8D8-F95813531531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48+49'!$C$21:$T$21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'Graf 48+49'!$C$22:$T$22</c:f>
              <c:numCache>
                <c:formatCode>0.0</c:formatCode>
                <c:ptCount val="18"/>
                <c:pt idx="0">
                  <c:v>20.775559748625561</c:v>
                </c:pt>
                <c:pt idx="1">
                  <c:v>18.187786430225263</c:v>
                </c:pt>
                <c:pt idx="2">
                  <c:v>20.493409739518064</c:v>
                </c:pt>
                <c:pt idx="3">
                  <c:v>15.755854037187575</c:v>
                </c:pt>
                <c:pt idx="4">
                  <c:v>23.505997745706981</c:v>
                </c:pt>
                <c:pt idx="5">
                  <c:v>21.512613425555564</c:v>
                </c:pt>
                <c:pt idx="6">
                  <c:v>26.620713930615381</c:v>
                </c:pt>
                <c:pt idx="7">
                  <c:v>31.445393334253612</c:v>
                </c:pt>
                <c:pt idx="8">
                  <c:v>31.291388711534946</c:v>
                </c:pt>
                <c:pt idx="9">
                  <c:v>34.885719420069556</c:v>
                </c:pt>
                <c:pt idx="10">
                  <c:v>35.570030029159078</c:v>
                </c:pt>
                <c:pt idx="11">
                  <c:v>38.170190959965581</c:v>
                </c:pt>
                <c:pt idx="12">
                  <c:v>41.026340504407891</c:v>
                </c:pt>
                <c:pt idx="13">
                  <c:v>37.188997199389782</c:v>
                </c:pt>
                <c:pt idx="14">
                  <c:v>32.297287388144731</c:v>
                </c:pt>
                <c:pt idx="15">
                  <c:v>31.645083867662567</c:v>
                </c:pt>
                <c:pt idx="16">
                  <c:v>28.33411862300737</c:v>
                </c:pt>
                <c:pt idx="17">
                  <c:v>26.304068831915533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488A-4D91-A8D8-F95813531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895696"/>
        <c:axId val="452896088"/>
      </c:lineChart>
      <c:catAx>
        <c:axId val="45289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2896088"/>
        <c:crosses val="autoZero"/>
        <c:auto val="1"/>
        <c:lblAlgn val="ctr"/>
        <c:lblOffset val="100"/>
        <c:noMultiLvlLbl val="0"/>
      </c:catAx>
      <c:valAx>
        <c:axId val="452896088"/>
        <c:scaling>
          <c:orientation val="minMax"/>
          <c:min val="1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2895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'Graf 48+49'!$B$22</c:f>
              <c:strCache>
                <c:ptCount val="1"/>
                <c:pt idx="0">
                  <c:v>daňová medzera na DPH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16"/>
            <c:marker>
              <c:symbol val="none"/>
            </c:marker>
            <c:bubble3D val="0"/>
            <c:spPr>
              <a:ln w="28575" cap="rnd">
                <a:solidFill>
                  <a:srgbClr val="2C9BDC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42-4EF8-86E7-475A6911DDB9}"/>
              </c:ext>
            </c:extLst>
          </c:dPt>
          <c:dPt>
            <c:idx val="17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42-4EF8-86E7-475A6911DDB9}"/>
              </c:ext>
            </c:extLst>
          </c:dPt>
          <c:dLbls>
            <c:dLbl>
              <c:idx val="0"/>
              <c:layout>
                <c:manualLayout>
                  <c:x val="-4.1666666666666678E-2"/>
                  <c:y val="-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666666666666678E-2"/>
                  <c:y val="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666666666666664E-2"/>
                  <c:y val="-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11111111111111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777777777777778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7777777777777776E-2"/>
                  <c:y val="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1111111111111109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0000000000000051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333333333333333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4.7222222222222325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05"/>
                  <c:y val="-3.2407407407407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4.7222222222222325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4.166666666666676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2.777777777777788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2222222222222223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3.0555555555555659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1842-4EF8-86E7-475A6911DDB9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1.1111111111111112E-2"/>
                  <c:y val="-9.25925925925934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842-4EF8-86E7-475A6911DDB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48+49'!$C$21:$T$21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'Graf 48+49'!$C$22:$T$22</c:f>
              <c:numCache>
                <c:formatCode>0.0</c:formatCode>
                <c:ptCount val="18"/>
                <c:pt idx="0">
                  <c:v>20.775559748625561</c:v>
                </c:pt>
                <c:pt idx="1">
                  <c:v>18.187786430225263</c:v>
                </c:pt>
                <c:pt idx="2">
                  <c:v>20.493409739518064</c:v>
                </c:pt>
                <c:pt idx="3">
                  <c:v>15.755854037187575</c:v>
                </c:pt>
                <c:pt idx="4">
                  <c:v>23.505997745706981</c:v>
                </c:pt>
                <c:pt idx="5">
                  <c:v>21.512613425555564</c:v>
                </c:pt>
                <c:pt idx="6">
                  <c:v>26.620713930615381</c:v>
                </c:pt>
                <c:pt idx="7">
                  <c:v>31.445393334253612</c:v>
                </c:pt>
                <c:pt idx="8">
                  <c:v>31.291388711534946</c:v>
                </c:pt>
                <c:pt idx="9">
                  <c:v>34.885719420069556</c:v>
                </c:pt>
                <c:pt idx="10">
                  <c:v>35.570030029159078</c:v>
                </c:pt>
                <c:pt idx="11">
                  <c:v>38.170190959965581</c:v>
                </c:pt>
                <c:pt idx="12">
                  <c:v>41.026340504407891</c:v>
                </c:pt>
                <c:pt idx="13">
                  <c:v>37.188997199389782</c:v>
                </c:pt>
                <c:pt idx="14">
                  <c:v>32.297287388144731</c:v>
                </c:pt>
                <c:pt idx="15">
                  <c:v>31.645083867662567</c:v>
                </c:pt>
                <c:pt idx="16">
                  <c:v>28.33411862300737</c:v>
                </c:pt>
                <c:pt idx="17">
                  <c:v>26.304068831915533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4-1842-4EF8-86E7-475A6911D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896872"/>
        <c:axId val="452897264"/>
      </c:lineChart>
      <c:catAx>
        <c:axId val="452896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2897264"/>
        <c:crosses val="autoZero"/>
        <c:auto val="1"/>
        <c:lblAlgn val="ctr"/>
        <c:lblOffset val="100"/>
        <c:noMultiLvlLbl val="0"/>
      </c:catAx>
      <c:valAx>
        <c:axId val="452897264"/>
        <c:scaling>
          <c:orientation val="minMax"/>
          <c:min val="15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2896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5062337724643E-2"/>
          <c:y val="5.2194543297746143E-2"/>
          <c:w val="0.89451244177327072"/>
          <c:h val="0.8270309449752945"/>
        </c:manualLayout>
      </c:layout>
      <c:lineChart>
        <c:grouping val="standard"/>
        <c:varyColors val="0"/>
        <c:ser>
          <c:idx val="2"/>
          <c:order val="0"/>
          <c:tx>
            <c:strRef>
              <c:f>'Graf 48+49'!$V$24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'Graf 48+49'!$W$21:$AM$21</c15:sqref>
                  </c15:fullRef>
                </c:ext>
              </c:extLst>
              <c:f>'Graf 48+49'!$AA$21:$AM$21</c:f>
              <c:numCache>
                <c:formatCode>General</c:formatCode>
                <c:ptCount val="13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'Graf 48+49'!$W$24:$AM$24</c15:sqref>
                  </c15:fullRef>
                </c:ext>
              </c:extLst>
              <c:f>'Graf 48+49'!$AA$24:$AM$24</c:f>
              <c:numCache>
                <c:formatCode>0.0</c:formatCode>
                <c:ptCount val="13"/>
                <c:pt idx="0">
                  <c:v>60.569168808598036</c:v>
                </c:pt>
                <c:pt idx="1">
                  <c:v>57.385555484904813</c:v>
                </c:pt>
                <c:pt idx="2">
                  <c:v>53.328516686896741</c:v>
                </c:pt>
                <c:pt idx="3">
                  <c:v>53.480838453825385</c:v>
                </c:pt>
                <c:pt idx="4">
                  <c:v>48.491048053411156</c:v>
                </c:pt>
                <c:pt idx="5">
                  <c:v>47.281090840180696</c:v>
                </c:pt>
                <c:pt idx="6">
                  <c:v>48.863452534122978</c:v>
                </c:pt>
                <c:pt idx="7">
                  <c:v>43.895503510249355</c:v>
                </c:pt>
                <c:pt idx="8">
                  <c:v>47.049315682635118</c:v>
                </c:pt>
                <c:pt idx="9">
                  <c:v>48.917649621223113</c:v>
                </c:pt>
                <c:pt idx="10">
                  <c:v>49.73024808895596</c:v>
                </c:pt>
                <c:pt idx="11">
                  <c:v>50.677632043157139</c:v>
                </c:pt>
                <c:pt idx="12">
                  <c:v>53.181527606471398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BCD-4AF0-B0B5-4D21B47F5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2898048"/>
        <c:axId val="453795664"/>
      </c:lineChart>
      <c:catAx>
        <c:axId val="452898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795664"/>
        <c:crosses val="autoZero"/>
        <c:auto val="1"/>
        <c:lblAlgn val="ctr"/>
        <c:lblOffset val="100"/>
        <c:noMultiLvlLbl val="0"/>
      </c:catAx>
      <c:valAx>
        <c:axId val="453795664"/>
        <c:scaling>
          <c:orientation val="minMax"/>
          <c:min val="30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289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70331135969799E-2"/>
          <c:y val="5.1400756493756007E-2"/>
          <c:w val="0.87073370351471469"/>
          <c:h val="0.76573470477047967"/>
        </c:manualLayout>
      </c:layout>
      <c:lineChart>
        <c:grouping val="standard"/>
        <c:varyColors val="0"/>
        <c:ser>
          <c:idx val="0"/>
          <c:order val="0"/>
          <c:tx>
            <c:strRef>
              <c:f>'Graf 5+6'!$H$2</c:f>
              <c:strCache>
                <c:ptCount val="1"/>
                <c:pt idx="0">
                  <c:v>Slovensko</c:v>
                </c:pt>
              </c:strCache>
            </c:strRef>
          </c:tx>
          <c:spPr>
            <a:ln w="19050">
              <a:solidFill>
                <a:srgbClr val="2C9ADC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5+6'!$I$2:$AT$2</c:f>
              <c:numCache>
                <c:formatCode>#\ ##0.0</c:formatCode>
                <c:ptCount val="38"/>
                <c:pt idx="0">
                  <c:v>0.9283095238095237</c:v>
                </c:pt>
                <c:pt idx="1">
                  <c:v>0.72789523809523815</c:v>
                </c:pt>
                <c:pt idx="2">
                  <c:v>0.67010434782608708</c:v>
                </c:pt>
                <c:pt idx="3">
                  <c:v>0.66787142857142867</c:v>
                </c:pt>
                <c:pt idx="4">
                  <c:v>0.73383636363636384</c:v>
                </c:pt>
                <c:pt idx="5">
                  <c:v>0.63875454545454546</c:v>
                </c:pt>
                <c:pt idx="6">
                  <c:v>0.44199523809523811</c:v>
                </c:pt>
                <c:pt idx="7">
                  <c:v>0.3148086956521739</c:v>
                </c:pt>
                <c:pt idx="8">
                  <c:v>0.31291818181818187</c:v>
                </c:pt>
                <c:pt idx="9">
                  <c:v>0.41142380952380958</c:v>
                </c:pt>
                <c:pt idx="10">
                  <c:v>0.69759090909090904</c:v>
                </c:pt>
                <c:pt idx="11">
                  <c:v>0.89878181818181835</c:v>
                </c:pt>
                <c:pt idx="12">
                  <c:v>0.94445909090909097</c:v>
                </c:pt>
                <c:pt idx="13">
                  <c:v>1.0089800000000002</c:v>
                </c:pt>
                <c:pt idx="14">
                  <c:v>1.0787043478260869</c:v>
                </c:pt>
                <c:pt idx="15">
                  <c:v>0.96891500000000019</c:v>
                </c:pt>
                <c:pt idx="16">
                  <c:v>0.99932173913043487</c:v>
                </c:pt>
                <c:pt idx="17">
                  <c:v>0.90037727272727264</c:v>
                </c:pt>
                <c:pt idx="18">
                  <c:v>1.0473571428571429</c:v>
                </c:pt>
                <c:pt idx="19">
                  <c:v>0.92276521739130435</c:v>
                </c:pt>
                <c:pt idx="20">
                  <c:v>0.92747619047619034</c:v>
                </c:pt>
                <c:pt idx="21">
                  <c:v>0.95942272727272726</c:v>
                </c:pt>
                <c:pt idx="22">
                  <c:v>0.89760000000000018</c:v>
                </c:pt>
                <c:pt idx="23">
                  <c:v>0.85988095238095241</c:v>
                </c:pt>
                <c:pt idx="24">
                  <c:v>0.9767434782608696</c:v>
                </c:pt>
                <c:pt idx="25">
                  <c:v>1.1443299999999998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28F-4AB3-9131-242D55B72F15}"/>
            </c:ext>
          </c:extLst>
        </c:ser>
        <c:ser>
          <c:idx val="1"/>
          <c:order val="1"/>
          <c:tx>
            <c:strRef>
              <c:f>'Graf 5+6'!$H$5</c:f>
              <c:strCache>
                <c:ptCount val="1"/>
                <c:pt idx="0">
                  <c:v>Česká Republika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5+6'!$I$5:$AT$5</c:f>
              <c:numCache>
                <c:formatCode>#\ ##0.0</c:formatCode>
                <c:ptCount val="38"/>
                <c:pt idx="0">
                  <c:v>0.68361000000000005</c:v>
                </c:pt>
                <c:pt idx="1">
                  <c:v>0.51851904761904766</c:v>
                </c:pt>
                <c:pt idx="2">
                  <c:v>0.41133333333333333</c:v>
                </c:pt>
                <c:pt idx="3">
                  <c:v>0.48047142857142855</c:v>
                </c:pt>
                <c:pt idx="4">
                  <c:v>0.50405454545454542</c:v>
                </c:pt>
                <c:pt idx="5">
                  <c:v>0.48639999999999994</c:v>
                </c:pt>
                <c:pt idx="6">
                  <c:v>0.40719473684210522</c:v>
                </c:pt>
                <c:pt idx="7">
                  <c:v>0.32444782608695655</c:v>
                </c:pt>
                <c:pt idx="8">
                  <c:v>0.27961904761904754</c:v>
                </c:pt>
                <c:pt idx="9">
                  <c:v>0.39476499999999998</c:v>
                </c:pt>
                <c:pt idx="10">
                  <c:v>0.56897142857142868</c:v>
                </c:pt>
                <c:pt idx="11">
                  <c:v>0.5404714285714286</c:v>
                </c:pt>
                <c:pt idx="12">
                  <c:v>0.48396363636363637</c:v>
                </c:pt>
                <c:pt idx="13">
                  <c:v>0.61842000000000008</c:v>
                </c:pt>
                <c:pt idx="14">
                  <c:v>0.89155652173913047</c:v>
                </c:pt>
                <c:pt idx="15">
                  <c:v>0.98105555555555546</c:v>
                </c:pt>
                <c:pt idx="16">
                  <c:v>0.76698571428571427</c:v>
                </c:pt>
                <c:pt idx="17">
                  <c:v>0.81315454545454535</c:v>
                </c:pt>
                <c:pt idx="18">
                  <c:v>0.96085789473684191</c:v>
                </c:pt>
                <c:pt idx="19">
                  <c:v>0.90578260869565241</c:v>
                </c:pt>
                <c:pt idx="20">
                  <c:v>1.0397600000000002</c:v>
                </c:pt>
                <c:pt idx="21">
                  <c:v>1.46885</c:v>
                </c:pt>
                <c:pt idx="22">
                  <c:v>1.7219238095238096</c:v>
                </c:pt>
                <c:pt idx="23">
                  <c:v>1.5824315789473684</c:v>
                </c:pt>
                <c:pt idx="24">
                  <c:v>1.8400454545454543</c:v>
                </c:pt>
                <c:pt idx="25">
                  <c:v>1.8788049999999998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28F-4AB3-9131-242D55B72F15}"/>
            </c:ext>
          </c:extLst>
        </c:ser>
        <c:ser>
          <c:idx val="2"/>
          <c:order val="2"/>
          <c:tx>
            <c:strRef>
              <c:f>'Graf 5+6'!$H$6</c:f>
              <c:strCache>
                <c:ptCount val="1"/>
                <c:pt idx="0">
                  <c:v>Poľsko</c:v>
                </c:pt>
              </c:strCache>
            </c:strRef>
          </c:tx>
          <c:spPr>
            <a:ln w="19050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5+6'!$I$6:$AT$6</c:f>
              <c:numCache>
                <c:formatCode>0.0</c:formatCode>
                <c:ptCount val="38"/>
                <c:pt idx="0">
                  <c:v>3.2416842105263153</c:v>
                </c:pt>
                <c:pt idx="1">
                  <c:v>3.1186095238095235</c:v>
                </c:pt>
                <c:pt idx="2">
                  <c:v>3.0072772727272725</c:v>
                </c:pt>
                <c:pt idx="3">
                  <c:v>3.0621476190476189</c:v>
                </c:pt>
                <c:pt idx="4">
                  <c:v>3.1464749999999997</c:v>
                </c:pt>
                <c:pt idx="5">
                  <c:v>3.208690909090909</c:v>
                </c:pt>
                <c:pt idx="6">
                  <c:v>3.0013428571428569</c:v>
                </c:pt>
                <c:pt idx="7">
                  <c:v>2.8079818181818181</c:v>
                </c:pt>
                <c:pt idx="8">
                  <c:v>2.9055000000000004</c:v>
                </c:pt>
                <c:pt idx="9">
                  <c:v>3.0847476190476186</c:v>
                </c:pt>
                <c:pt idx="10">
                  <c:v>3.5049000000000006</c:v>
                </c:pt>
                <c:pt idx="11">
                  <c:v>3.5909047619047616</c:v>
                </c:pt>
                <c:pt idx="12">
                  <c:v>3.7377333333333334</c:v>
                </c:pt>
                <c:pt idx="13">
                  <c:v>3.7748100000000009</c:v>
                </c:pt>
                <c:pt idx="14">
                  <c:v>3.6015521739130429</c:v>
                </c:pt>
                <c:pt idx="15">
                  <c:v>3.3786736842105265</c:v>
                </c:pt>
                <c:pt idx="16">
                  <c:v>3.3145238095238092</c:v>
                </c:pt>
                <c:pt idx="17">
                  <c:v>3.1649142857142851</c:v>
                </c:pt>
                <c:pt idx="18">
                  <c:v>3.2747761904761901</c:v>
                </c:pt>
                <c:pt idx="19">
                  <c:v>3.3127090909090899</c:v>
                </c:pt>
                <c:pt idx="20">
                  <c:v>3.2552571428571428</c:v>
                </c:pt>
                <c:pt idx="21">
                  <c:v>3.3602227272727276</c:v>
                </c:pt>
                <c:pt idx="22">
                  <c:v>3.3820857142857141</c:v>
                </c:pt>
                <c:pt idx="23">
                  <c:v>3.264321052631578</c:v>
                </c:pt>
                <c:pt idx="24">
                  <c:v>3.3984863636363638</c:v>
                </c:pt>
                <c:pt idx="25">
                  <c:v>3.470969999999999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28F-4AB3-9131-242D55B72F15}"/>
            </c:ext>
          </c:extLst>
        </c:ser>
        <c:ser>
          <c:idx val="4"/>
          <c:order val="3"/>
          <c:tx>
            <c:strRef>
              <c:f>'Graf 5+6'!$H$3</c:f>
              <c:strCache>
                <c:ptCount val="1"/>
                <c:pt idx="0">
                  <c:v>Nemecko</c:v>
                </c:pt>
              </c:strCache>
            </c:strRef>
          </c:tx>
          <c:spPr>
            <a:ln w="19050">
              <a:solidFill>
                <a:srgbClr val="555555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5+6'!$I$3:$AT$3</c:f>
              <c:numCache>
                <c:formatCode>#\ ##0.0</c:formatCode>
                <c:ptCount val="38"/>
                <c:pt idx="0">
                  <c:v>0.51577499999999987</c:v>
                </c:pt>
                <c:pt idx="1">
                  <c:v>0.23044761904761907</c:v>
                </c:pt>
                <c:pt idx="2">
                  <c:v>0.22692857142857145</c:v>
                </c:pt>
                <c:pt idx="3">
                  <c:v>0.1868285714285714</c:v>
                </c:pt>
                <c:pt idx="4">
                  <c:v>0.17225454545454547</c:v>
                </c:pt>
                <c:pt idx="5">
                  <c:v>2.0881818181818178E-2</c:v>
                </c:pt>
                <c:pt idx="6">
                  <c:v>-8.9757142857142841E-2</c:v>
                </c:pt>
                <c:pt idx="7">
                  <c:v>-7.6173913043478245E-2</c:v>
                </c:pt>
                <c:pt idx="8">
                  <c:v>-4.4522727272727276E-2</c:v>
                </c:pt>
                <c:pt idx="9">
                  <c:v>5.3199999999999976E-2</c:v>
                </c:pt>
                <c:pt idx="10">
                  <c:v>0.25770909090909094</c:v>
                </c:pt>
                <c:pt idx="11">
                  <c:v>0.33298571428571433</c:v>
                </c:pt>
                <c:pt idx="12">
                  <c:v>0.35788636363636361</c:v>
                </c:pt>
                <c:pt idx="13">
                  <c:v>0.32168499999999994</c:v>
                </c:pt>
                <c:pt idx="14">
                  <c:v>0.40489999999999993</c:v>
                </c:pt>
                <c:pt idx="15">
                  <c:v>0.27734999999999999</c:v>
                </c:pt>
                <c:pt idx="16">
                  <c:v>0.41164545454545459</c:v>
                </c:pt>
                <c:pt idx="17">
                  <c:v>0.33973636363636356</c:v>
                </c:pt>
                <c:pt idx="18">
                  <c:v>0.56028571428571416</c:v>
                </c:pt>
                <c:pt idx="19">
                  <c:v>0.42349999999999993</c:v>
                </c:pt>
                <c:pt idx="20">
                  <c:v>0.42511904761904762</c:v>
                </c:pt>
                <c:pt idx="21">
                  <c:v>0.45890909090909099</c:v>
                </c:pt>
                <c:pt idx="22">
                  <c:v>0.40884545454545457</c:v>
                </c:pt>
                <c:pt idx="23">
                  <c:v>0.39493684210526309</c:v>
                </c:pt>
                <c:pt idx="24">
                  <c:v>0.57105909090909091</c:v>
                </c:pt>
                <c:pt idx="25">
                  <c:v>0.72683500000000001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28F-4AB3-9131-242D55B72F15}"/>
            </c:ext>
          </c:extLst>
        </c:ser>
        <c:ser>
          <c:idx val="5"/>
          <c:order val="4"/>
          <c:tx>
            <c:strRef>
              <c:f>'Graf 5+6'!$H$4</c:f>
              <c:strCache>
                <c:ptCount val="1"/>
                <c:pt idx="0">
                  <c:v>Španielsko</c:v>
                </c:pt>
              </c:strCache>
            </c:strRef>
          </c:tx>
          <c:spPr>
            <a:ln w="19050">
              <a:solidFill>
                <a:srgbClr val="9E9E9E"/>
              </a:solidFill>
            </a:ln>
          </c:spPr>
          <c:marker>
            <c:symbol val="none"/>
          </c:marker>
          <c:cat>
            <c:numRef>
              <c:f>'Graf 5+6'!$I$1:$AT$1</c:f>
              <c:numCache>
                <c:formatCode>mmm\-yy</c:formatCode>
                <c:ptCount val="38"/>
                <c:pt idx="0">
                  <c:v>42398</c:v>
                </c:pt>
                <c:pt idx="1">
                  <c:v>42429</c:v>
                </c:pt>
                <c:pt idx="2">
                  <c:v>42460</c:v>
                </c:pt>
                <c:pt idx="3">
                  <c:v>42489</c:v>
                </c:pt>
                <c:pt idx="4">
                  <c:v>42521</c:v>
                </c:pt>
                <c:pt idx="5">
                  <c:v>42551</c:v>
                </c:pt>
                <c:pt idx="6">
                  <c:v>42580</c:v>
                </c:pt>
                <c:pt idx="7">
                  <c:v>42613</c:v>
                </c:pt>
                <c:pt idx="8">
                  <c:v>42643</c:v>
                </c:pt>
                <c:pt idx="9">
                  <c:v>42674</c:v>
                </c:pt>
                <c:pt idx="10">
                  <c:v>42704</c:v>
                </c:pt>
                <c:pt idx="11">
                  <c:v>42734</c:v>
                </c:pt>
                <c:pt idx="12">
                  <c:v>42766</c:v>
                </c:pt>
                <c:pt idx="13">
                  <c:v>42794</c:v>
                </c:pt>
                <c:pt idx="14">
                  <c:v>42825</c:v>
                </c:pt>
                <c:pt idx="15">
                  <c:v>42853</c:v>
                </c:pt>
                <c:pt idx="16">
                  <c:v>42886</c:v>
                </c:pt>
                <c:pt idx="17">
                  <c:v>42916</c:v>
                </c:pt>
                <c:pt idx="18">
                  <c:v>42947</c:v>
                </c:pt>
                <c:pt idx="19">
                  <c:v>42978</c:v>
                </c:pt>
                <c:pt idx="20">
                  <c:v>43007</c:v>
                </c:pt>
                <c:pt idx="21">
                  <c:v>43039</c:v>
                </c:pt>
                <c:pt idx="22">
                  <c:v>43069</c:v>
                </c:pt>
                <c:pt idx="23">
                  <c:v>43098</c:v>
                </c:pt>
                <c:pt idx="24">
                  <c:v>43131</c:v>
                </c:pt>
                <c:pt idx="25">
                  <c:v>43159</c:v>
                </c:pt>
              </c:numCache>
            </c:numRef>
          </c:cat>
          <c:val>
            <c:numRef>
              <c:f>'Graf 5+6'!$I$4:$AT$4</c:f>
              <c:numCache>
                <c:formatCode>#\ ##0.0</c:formatCode>
                <c:ptCount val="38"/>
                <c:pt idx="0">
                  <c:v>1.79738</c:v>
                </c:pt>
                <c:pt idx="1">
                  <c:v>1.7527619047619045</c:v>
                </c:pt>
                <c:pt idx="2">
                  <c:v>1.5795476190476192</c:v>
                </c:pt>
                <c:pt idx="3">
                  <c:v>1.5899047619047617</c:v>
                </c:pt>
                <c:pt idx="4">
                  <c:v>1.6271636363636361</c:v>
                </c:pt>
                <c:pt idx="5">
                  <c:v>1.5287090909090912</c:v>
                </c:pt>
                <c:pt idx="6">
                  <c:v>1.2014666666666667</c:v>
                </c:pt>
                <c:pt idx="7">
                  <c:v>1.029773913043478</c:v>
                </c:pt>
                <c:pt idx="8">
                  <c:v>1.0811363636363636</c:v>
                </c:pt>
                <c:pt idx="9">
                  <c:v>1.1373047619047618</c:v>
                </c:pt>
                <c:pt idx="10">
                  <c:v>1.4788590909090908</c:v>
                </c:pt>
                <c:pt idx="11">
                  <c:v>1.4786333333333332</c:v>
                </c:pt>
                <c:pt idx="12">
                  <c:v>1.53895</c:v>
                </c:pt>
                <c:pt idx="13">
                  <c:v>1.7396049999999998</c:v>
                </c:pt>
                <c:pt idx="14">
                  <c:v>1.7786304347826085</c:v>
                </c:pt>
                <c:pt idx="15">
                  <c:v>1.6752055555555556</c:v>
                </c:pt>
                <c:pt idx="16">
                  <c:v>1.634218181818182</c:v>
                </c:pt>
                <c:pt idx="17">
                  <c:v>1.5192227272727272</c:v>
                </c:pt>
                <c:pt idx="18">
                  <c:v>1.648195238095238</c:v>
                </c:pt>
                <c:pt idx="19">
                  <c:v>1.5477739130434787</c:v>
                </c:pt>
                <c:pt idx="20">
                  <c:v>1.5943142857142858</c:v>
                </c:pt>
                <c:pt idx="21">
                  <c:v>1.6567181818181813</c:v>
                </c:pt>
                <c:pt idx="22">
                  <c:v>1.5368590909090907</c:v>
                </c:pt>
                <c:pt idx="23">
                  <c:v>1.5127052631578948</c:v>
                </c:pt>
                <c:pt idx="24">
                  <c:v>1.548877272727273</c:v>
                </c:pt>
                <c:pt idx="25">
                  <c:v>1.5588349999999997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28F-4AB3-9131-242D55B72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191992"/>
        <c:axId val="322192384"/>
        <c:extLst xmlns:c16r2="http://schemas.microsoft.com/office/drawing/2015/06/chart"/>
      </c:lineChart>
      <c:dateAx>
        <c:axId val="322191992"/>
        <c:scaling>
          <c:orientation val="minMax"/>
        </c:scaling>
        <c:delete val="0"/>
        <c:axPos val="b"/>
        <c:numFmt formatCode="[$-41B]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sk-SK"/>
          </a:p>
        </c:txPr>
        <c:crossAx val="322192384"/>
        <c:crossesAt val="-1.5"/>
        <c:auto val="1"/>
        <c:lblOffset val="100"/>
        <c:baseTimeUnit val="months"/>
      </c:dateAx>
      <c:valAx>
        <c:axId val="32219238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crossAx val="322191992"/>
        <c:crosses val="autoZero"/>
        <c:crossBetween val="between"/>
        <c:majorUnit val="1.5"/>
        <c:minorUnit val="1"/>
      </c:valAx>
    </c:plotArea>
    <c:legend>
      <c:legendPos val="r"/>
      <c:layout>
        <c:manualLayout>
          <c:xMode val="edge"/>
          <c:yMode val="edge"/>
          <c:x val="0.10588620494838634"/>
          <c:y val="0.63886397623208457"/>
          <c:w val="0.88854834952168038"/>
          <c:h val="0.18327917622295226"/>
        </c:manualLayout>
      </c:layout>
      <c:overlay val="0"/>
      <c:spPr>
        <a:noFill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Arial Narrow" panose="020B0606020202030204" pitchFamily="34" charset="0"/>
        </a:defRPr>
      </a:pPr>
      <a:endParaRPr lang="sk-SK"/>
    </a:p>
  </c:txPr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305062337724643E-2"/>
          <c:y val="5.2194543297746143E-2"/>
          <c:w val="0.89451244177327072"/>
          <c:h val="0.8270309449752945"/>
        </c:manualLayout>
      </c:layout>
      <c:lineChart>
        <c:grouping val="standard"/>
        <c:varyColors val="0"/>
        <c:ser>
          <c:idx val="2"/>
          <c:order val="0"/>
          <c:tx>
            <c:strRef>
              <c:f>'Graf 48+49'!$V$48</c:f>
              <c:strCache>
                <c:ptCount val="1"/>
                <c:pt idx="0">
                  <c:v>SK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'Graf 48+49'!$W$45:$AM$45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'Graf 48+49'!$W$48:$AM$48</c:f>
              <c:numCache>
                <c:formatCode>0.0</c:formatCode>
                <c:ptCount val="17"/>
                <c:pt idx="0">
                  <c:v>45.276207928715209</c:v>
                </c:pt>
                <c:pt idx="1">
                  <c:v>43.506451742111118</c:v>
                </c:pt>
                <c:pt idx="2">
                  <c:v>54.447197916238352</c:v>
                </c:pt>
                <c:pt idx="3">
                  <c:v>60.067130803699911</c:v>
                </c:pt>
                <c:pt idx="4">
                  <c:v>60.569168808598036</c:v>
                </c:pt>
                <c:pt idx="5">
                  <c:v>57.385555484904813</c:v>
                </c:pt>
                <c:pt idx="6">
                  <c:v>53.328516686896741</c:v>
                </c:pt>
                <c:pt idx="7">
                  <c:v>53.480838453825385</c:v>
                </c:pt>
                <c:pt idx="8">
                  <c:v>48.491048053411156</c:v>
                </c:pt>
                <c:pt idx="9">
                  <c:v>47.281090840180696</c:v>
                </c:pt>
                <c:pt idx="10">
                  <c:v>48.863452534122978</c:v>
                </c:pt>
                <c:pt idx="11">
                  <c:v>43.895503510249355</c:v>
                </c:pt>
                <c:pt idx="12">
                  <c:v>47.049315682635118</c:v>
                </c:pt>
                <c:pt idx="13">
                  <c:v>48.917649621223113</c:v>
                </c:pt>
                <c:pt idx="14">
                  <c:v>49.73024808895596</c:v>
                </c:pt>
                <c:pt idx="15">
                  <c:v>50.677632043157139</c:v>
                </c:pt>
                <c:pt idx="16">
                  <c:v>53.181527606471398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DC6-45A1-ACAF-CF292E026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796448"/>
        <c:axId val="453796840"/>
      </c:lineChart>
      <c:catAx>
        <c:axId val="45379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796840"/>
        <c:crosses val="autoZero"/>
        <c:auto val="1"/>
        <c:lblAlgn val="ctr"/>
        <c:lblOffset val="100"/>
        <c:noMultiLvlLbl val="0"/>
      </c:catAx>
      <c:valAx>
        <c:axId val="453796840"/>
        <c:scaling>
          <c:orientation val="minMax"/>
          <c:min val="30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79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84950419840521"/>
          <c:y val="0.63523075629781145"/>
          <c:w val="0.427948022482388"/>
          <c:h val="0.212930572290563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621862651666072E-2"/>
          <c:y val="6.3654158799128072E-2"/>
          <c:w val="0.92485240840528238"/>
          <c:h val="0.77103776783045486"/>
        </c:manualLayout>
      </c:layout>
      <c:lineChart>
        <c:grouping val="standard"/>
        <c:varyColors val="0"/>
        <c:ser>
          <c:idx val="0"/>
          <c:order val="0"/>
          <c:tx>
            <c:strRef>
              <c:f>'Graf 50+51'!$B$19</c:f>
              <c:strCache>
                <c:ptCount val="1"/>
                <c:pt idx="0">
                  <c:v>EDS (S11+S12)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403948447079757E-2"/>
                  <c:y val="-5.9485882172825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632034632034632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650178388878013E-2"/>
                  <c:y val="-4.7912398754802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51806315063979E-2"/>
                  <c:y val="-4.7680929086442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169663499157572E-2"/>
                  <c:y val="-4.7680929086442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290043290043288E-2"/>
                  <c:y val="-3.33333479148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175941082376847E-2"/>
                  <c:y val="-5.9716896192232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1746070515342686E-2"/>
                  <c:y val="-4.7449915067035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8533587468281243E-2"/>
                  <c:y val="-4.698743137926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6.3492063492063391E-2"/>
                  <c:y val="-2.2222231943233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6378026327125431E-2"/>
                  <c:y val="-2.8933708545058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5.1948051948051951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3839264382353698E-2"/>
                  <c:y val="-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3710-436F-81D0-669458C1C43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50+51'!$C$18:$O$18</c:f>
              <c:strCach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2016*</c:v>
                </c:pt>
              </c:strCache>
            </c:strRef>
          </c:cat>
          <c:val>
            <c:numRef>
              <c:f>'Graf 50+51'!$C$19:$O$19</c:f>
              <c:numCache>
                <c:formatCode>0.0</c:formatCode>
                <c:ptCount val="13"/>
                <c:pt idx="0">
                  <c:v>18.713599522657901</c:v>
                </c:pt>
                <c:pt idx="1">
                  <c:v>21.490793825832643</c:v>
                </c:pt>
                <c:pt idx="2">
                  <c:v>18.843062587856547</c:v>
                </c:pt>
                <c:pt idx="3">
                  <c:v>18.140236451408249</c:v>
                </c:pt>
                <c:pt idx="4">
                  <c:v>18.883600568541983</c:v>
                </c:pt>
                <c:pt idx="5">
                  <c:v>21.690015655841016</c:v>
                </c:pt>
                <c:pt idx="6">
                  <c:v>18.026393351779486</c:v>
                </c:pt>
                <c:pt idx="7">
                  <c:v>17.54052004162666</c:v>
                </c:pt>
                <c:pt idx="8">
                  <c:v>16.954688835285907</c:v>
                </c:pt>
                <c:pt idx="9">
                  <c:v>21.267097921603295</c:v>
                </c:pt>
                <c:pt idx="10">
                  <c:v>24.910030591759316</c:v>
                </c:pt>
                <c:pt idx="11">
                  <c:v>28.617106346271008</c:v>
                </c:pt>
                <c:pt idx="12">
                  <c:v>27.294768637280477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3710-436F-81D0-669458C1C436}"/>
            </c:ext>
          </c:extLst>
        </c:ser>
        <c:ser>
          <c:idx val="1"/>
          <c:order val="1"/>
          <c:tx>
            <c:strRef>
              <c:f>'Graf 50+51'!$B$20</c:f>
              <c:strCache>
                <c:ptCount val="1"/>
                <c:pt idx="0">
                  <c:v>EDS (S1)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739570889706216E-2"/>
                  <c:y val="2.3146966836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83926438235349E-2"/>
                  <c:y val="4.6293933672093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29908047794189E-2"/>
                  <c:y val="2.3146966836046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7938957875000777E-2"/>
                  <c:y val="2.8933708545058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2299080477941911E-2"/>
                  <c:y val="4.050719196308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2299080477941862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511901917647132E-2"/>
                  <c:y val="2.3146966836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2299080477941862E-2"/>
                  <c:y val="3.47204502540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255950958823566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255950958823566E-2"/>
                  <c:y val="4.0507191963081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5379448286765013E-2"/>
                  <c:y val="3.47204502540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3710-436F-81D0-669458C1C436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5379448286765326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3710-436F-81D0-669458C1C43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50+51'!$C$18:$O$18</c:f>
              <c:strCach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2016*</c:v>
                </c:pt>
              </c:strCache>
            </c:strRef>
          </c:cat>
          <c:val>
            <c:numRef>
              <c:f>'Graf 50+51'!$C$20:$O$20</c:f>
              <c:numCache>
                <c:formatCode>0.0</c:formatCode>
                <c:ptCount val="13"/>
                <c:pt idx="0">
                  <c:v>15.63670016748698</c:v>
                </c:pt>
                <c:pt idx="1">
                  <c:v>18.185088010539967</c:v>
                </c:pt>
                <c:pt idx="2">
                  <c:v>16.314233252291729</c:v>
                </c:pt>
                <c:pt idx="3">
                  <c:v>15.544200742613395</c:v>
                </c:pt>
                <c:pt idx="4">
                  <c:v>16.25550313452538</c:v>
                </c:pt>
                <c:pt idx="5">
                  <c:v>17.872918712190771</c:v>
                </c:pt>
                <c:pt idx="6">
                  <c:v>15.48971427949952</c:v>
                </c:pt>
                <c:pt idx="7">
                  <c:v>15.20423221446126</c:v>
                </c:pt>
                <c:pt idx="8">
                  <c:v>14.776185893583527</c:v>
                </c:pt>
                <c:pt idx="9">
                  <c:v>18.562692850685625</c:v>
                </c:pt>
                <c:pt idx="10">
                  <c:v>21.646479005583455</c:v>
                </c:pt>
                <c:pt idx="11">
                  <c:v>24.981420343838199</c:v>
                </c:pt>
                <c:pt idx="12">
                  <c:v>23.719501808109118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3710-436F-81D0-669458C1C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797624"/>
        <c:axId val="453798016"/>
      </c:lineChart>
      <c:catAx>
        <c:axId val="453797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798016"/>
        <c:crosses val="autoZero"/>
        <c:auto val="1"/>
        <c:lblAlgn val="ctr"/>
        <c:lblOffset val="100"/>
        <c:noMultiLvlLbl val="0"/>
      </c:catAx>
      <c:valAx>
        <c:axId val="453798016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797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467272279958181"/>
          <c:y val="0.62748556504115416"/>
          <c:w val="0.21674137653864292"/>
          <c:h val="0.17324775638455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9522786924362E-2"/>
          <c:y val="2.8195007538951256E-2"/>
          <c:w val="0.90825874038472465"/>
          <c:h val="0.82419255039928518"/>
        </c:manualLayout>
      </c:layout>
      <c:lineChart>
        <c:grouping val="standard"/>
        <c:varyColors val="0"/>
        <c:ser>
          <c:idx val="0"/>
          <c:order val="0"/>
          <c:tx>
            <c:strRef>
              <c:f>'Graf 50+51'!$Q$19</c:f>
              <c:strCache>
                <c:ptCount val="1"/>
                <c:pt idx="0">
                  <c:v>Malá miera rizika - Dolný interval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50+51'!$R$18:$Z$18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'Graf 50+51'!$R$19:$Z$19</c:f>
              <c:numCache>
                <c:formatCode>0.0</c:formatCode>
                <c:ptCount val="9"/>
                <c:pt idx="0">
                  <c:v>3.9632223763069221</c:v>
                </c:pt>
                <c:pt idx="1">
                  <c:v>14.455528418697355</c:v>
                </c:pt>
                <c:pt idx="2">
                  <c:v>9.1613676893393219</c:v>
                </c:pt>
                <c:pt idx="3">
                  <c:v>6.6062590740131881</c:v>
                </c:pt>
                <c:pt idx="4">
                  <c:v>13.533356586604251</c:v>
                </c:pt>
                <c:pt idx="5">
                  <c:v>15.103391312336603</c:v>
                </c:pt>
                <c:pt idx="6">
                  <c:v>16.817607503360954</c:v>
                </c:pt>
                <c:pt idx="7">
                  <c:v>16.630067028010185</c:v>
                </c:pt>
                <c:pt idx="8">
                  <c:v>17.217511226508186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5D3-460D-B4FE-9F6C5F236CB1}"/>
            </c:ext>
          </c:extLst>
        </c:ser>
        <c:ser>
          <c:idx val="1"/>
          <c:order val="1"/>
          <c:tx>
            <c:strRef>
              <c:f>'Graf 50+51'!$Q$20</c:f>
              <c:strCache>
                <c:ptCount val="1"/>
                <c:pt idx="0">
                  <c:v>Najvyššia miera rizika - Horný interval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 50+51'!$R$18:$Z$18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'Graf 50+51'!$R$20:$Z$20</c:f>
              <c:numCache>
                <c:formatCode>0.0</c:formatCode>
                <c:ptCount val="9"/>
                <c:pt idx="0">
                  <c:v>10.324910788971732</c:v>
                </c:pt>
                <c:pt idx="1">
                  <c:v>19.892895485091486</c:v>
                </c:pt>
                <c:pt idx="2">
                  <c:v>14.612685439505341</c:v>
                </c:pt>
                <c:pt idx="3">
                  <c:v>12.224176691092133</c:v>
                </c:pt>
                <c:pt idx="4">
                  <c:v>19.281725834692395</c:v>
                </c:pt>
                <c:pt idx="5">
                  <c:v>21.265805224374095</c:v>
                </c:pt>
                <c:pt idx="6">
                  <c:v>21.493646883079467</c:v>
                </c:pt>
                <c:pt idx="7">
                  <c:v>20.697729063514288</c:v>
                </c:pt>
                <c:pt idx="8">
                  <c:v>20.49284008586778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5D3-460D-B4FE-9F6C5F23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798800"/>
        <c:axId val="453799192"/>
      </c:lineChart>
      <c:catAx>
        <c:axId val="45379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799192"/>
        <c:crosses val="autoZero"/>
        <c:auto val="1"/>
        <c:lblAlgn val="ctr"/>
        <c:lblOffset val="100"/>
        <c:noMultiLvlLbl val="0"/>
      </c:catAx>
      <c:valAx>
        <c:axId val="45379919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79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8285327970367342"/>
          <c:y val="0.5446808510638298"/>
          <c:w val="0.45276385906307165"/>
          <c:h val="0.164365220304908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99522786924362E-2"/>
          <c:y val="2.8195007538951256E-2"/>
          <c:w val="0.90825874038472465"/>
          <c:h val="0.82419255039928518"/>
        </c:manualLayout>
      </c:layout>
      <c:lineChart>
        <c:grouping val="standard"/>
        <c:varyColors val="0"/>
        <c:ser>
          <c:idx val="0"/>
          <c:order val="0"/>
          <c:tx>
            <c:strRef>
              <c:f>'Graf 50+51'!$Q$39</c:f>
              <c:strCache>
                <c:ptCount val="1"/>
                <c:pt idx="0">
                  <c:v>Lower risk - lower band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'Graf 50+51'!$R$38:$Z$38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'Graf 50+51'!$R$39:$Z$39</c:f>
              <c:numCache>
                <c:formatCode>0.0</c:formatCode>
                <c:ptCount val="9"/>
                <c:pt idx="0">
                  <c:v>3.9632223763069221</c:v>
                </c:pt>
                <c:pt idx="1">
                  <c:v>14.455528418697355</c:v>
                </c:pt>
                <c:pt idx="2">
                  <c:v>9.1613676893393219</c:v>
                </c:pt>
                <c:pt idx="3">
                  <c:v>6.6062590740131881</c:v>
                </c:pt>
                <c:pt idx="4">
                  <c:v>13.533356586604251</c:v>
                </c:pt>
                <c:pt idx="5">
                  <c:v>15.103391312336603</c:v>
                </c:pt>
                <c:pt idx="6">
                  <c:v>16.817607503360954</c:v>
                </c:pt>
                <c:pt idx="7">
                  <c:v>16.630067028010185</c:v>
                </c:pt>
                <c:pt idx="8">
                  <c:v>17.217511226508186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2C8-4435-8E37-AE7653B068DC}"/>
            </c:ext>
          </c:extLst>
        </c:ser>
        <c:ser>
          <c:idx val="1"/>
          <c:order val="1"/>
          <c:tx>
            <c:strRef>
              <c:f>'Graf 50+51'!$Q$40</c:f>
              <c:strCache>
                <c:ptCount val="1"/>
                <c:pt idx="0">
                  <c:v>Higher risk - upper band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'Graf 50+51'!$R$38:$Z$38</c:f>
              <c:numCache>
                <c:formatCode>General</c:formatCode>
                <c:ptCount val="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</c:numCache>
            </c:numRef>
          </c:cat>
          <c:val>
            <c:numRef>
              <c:f>'Graf 50+51'!$R$40:$Z$40</c:f>
              <c:numCache>
                <c:formatCode>0.0</c:formatCode>
                <c:ptCount val="9"/>
                <c:pt idx="0">
                  <c:v>10.324910788971732</c:v>
                </c:pt>
                <c:pt idx="1">
                  <c:v>19.892895485091486</c:v>
                </c:pt>
                <c:pt idx="2">
                  <c:v>14.612685439505341</c:v>
                </c:pt>
                <c:pt idx="3">
                  <c:v>12.224176691092133</c:v>
                </c:pt>
                <c:pt idx="4">
                  <c:v>19.281725834692395</c:v>
                </c:pt>
                <c:pt idx="5">
                  <c:v>21.265805224374095</c:v>
                </c:pt>
                <c:pt idx="6">
                  <c:v>21.493646883079467</c:v>
                </c:pt>
                <c:pt idx="7">
                  <c:v>20.697729063514288</c:v>
                </c:pt>
                <c:pt idx="8">
                  <c:v>20.49284008586778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2C8-4435-8E37-AE7653B06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799976"/>
        <c:axId val="453800368"/>
      </c:lineChart>
      <c:catAx>
        <c:axId val="45379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0368"/>
        <c:crosses val="autoZero"/>
        <c:auto val="1"/>
        <c:lblAlgn val="ctr"/>
        <c:lblOffset val="100"/>
        <c:noMultiLvlLbl val="0"/>
      </c:catAx>
      <c:valAx>
        <c:axId val="4538003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79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53243526377384642"/>
          <c:y val="0.53900709219858156"/>
          <c:w val="0.2901076001863403"/>
          <c:h val="0.18138649690065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621862651666072E-2"/>
          <c:y val="6.3654158799128072E-2"/>
          <c:w val="0.92485240840528238"/>
          <c:h val="0.77103776783045486"/>
        </c:manualLayout>
      </c:layout>
      <c:lineChart>
        <c:grouping val="standard"/>
        <c:varyColors val="0"/>
        <c:ser>
          <c:idx val="0"/>
          <c:order val="0"/>
          <c:tx>
            <c:strRef>
              <c:f>'Graf 50+51'!$B$41</c:f>
              <c:strCache>
                <c:ptCount val="1"/>
                <c:pt idx="0">
                  <c:v>ETR (S11+S12)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0403948447079757E-2"/>
                  <c:y val="-5.9485882172825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632034632034632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650178388878013E-2"/>
                  <c:y val="-4.7912398754802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751806315063979E-2"/>
                  <c:y val="-4.76809290864421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4169663499157572E-2"/>
                  <c:y val="-4.7680929086442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290043290043288E-2"/>
                  <c:y val="-3.33333479148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175941082376847E-2"/>
                  <c:y val="-5.97168961922328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1746070515342686E-2"/>
                  <c:y val="-4.7449915067035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8533587468281243E-2"/>
                  <c:y val="-4.698743137926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6.3492063492063391E-2"/>
                  <c:y val="-2.2222231943233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6378026327125431E-2"/>
                  <c:y val="-2.8933708545058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5.1948051948051951E-2"/>
                  <c:y val="-3.33333479148503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3.3839264382353698E-2"/>
                  <c:y val="-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5F75-4C4F-A2BA-69588C7BDC3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50+51'!$C$40:$O$40</c:f>
              <c:strCach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2016*</c:v>
                </c:pt>
              </c:strCache>
            </c:strRef>
          </c:cat>
          <c:val>
            <c:numRef>
              <c:f>'Graf 50+51'!$C$41:$O$41</c:f>
              <c:numCache>
                <c:formatCode>0.0</c:formatCode>
                <c:ptCount val="13"/>
                <c:pt idx="0">
                  <c:v>18.713599522657901</c:v>
                </c:pt>
                <c:pt idx="1">
                  <c:v>21.490793825832643</c:v>
                </c:pt>
                <c:pt idx="2">
                  <c:v>18.843062587856547</c:v>
                </c:pt>
                <c:pt idx="3">
                  <c:v>18.140236451408249</c:v>
                </c:pt>
                <c:pt idx="4">
                  <c:v>18.883600568541983</c:v>
                </c:pt>
                <c:pt idx="5">
                  <c:v>21.690015655841016</c:v>
                </c:pt>
                <c:pt idx="6">
                  <c:v>18.026393351779486</c:v>
                </c:pt>
                <c:pt idx="7">
                  <c:v>17.54052004162666</c:v>
                </c:pt>
                <c:pt idx="8">
                  <c:v>16.954688835285907</c:v>
                </c:pt>
                <c:pt idx="9">
                  <c:v>21.267097921603295</c:v>
                </c:pt>
                <c:pt idx="10">
                  <c:v>24.910030591759316</c:v>
                </c:pt>
                <c:pt idx="11">
                  <c:v>28.617106346271008</c:v>
                </c:pt>
                <c:pt idx="12">
                  <c:v>27.294768637280477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5F75-4C4F-A2BA-69588C7BDC3D}"/>
            </c:ext>
          </c:extLst>
        </c:ser>
        <c:ser>
          <c:idx val="1"/>
          <c:order val="1"/>
          <c:tx>
            <c:strRef>
              <c:f>'Graf 50+51'!$B$42</c:f>
              <c:strCache>
                <c:ptCount val="1"/>
                <c:pt idx="0">
                  <c:v>ETR (S1)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9739570889706216E-2"/>
                  <c:y val="2.3146966836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83926438235349E-2"/>
                  <c:y val="4.6293933672093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29908047794189E-2"/>
                  <c:y val="2.31469668360465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7938957875000777E-2"/>
                  <c:y val="2.8933708545058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2299080477941911E-2"/>
                  <c:y val="4.050719196308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2299080477941862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511901917647132E-2"/>
                  <c:y val="2.314696683604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2299080477941862E-2"/>
                  <c:y val="3.47204502540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255950958823566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2.255950958823566E-2"/>
                  <c:y val="4.0507191963081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5379448286765013E-2"/>
                  <c:y val="3.4720450254069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5F75-4C4F-A2BA-69588C7BDC3D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5379448286765326E-2"/>
                  <c:y val="4.0507191963081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5F75-4C4F-A2BA-69588C7BDC3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50+51'!$C$40:$O$40</c:f>
              <c:strCache>
                <c:ptCount val="13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2016*</c:v>
                </c:pt>
              </c:strCache>
            </c:strRef>
          </c:cat>
          <c:val>
            <c:numRef>
              <c:f>'Graf 50+51'!$C$42:$O$42</c:f>
              <c:numCache>
                <c:formatCode>0.0</c:formatCode>
                <c:ptCount val="13"/>
                <c:pt idx="0">
                  <c:v>15.63670016748698</c:v>
                </c:pt>
                <c:pt idx="1">
                  <c:v>18.185088010539967</c:v>
                </c:pt>
                <c:pt idx="2">
                  <c:v>16.314233252291729</c:v>
                </c:pt>
                <c:pt idx="3">
                  <c:v>15.544200742613395</c:v>
                </c:pt>
                <c:pt idx="4">
                  <c:v>16.25550313452538</c:v>
                </c:pt>
                <c:pt idx="5">
                  <c:v>17.872918712190771</c:v>
                </c:pt>
                <c:pt idx="6">
                  <c:v>15.48971427949952</c:v>
                </c:pt>
                <c:pt idx="7">
                  <c:v>15.20423221446126</c:v>
                </c:pt>
                <c:pt idx="8">
                  <c:v>14.776185893583527</c:v>
                </c:pt>
                <c:pt idx="9">
                  <c:v>18.562692850685625</c:v>
                </c:pt>
                <c:pt idx="10">
                  <c:v>21.646479005583455</c:v>
                </c:pt>
                <c:pt idx="11">
                  <c:v>24.981420343838199</c:v>
                </c:pt>
                <c:pt idx="12">
                  <c:v>23.719501808109118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5F75-4C4F-A2BA-69588C7BD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801152"/>
        <c:axId val="453801544"/>
      </c:lineChart>
      <c:catAx>
        <c:axId val="45380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1544"/>
        <c:crosses val="autoZero"/>
        <c:auto val="1"/>
        <c:lblAlgn val="ctr"/>
        <c:lblOffset val="100"/>
        <c:noMultiLvlLbl val="0"/>
      </c:catAx>
      <c:valAx>
        <c:axId val="45380154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3467272279958181"/>
          <c:y val="0.62748556504115416"/>
          <c:w val="0.21674137653864292"/>
          <c:h val="0.173247756384553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sk-SK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7462243449077067E-2"/>
          <c:y val="9.4694124772864915E-2"/>
          <c:w val="0.91819511922711794"/>
          <c:h val="0.77126567512394284"/>
        </c:manualLayout>
      </c:layout>
      <c:lineChart>
        <c:grouping val="standard"/>
        <c:varyColors val="0"/>
        <c:ser>
          <c:idx val="3"/>
          <c:order val="0"/>
          <c:tx>
            <c:strRef>
              <c:f>'Graf 52+53'!$L$7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52+53'!$M$5:$X$5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strCache>
            </c:strRef>
          </c:cat>
          <c:val>
            <c:numRef>
              <c:f>'Graf 52+53'!$M$7:$X$7</c:f>
              <c:numCache>
                <c:formatCode>#\ ##0.0</c:formatCode>
                <c:ptCount val="12"/>
                <c:pt idx="0">
                  <c:v>46.1</c:v>
                </c:pt>
                <c:pt idx="1">
                  <c:v>45.4</c:v>
                </c:pt>
                <c:pt idx="2">
                  <c:v>46.6</c:v>
                </c:pt>
                <c:pt idx="3">
                  <c:v>50.7</c:v>
                </c:pt>
                <c:pt idx="4">
                  <c:v>50.6</c:v>
                </c:pt>
                <c:pt idx="5">
                  <c:v>49.2</c:v>
                </c:pt>
                <c:pt idx="6">
                  <c:v>49.8</c:v>
                </c:pt>
                <c:pt idx="7">
                  <c:v>49.8</c:v>
                </c:pt>
                <c:pt idx="8">
                  <c:v>49.2</c:v>
                </c:pt>
                <c:pt idx="9">
                  <c:v>48.3</c:v>
                </c:pt>
                <c:pt idx="10">
                  <c:v>47.6</c:v>
                </c:pt>
                <c:pt idx="11">
                  <c:v>47.1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77-4CF8-9D32-6C76AD6EF5F1}"/>
            </c:ext>
          </c:extLst>
        </c:ser>
        <c:ser>
          <c:idx val="5"/>
          <c:order val="1"/>
          <c:tx>
            <c:strRef>
              <c:f>'Graf 52+53'!$L$11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BDC"/>
              </a:solidFill>
              <a:prstDash val="solid"/>
            </a:ln>
          </c:spPr>
          <c:marker>
            <c:symbol val="none"/>
          </c:marker>
          <c:cat>
            <c:strRef>
              <c:f>'Graf 52+53'!$M$5:$X$5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strCache>
            </c:strRef>
          </c:cat>
          <c:val>
            <c:numRef>
              <c:f>'Graf 52+53'!$M$11:$X$11</c:f>
              <c:numCache>
                <c:formatCode>#\ ##0.0</c:formatCode>
                <c:ptCount val="12"/>
                <c:pt idx="0">
                  <c:v>38.799999999999997</c:v>
                </c:pt>
                <c:pt idx="1">
                  <c:v>36.299999999999997</c:v>
                </c:pt>
                <c:pt idx="2">
                  <c:v>36.9</c:v>
                </c:pt>
                <c:pt idx="3">
                  <c:v>44.1</c:v>
                </c:pt>
                <c:pt idx="4">
                  <c:v>42.1</c:v>
                </c:pt>
                <c:pt idx="5">
                  <c:v>40.799999999999997</c:v>
                </c:pt>
                <c:pt idx="6">
                  <c:v>40.6</c:v>
                </c:pt>
                <c:pt idx="7">
                  <c:v>41.4</c:v>
                </c:pt>
                <c:pt idx="8">
                  <c:v>42</c:v>
                </c:pt>
                <c:pt idx="9">
                  <c:v>45.2</c:v>
                </c:pt>
                <c:pt idx="10">
                  <c:v>41.5</c:v>
                </c:pt>
                <c:pt idx="11">
                  <c:v>40.41949449264056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77-4CF8-9D32-6C76AD6EF5F1}"/>
            </c:ext>
          </c:extLst>
        </c:ser>
        <c:ser>
          <c:idx val="0"/>
          <c:order val="2"/>
          <c:tx>
            <c:strRef>
              <c:f>'Graf 52+53'!$L$12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rgbClr val="818386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BC77-4CF8-9D32-6C76AD6EF5F1}"/>
              </c:ext>
            </c:extLst>
          </c:dPt>
          <c:cat>
            <c:strRef>
              <c:f>'Graf 52+53'!$M$5:$X$5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strCache>
            </c:strRef>
          </c:cat>
          <c:val>
            <c:numRef>
              <c:f>'Graf 52+53'!$M$12:$X$12</c:f>
              <c:numCache>
                <c:formatCode>#\ ##0.0</c:formatCode>
                <c:ptCount val="12"/>
                <c:pt idx="0">
                  <c:v>45.833333333333336</c:v>
                </c:pt>
                <c:pt idx="1">
                  <c:v>44.466666666666661</c:v>
                </c:pt>
                <c:pt idx="2">
                  <c:v>44.5</c:v>
                </c:pt>
                <c:pt idx="3">
                  <c:v>46.533333333333331</c:v>
                </c:pt>
                <c:pt idx="4">
                  <c:v>46.166666666666664</c:v>
                </c:pt>
                <c:pt idx="5">
                  <c:v>45.433333333333337</c:v>
                </c:pt>
                <c:pt idx="6">
                  <c:v>45.300000000000004</c:v>
                </c:pt>
                <c:pt idx="7">
                  <c:v>44.833333333333336</c:v>
                </c:pt>
                <c:pt idx="8">
                  <c:v>44.633333333333326</c:v>
                </c:pt>
                <c:pt idx="9">
                  <c:v>44.466666666666669</c:v>
                </c:pt>
                <c:pt idx="10">
                  <c:v>42.333333333333336</c:v>
                </c:pt>
                <c:pt idx="11">
                  <c:v>42.166666666666664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C77-4CF8-9D32-6C76AD6EF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802328"/>
        <c:axId val="453802720"/>
      </c:lineChart>
      <c:catAx>
        <c:axId val="453802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453802720"/>
        <c:crosses val="autoZero"/>
        <c:auto val="1"/>
        <c:lblAlgn val="ctr"/>
        <c:lblOffset val="100"/>
        <c:noMultiLvlLbl val="0"/>
      </c:catAx>
      <c:valAx>
        <c:axId val="453802720"/>
        <c:scaling>
          <c:orientation val="minMax"/>
          <c:min val="30"/>
        </c:scaling>
        <c:delete val="0"/>
        <c:axPos val="l"/>
        <c:majorGridlines>
          <c:spPr>
            <a:ln w="6350">
              <a:solidFill>
                <a:sysClr val="window" lastClr="FFFFFF">
                  <a:lumMod val="9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45380232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51958762886597942"/>
          <c:y val="3.1372549019607843E-2"/>
          <c:w val="0.46391752577319589"/>
          <c:h val="0.1921576861715814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863768358742392E-2"/>
          <c:y val="8.4437714516454654E-2"/>
          <c:w val="0.91819511922711794"/>
          <c:h val="0.78052493438320214"/>
        </c:manualLayout>
      </c:layout>
      <c:lineChart>
        <c:grouping val="standard"/>
        <c:varyColors val="0"/>
        <c:ser>
          <c:idx val="3"/>
          <c:order val="0"/>
          <c:tx>
            <c:strRef>
              <c:f>'Graf 52+53'!$L$27</c:f>
              <c:strCache>
                <c:ptCount val="1"/>
                <c:pt idx="0">
                  <c:v>EA 19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  <a:prstDash val="solid"/>
            </a:ln>
          </c:spPr>
          <c:marker>
            <c:symbol val="none"/>
          </c:marker>
          <c:cat>
            <c:strRef>
              <c:f>'Graf 52+53'!$M$25:$X$25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strCache>
            </c:strRef>
          </c:cat>
          <c:val>
            <c:numRef>
              <c:f>'Graf 52+53'!$M$27:$X$27</c:f>
              <c:numCache>
                <c:formatCode>#\ ##0.0</c:formatCode>
                <c:ptCount val="12"/>
                <c:pt idx="0">
                  <c:v>3.2</c:v>
                </c:pt>
                <c:pt idx="1">
                  <c:v>3.2</c:v>
                </c:pt>
                <c:pt idx="2">
                  <c:v>3.3</c:v>
                </c:pt>
                <c:pt idx="3">
                  <c:v>3.6</c:v>
                </c:pt>
                <c:pt idx="4">
                  <c:v>3.4</c:v>
                </c:pt>
                <c:pt idx="5">
                  <c:v>3.1</c:v>
                </c:pt>
                <c:pt idx="6">
                  <c:v>2.9</c:v>
                </c:pt>
                <c:pt idx="7">
                  <c:v>2.8</c:v>
                </c:pt>
                <c:pt idx="8">
                  <c:v>2.7</c:v>
                </c:pt>
                <c:pt idx="9">
                  <c:v>2.7</c:v>
                </c:pt>
                <c:pt idx="10">
                  <c:v>2.6</c:v>
                </c:pt>
                <c:pt idx="11">
                  <c:v>2.6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C40-4F66-A464-36C373E0E6FA}"/>
            </c:ext>
          </c:extLst>
        </c:ser>
        <c:ser>
          <c:idx val="5"/>
          <c:order val="1"/>
          <c:tx>
            <c:strRef>
              <c:f>'Graf 52+53'!$L$31</c:f>
              <c:strCache>
                <c:ptCount val="1"/>
                <c:pt idx="0">
                  <c:v>SK</c:v>
                </c:pt>
              </c:strCache>
            </c:strRef>
          </c:tx>
          <c:spPr>
            <a:ln w="19050">
              <a:solidFill>
                <a:srgbClr val="2C9BDC"/>
              </a:solidFill>
              <a:prstDash val="solid"/>
            </a:ln>
          </c:spPr>
          <c:marker>
            <c:symbol val="none"/>
          </c:marker>
          <c:cat>
            <c:strRef>
              <c:f>'Graf 52+53'!$M$25:$X$25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strCache>
            </c:strRef>
          </c:cat>
          <c:val>
            <c:numRef>
              <c:f>'Graf 52+53'!$M$31:$X$31</c:f>
              <c:numCache>
                <c:formatCode>#\ ##0.0</c:formatCode>
                <c:ptCount val="12"/>
                <c:pt idx="0">
                  <c:v>3.8</c:v>
                </c:pt>
                <c:pt idx="1">
                  <c:v>3.2</c:v>
                </c:pt>
                <c:pt idx="2">
                  <c:v>3.4</c:v>
                </c:pt>
                <c:pt idx="3">
                  <c:v>3.9</c:v>
                </c:pt>
                <c:pt idx="4">
                  <c:v>3.6</c:v>
                </c:pt>
                <c:pt idx="5">
                  <c:v>3.8</c:v>
                </c:pt>
                <c:pt idx="6">
                  <c:v>3.4</c:v>
                </c:pt>
                <c:pt idx="7">
                  <c:v>3.3</c:v>
                </c:pt>
                <c:pt idx="8">
                  <c:v>4</c:v>
                </c:pt>
                <c:pt idx="9">
                  <c:v>6.3</c:v>
                </c:pt>
                <c:pt idx="10">
                  <c:v>3.2</c:v>
                </c:pt>
                <c:pt idx="11">
                  <c:v>3.1725044523050561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C40-4F66-A464-36C373E0E6FA}"/>
            </c:ext>
          </c:extLst>
        </c:ser>
        <c:ser>
          <c:idx val="0"/>
          <c:order val="2"/>
          <c:tx>
            <c:strRef>
              <c:f>'Graf 52+53'!$L$32</c:f>
              <c:strCache>
                <c:ptCount val="1"/>
                <c:pt idx="0">
                  <c:v>V3</c:v>
                </c:pt>
              </c:strCache>
            </c:strRef>
          </c:tx>
          <c:spPr>
            <a:ln w="19050">
              <a:solidFill>
                <a:srgbClr val="818386"/>
              </a:solidFill>
              <a:prstDash val="solid"/>
            </a:ln>
          </c:spPr>
          <c:marker>
            <c:symbol val="none"/>
          </c:marker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C40-4F66-A464-36C373E0E6FA}"/>
              </c:ext>
            </c:extLst>
          </c:dPt>
          <c:cat>
            <c:strRef>
              <c:f>'Graf 52+53'!$M$25:$X$25</c:f>
              <c:strCach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strCache>
            </c:strRef>
          </c:cat>
          <c:val>
            <c:numRef>
              <c:f>'Graf 52+53'!$M$32:$X$32</c:f>
              <c:numCache>
                <c:formatCode>#\ ##0.0</c:formatCode>
                <c:ptCount val="12"/>
                <c:pt idx="0">
                  <c:v>4.7666666666666666</c:v>
                </c:pt>
                <c:pt idx="1">
                  <c:v>4.5</c:v>
                </c:pt>
                <c:pt idx="2">
                  <c:v>4.4333333333333336</c:v>
                </c:pt>
                <c:pt idx="3">
                  <c:v>4.8</c:v>
                </c:pt>
                <c:pt idx="4">
                  <c:v>4.8</c:v>
                </c:pt>
                <c:pt idx="5">
                  <c:v>4.5666666666666664</c:v>
                </c:pt>
                <c:pt idx="6">
                  <c:v>4.2</c:v>
                </c:pt>
                <c:pt idx="7">
                  <c:v>4.0666666666666673</c:v>
                </c:pt>
                <c:pt idx="8">
                  <c:v>4.6333333333333329</c:v>
                </c:pt>
                <c:pt idx="9">
                  <c:v>5.3666666666666671</c:v>
                </c:pt>
                <c:pt idx="10">
                  <c:v>3.2333333333333329</c:v>
                </c:pt>
                <c:pt idx="11">
                  <c:v>3.8000000000000003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C40-4F66-A464-36C373E0E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3803504"/>
        <c:axId val="453803896"/>
      </c:lineChart>
      <c:catAx>
        <c:axId val="453803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sk-SK"/>
          </a:p>
        </c:txPr>
        <c:crossAx val="453803896"/>
        <c:crosses val="autoZero"/>
        <c:auto val="1"/>
        <c:lblAlgn val="ctr"/>
        <c:lblOffset val="100"/>
        <c:noMultiLvlLbl val="0"/>
      </c:catAx>
      <c:valAx>
        <c:axId val="453803896"/>
        <c:scaling>
          <c:orientation val="minMax"/>
          <c:max val="7"/>
          <c:min val="2"/>
        </c:scaling>
        <c:delete val="0"/>
        <c:axPos val="l"/>
        <c:majorGridlines>
          <c:spPr>
            <a:ln w="6350">
              <a:solidFill>
                <a:sysClr val="window" lastClr="FFFFFF">
                  <a:lumMod val="95000"/>
                </a:sys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sk-SK"/>
          </a:p>
        </c:txPr>
        <c:crossAx val="453803504"/>
        <c:crosses val="autoZero"/>
        <c:crossBetween val="midCat"/>
        <c:majorUnit val="1"/>
      </c:valAx>
    </c:plotArea>
    <c:legend>
      <c:legendPos val="r"/>
      <c:layout>
        <c:manualLayout>
          <c:xMode val="edge"/>
          <c:yMode val="edge"/>
          <c:x val="0.10049045339920745"/>
          <c:y val="4.5296167247386762E-2"/>
          <c:w val="0.75245278163758944"/>
          <c:h val="0.1602787456445992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54'!$L$16</c:f>
              <c:strCache>
                <c:ptCount val="1"/>
                <c:pt idx="0">
                  <c:v>p. b. HDP 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3.8929440389294405E-2"/>
                  <c:y val="7.2398190045248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7A8-468E-8703-19BACE328F8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54'!$K$17:$K$26</c:f>
              <c:strCache>
                <c:ptCount val="10"/>
                <c:pt idx="0">
                  <c:v> Sociálne zabezpečenie</c:v>
                </c:pt>
                <c:pt idx="1">
                  <c:v> Vzdelávanie</c:v>
                </c:pt>
                <c:pt idx="2">
                  <c:v> Rekreácia, kultúra a náboženstvo</c:v>
                </c:pt>
                <c:pt idx="3">
                  <c:v> Zdravotníctvo</c:v>
                </c:pt>
                <c:pt idx="4">
                  <c:v> Bývanie a občianska vybavenosť</c:v>
                </c:pt>
                <c:pt idx="5">
                  <c:v> Ochrana životného prostredia</c:v>
                </c:pt>
                <c:pt idx="6">
                  <c:v> Ekonomická oblasť</c:v>
                </c:pt>
                <c:pt idx="7">
                  <c:v> Verejný poriadok a bezpečnosť</c:v>
                </c:pt>
                <c:pt idx="8">
                  <c:v>Obrana</c:v>
                </c:pt>
                <c:pt idx="9">
                  <c:v> Všeobecné verejné služby</c:v>
                </c:pt>
              </c:strCache>
            </c:strRef>
          </c:cat>
          <c:val>
            <c:numRef>
              <c:f>'Graf 54'!$L$17:$L$26</c:f>
              <c:numCache>
                <c:formatCode>0.00</c:formatCode>
                <c:ptCount val="10"/>
                <c:pt idx="0">
                  <c:v>-0.06</c:v>
                </c:pt>
                <c:pt idx="1">
                  <c:v>0.04</c:v>
                </c:pt>
                <c:pt idx="2">
                  <c:v>0.02</c:v>
                </c:pt>
                <c:pt idx="3">
                  <c:v>8.0000000000000002E-3</c:v>
                </c:pt>
                <c:pt idx="4">
                  <c:v>1.4E-2</c:v>
                </c:pt>
                <c:pt idx="5">
                  <c:v>0.03</c:v>
                </c:pt>
                <c:pt idx="6">
                  <c:v>0.01</c:v>
                </c:pt>
                <c:pt idx="7">
                  <c:v>0.03</c:v>
                </c:pt>
                <c:pt idx="8">
                  <c:v>0</c:v>
                </c:pt>
                <c:pt idx="9">
                  <c:v>-0.05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7A8-468E-8703-19BACE328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453804680"/>
        <c:axId val="453805072"/>
      </c:barChart>
      <c:catAx>
        <c:axId val="453804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5072"/>
        <c:crossesAt val="0"/>
        <c:auto val="1"/>
        <c:lblAlgn val="ctr"/>
        <c:lblOffset val="100"/>
        <c:noMultiLvlLbl val="0"/>
      </c:catAx>
      <c:valAx>
        <c:axId val="453805072"/>
        <c:scaling>
          <c:orientation val="minMax"/>
          <c:min val="-0.15000000000000002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4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627062706270626E-2"/>
          <c:y val="5.1103368176538912E-2"/>
          <c:w val="0.90329201424079419"/>
          <c:h val="0.8411230303529132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'Graf 54'!$L$16</c:f>
              <c:strCache>
                <c:ptCount val="1"/>
                <c:pt idx="0">
                  <c:v>p. b. HDP 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 54'!$K$17:$K$26</c:f>
              <c:strCache>
                <c:ptCount val="10"/>
                <c:pt idx="0">
                  <c:v> Sociálne zabezpečenie</c:v>
                </c:pt>
                <c:pt idx="1">
                  <c:v> Vzdelávanie</c:v>
                </c:pt>
                <c:pt idx="2">
                  <c:v> Rekreácia, kultúra a náboženstvo</c:v>
                </c:pt>
                <c:pt idx="3">
                  <c:v> Zdravotníctvo</c:v>
                </c:pt>
                <c:pt idx="4">
                  <c:v> Bývanie a občianska vybavenosť</c:v>
                </c:pt>
                <c:pt idx="5">
                  <c:v> Ochrana životného prostredia</c:v>
                </c:pt>
                <c:pt idx="6">
                  <c:v> Ekonomická oblasť</c:v>
                </c:pt>
                <c:pt idx="7">
                  <c:v> Verejný poriadok a bezpečnosť</c:v>
                </c:pt>
                <c:pt idx="8">
                  <c:v>Obrana</c:v>
                </c:pt>
                <c:pt idx="9">
                  <c:v> Všeobecné verejné služby</c:v>
                </c:pt>
              </c:strCache>
            </c:strRef>
          </c:cat>
          <c:val>
            <c:numRef>
              <c:f>'Graf 54'!$M$17:$M$26</c:f>
              <c:numCache>
                <c:formatCode>0.00</c:formatCode>
                <c:ptCount val="10"/>
                <c:pt idx="0">
                  <c:v>-1.03</c:v>
                </c:pt>
                <c:pt idx="1">
                  <c:v>0.05</c:v>
                </c:pt>
                <c:pt idx="2">
                  <c:v>-0.19</c:v>
                </c:pt>
                <c:pt idx="3">
                  <c:v>-0.55000000000000004</c:v>
                </c:pt>
                <c:pt idx="4">
                  <c:v>0.01</c:v>
                </c:pt>
                <c:pt idx="5">
                  <c:v>-7.0000000000000007E-2</c:v>
                </c:pt>
                <c:pt idx="6">
                  <c:v>0.04</c:v>
                </c:pt>
                <c:pt idx="7">
                  <c:v>-0.28000000000000003</c:v>
                </c:pt>
                <c:pt idx="8">
                  <c:v>0.4</c:v>
                </c:pt>
                <c:pt idx="9">
                  <c:v>-0.32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C8D-4BE0-90B5-0E7C520A1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453805856"/>
        <c:axId val="453806248"/>
      </c:barChart>
      <c:catAx>
        <c:axId val="4538058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low"/>
        <c:crossAx val="453806248"/>
        <c:crossesAt val="0"/>
        <c:auto val="1"/>
        <c:lblAlgn val="ctr"/>
        <c:lblOffset val="100"/>
        <c:noMultiLvlLbl val="0"/>
      </c:catAx>
      <c:valAx>
        <c:axId val="453806248"/>
        <c:scaling>
          <c:orientation val="minMax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5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 54'!$L$16</c:f>
              <c:strCache>
                <c:ptCount val="1"/>
                <c:pt idx="0">
                  <c:v>p. b. HDP 2017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3.8094997649043283E-2"/>
                  <c:y val="8.4464555052790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5CC-4D5C-9C41-BD545401CEA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 54'!$K$29:$K$38</c:f>
              <c:strCache>
                <c:ptCount val="10"/>
                <c:pt idx="0">
                  <c:v>10. Social protection</c:v>
                </c:pt>
                <c:pt idx="1">
                  <c:v>9. Education</c:v>
                </c:pt>
                <c:pt idx="2">
                  <c:v>8. Recreation, culture  and religion</c:v>
                </c:pt>
                <c:pt idx="3">
                  <c:v>7. Health</c:v>
                </c:pt>
                <c:pt idx="4">
                  <c:v>6. housing and community amenities</c:v>
                </c:pt>
                <c:pt idx="5">
                  <c:v>5. Environmental protection</c:v>
                </c:pt>
                <c:pt idx="6">
                  <c:v>4. Economic affairs </c:v>
                </c:pt>
                <c:pt idx="7">
                  <c:v>3. Public order and safety</c:v>
                </c:pt>
                <c:pt idx="8">
                  <c:v>2. Defense</c:v>
                </c:pt>
                <c:pt idx="9">
                  <c:v>1. General public services</c:v>
                </c:pt>
              </c:strCache>
            </c:strRef>
          </c:cat>
          <c:val>
            <c:numRef>
              <c:f>'Graf 54'!$L$29:$L$38</c:f>
              <c:numCache>
                <c:formatCode>0.00</c:formatCode>
                <c:ptCount val="10"/>
                <c:pt idx="0">
                  <c:v>-0.06</c:v>
                </c:pt>
                <c:pt idx="1">
                  <c:v>0.04</c:v>
                </c:pt>
                <c:pt idx="2">
                  <c:v>0.02</c:v>
                </c:pt>
                <c:pt idx="3">
                  <c:v>8.0000000000000002E-3</c:v>
                </c:pt>
                <c:pt idx="4">
                  <c:v>1.4E-2</c:v>
                </c:pt>
                <c:pt idx="5">
                  <c:v>0.03</c:v>
                </c:pt>
                <c:pt idx="6">
                  <c:v>0.01</c:v>
                </c:pt>
                <c:pt idx="7">
                  <c:v>0.03</c:v>
                </c:pt>
                <c:pt idx="8">
                  <c:v>0</c:v>
                </c:pt>
                <c:pt idx="9">
                  <c:v>-0.05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5CC-4D5C-9C41-BD545401CE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2"/>
        <c:axId val="453807032"/>
        <c:axId val="453807424"/>
      </c:barChart>
      <c:catAx>
        <c:axId val="4538070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7424"/>
        <c:crossesAt val="0"/>
        <c:auto val="1"/>
        <c:lblAlgn val="ctr"/>
        <c:lblOffset val="100"/>
        <c:noMultiLvlLbl val="0"/>
      </c:catAx>
      <c:valAx>
        <c:axId val="453807424"/>
        <c:scaling>
          <c:orientation val="minMax"/>
          <c:min val="-0.15000000000000002"/>
        </c:scaling>
        <c:delete val="0"/>
        <c:axPos val="b"/>
        <c:majorGridlines>
          <c:spPr>
            <a:ln w="9525" cap="flat" cmpd="sng" algn="ctr">
              <a:solidFill>
                <a:schemeClr val="tx1">
                  <a:alpha val="2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sk-SK"/>
          </a:p>
        </c:txPr>
        <c:crossAx val="453807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 Narrow" panose="020B0606020202030204" pitchFamily="34" charset="0"/>
        </a:defRPr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hyperlink" Target="#'Obsah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hyperlink" Target="#'Obsah'!A1"/><Relationship Id="rId5" Type="http://schemas.openxmlformats.org/officeDocument/2006/relationships/chart" Target="../charts/chart33.xml"/><Relationship Id="rId4" Type="http://schemas.openxmlformats.org/officeDocument/2006/relationships/chart" Target="../charts/chart3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hyperlink" Target="#'Obsah'!A1"/><Relationship Id="rId1" Type="http://schemas.openxmlformats.org/officeDocument/2006/relationships/chart" Target="../charts/chart3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hyperlink" Target="#'Obsah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hyperlink" Target="#'Obsah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hyperlink" Target="#'Obsah'!A1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hyperlink" Target="#'Obsah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hyperlink" Target="#'Obsah'!A1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hyperlink" Target="#'Obsah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hyperlink" Target="#'Obsah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4" Type="http://schemas.openxmlformats.org/officeDocument/2006/relationships/chart" Target="../charts/chart56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hyperlink" Target="#'Obsah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hyperlink" Target="#'Obsah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hyperlink" Target="#'Obsah'!A1"/><Relationship Id="rId1" Type="http://schemas.openxmlformats.org/officeDocument/2006/relationships/chart" Target="../charts/chart62.xml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hyperlink" Target="#'Obsah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hyperlink" Target="#'Obsah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hyperlink" Target="#'Obsah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hyperlink" Target="#'Obsah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hyperlink" Target="#'Obsah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hyperlink" Target="#'Obsah'!A1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79.xml"/><Relationship Id="rId1" Type="http://schemas.openxmlformats.org/officeDocument/2006/relationships/chart" Target="../charts/chart78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2.xml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5" Type="http://schemas.openxmlformats.org/officeDocument/2006/relationships/hyperlink" Target="#'Obsah'!A1"/><Relationship Id="rId4" Type="http://schemas.openxmlformats.org/officeDocument/2006/relationships/chart" Target="../charts/chart8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hyperlink" Target="#'Obsah'!A1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6.xml"/><Relationship Id="rId2" Type="http://schemas.openxmlformats.org/officeDocument/2006/relationships/chart" Target="../charts/chart85.xml"/><Relationship Id="rId1" Type="http://schemas.openxmlformats.org/officeDocument/2006/relationships/chart" Target="../charts/chart84.xml"/><Relationship Id="rId4" Type="http://schemas.openxmlformats.org/officeDocument/2006/relationships/hyperlink" Target="#'Obsah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9.xml"/><Relationship Id="rId2" Type="http://schemas.openxmlformats.org/officeDocument/2006/relationships/chart" Target="../charts/chart88.xml"/><Relationship Id="rId1" Type="http://schemas.openxmlformats.org/officeDocument/2006/relationships/chart" Target="../charts/chart87.xml"/><Relationship Id="rId5" Type="http://schemas.openxmlformats.org/officeDocument/2006/relationships/hyperlink" Target="#'Obsah'!A1"/><Relationship Id="rId4" Type="http://schemas.openxmlformats.org/officeDocument/2006/relationships/chart" Target="../charts/chart90.xml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5" Type="http://schemas.openxmlformats.org/officeDocument/2006/relationships/chart" Target="../charts/chart94.xml"/><Relationship Id="rId4" Type="http://schemas.openxmlformats.org/officeDocument/2006/relationships/hyperlink" Target="#'Obsah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Obsah'!A1"/><Relationship Id="rId2" Type="http://schemas.openxmlformats.org/officeDocument/2006/relationships/chart" Target="../charts/chart96.xml"/><Relationship Id="rId1" Type="http://schemas.openxmlformats.org/officeDocument/2006/relationships/chart" Target="../charts/chart95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9.xml"/><Relationship Id="rId2" Type="http://schemas.openxmlformats.org/officeDocument/2006/relationships/chart" Target="../charts/chart98.xml"/><Relationship Id="rId1" Type="http://schemas.openxmlformats.org/officeDocument/2006/relationships/chart" Target="../charts/chart97.xml"/><Relationship Id="rId5" Type="http://schemas.openxmlformats.org/officeDocument/2006/relationships/hyperlink" Target="#'Obsah'!A1"/><Relationship Id="rId4" Type="http://schemas.openxmlformats.org/officeDocument/2006/relationships/chart" Target="../charts/chart100.xml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1.xml"/><Relationship Id="rId1" Type="http://schemas.openxmlformats.org/officeDocument/2006/relationships/hyperlink" Target="#'Obsah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3.xml"/><Relationship Id="rId2" Type="http://schemas.openxmlformats.org/officeDocument/2006/relationships/chart" Target="../charts/chart102.xml"/><Relationship Id="rId1" Type="http://schemas.openxmlformats.org/officeDocument/2006/relationships/hyperlink" Target="#'Obsah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5.xml"/><Relationship Id="rId2" Type="http://schemas.openxmlformats.org/officeDocument/2006/relationships/chart" Target="../charts/chart104.xml"/><Relationship Id="rId1" Type="http://schemas.openxmlformats.org/officeDocument/2006/relationships/hyperlink" Target="#'Obsah'!A1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6.xml"/><Relationship Id="rId1" Type="http://schemas.openxmlformats.org/officeDocument/2006/relationships/hyperlink" Target="#'Obsah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hyperlink" Target="#'Obsah'!A1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8.xml"/><Relationship Id="rId2" Type="http://schemas.openxmlformats.org/officeDocument/2006/relationships/chart" Target="../charts/chart107.xml"/><Relationship Id="rId1" Type="http://schemas.openxmlformats.org/officeDocument/2006/relationships/hyperlink" Target="#'Obsah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1.xml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Relationship Id="rId4" Type="http://schemas.openxmlformats.org/officeDocument/2006/relationships/hyperlink" Target="#'Obsah'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'Obsah'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Obsah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hyperlink" Target="#'Obsah'!A1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hyperlink" Target="#'Obsah'!A1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781051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302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182375</xdr:colOff>
      <xdr:row>4</xdr:row>
      <xdr:rowOff>47625</xdr:rowOff>
    </xdr:from>
    <xdr:to>
      <xdr:col>5</xdr:col>
      <xdr:colOff>54349</xdr:colOff>
      <xdr:row>17</xdr:row>
      <xdr:rowOff>91125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</xdr:colOff>
      <xdr:row>4</xdr:row>
      <xdr:rowOff>47623</xdr:rowOff>
    </xdr:from>
    <xdr:to>
      <xdr:col>15</xdr:col>
      <xdr:colOff>409574</xdr:colOff>
      <xdr:row>17</xdr:row>
      <xdr:rowOff>177523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27</xdr:row>
      <xdr:rowOff>19050</xdr:rowOff>
    </xdr:from>
    <xdr:to>
      <xdr:col>5</xdr:col>
      <xdr:colOff>33338</xdr:colOff>
      <xdr:row>41</xdr:row>
      <xdr:rowOff>62550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27</xdr:row>
      <xdr:rowOff>66674</xdr:rowOff>
    </xdr:from>
    <xdr:to>
      <xdr:col>15</xdr:col>
      <xdr:colOff>400050</xdr:colOff>
      <xdr:row>40</xdr:row>
      <xdr:rowOff>129899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</xdr:row>
      <xdr:rowOff>57150</xdr:rowOff>
    </xdr:from>
    <xdr:to>
      <xdr:col>3</xdr:col>
      <xdr:colOff>95250</xdr:colOff>
      <xdr:row>13</xdr:row>
      <xdr:rowOff>85725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542925</xdr:colOff>
      <xdr:row>2</xdr:row>
      <xdr:rowOff>76201</xdr:rowOff>
    </xdr:from>
    <xdr:to>
      <xdr:col>6</xdr:col>
      <xdr:colOff>457200</xdr:colOff>
      <xdr:row>13</xdr:row>
      <xdr:rowOff>152401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62000" cy="2730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523875</xdr:colOff>
      <xdr:row>21</xdr:row>
      <xdr:rowOff>57150</xdr:rowOff>
    </xdr:from>
    <xdr:to>
      <xdr:col>3</xdr:col>
      <xdr:colOff>95250</xdr:colOff>
      <xdr:row>32</xdr:row>
      <xdr:rowOff>85725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542925</xdr:colOff>
      <xdr:row>21</xdr:row>
      <xdr:rowOff>76201</xdr:rowOff>
    </xdr:from>
    <xdr:to>
      <xdr:col>6</xdr:col>
      <xdr:colOff>457200</xdr:colOff>
      <xdr:row>32</xdr:row>
      <xdr:rowOff>152401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485775</xdr:colOff>
      <xdr:row>4</xdr:row>
      <xdr:rowOff>38099</xdr:rowOff>
    </xdr:from>
    <xdr:to>
      <xdr:col>3</xdr:col>
      <xdr:colOff>66675</xdr:colOff>
      <xdr:row>16</xdr:row>
      <xdr:rowOff>47625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</xdr:colOff>
      <xdr:row>4</xdr:row>
      <xdr:rowOff>38100</xdr:rowOff>
    </xdr:from>
    <xdr:to>
      <xdr:col>6</xdr:col>
      <xdr:colOff>9526</xdr:colOff>
      <xdr:row>16</xdr:row>
      <xdr:rowOff>76200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590550</xdr:colOff>
      <xdr:row>20</xdr:row>
      <xdr:rowOff>66675</xdr:rowOff>
    </xdr:from>
    <xdr:to>
      <xdr:col>3</xdr:col>
      <xdr:colOff>171450</xdr:colOff>
      <xdr:row>32</xdr:row>
      <xdr:rowOff>95251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20</xdr:row>
      <xdr:rowOff>0</xdr:rowOff>
    </xdr:from>
    <xdr:to>
      <xdr:col>6</xdr:col>
      <xdr:colOff>9525</xdr:colOff>
      <xdr:row>32</xdr:row>
      <xdr:rowOff>49306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209550</xdr:colOff>
      <xdr:row>1</xdr:row>
      <xdr:rowOff>149225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7150" y="85725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142875</xdr:rowOff>
    </xdr:from>
    <xdr:to>
      <xdr:col>1</xdr:col>
      <xdr:colOff>238125</xdr:colOff>
      <xdr:row>2</xdr:row>
      <xdr:rowOff>15875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85725" y="142875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581024</xdr:colOff>
      <xdr:row>2</xdr:row>
      <xdr:rowOff>57149</xdr:rowOff>
    </xdr:from>
    <xdr:to>
      <xdr:col>2</xdr:col>
      <xdr:colOff>485774</xdr:colOff>
      <xdr:row>14</xdr:row>
      <xdr:rowOff>11206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28575</xdr:rowOff>
    </xdr:from>
    <xdr:to>
      <xdr:col>1</xdr:col>
      <xdr:colOff>152400</xdr:colOff>
      <xdr:row>1</xdr:row>
      <xdr:rowOff>92075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28575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581024</xdr:colOff>
      <xdr:row>17</xdr:row>
      <xdr:rowOff>57149</xdr:rowOff>
    </xdr:from>
    <xdr:to>
      <xdr:col>2</xdr:col>
      <xdr:colOff>485774</xdr:colOff>
      <xdr:row>28</xdr:row>
      <xdr:rowOff>76199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47624</xdr:colOff>
      <xdr:row>3</xdr:row>
      <xdr:rowOff>66675</xdr:rowOff>
    </xdr:from>
    <xdr:to>
      <xdr:col>1</xdr:col>
      <xdr:colOff>3067049</xdr:colOff>
      <xdr:row>12</xdr:row>
      <xdr:rowOff>142875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47624</xdr:colOff>
      <xdr:row>17</xdr:row>
      <xdr:rowOff>66675</xdr:rowOff>
    </xdr:from>
    <xdr:to>
      <xdr:col>1</xdr:col>
      <xdr:colOff>3067049</xdr:colOff>
      <xdr:row>26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1</xdr:col>
      <xdr:colOff>3314700</xdr:colOff>
      <xdr:row>14</xdr:row>
      <xdr:rowOff>123825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19</xdr:row>
      <xdr:rowOff>0</xdr:rowOff>
    </xdr:from>
    <xdr:to>
      <xdr:col>1</xdr:col>
      <xdr:colOff>3314700</xdr:colOff>
      <xdr:row>29</xdr:row>
      <xdr:rowOff>123825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0.57231</cdr:x>
      <cdr:y>0.69617</cdr:y>
    </cdr:from>
    <cdr:to>
      <cdr:x>0.6765</cdr:x>
      <cdr:y>0.80579</cdr:y>
    </cdr:to>
    <cdr:sp macro="" textlink="">
      <cdr:nvSpPr>
        <cdr:cNvPr id="2" name="Textové pole 11"/>
        <cdr:cNvSpPr txBox="1"/>
      </cdr:nvSpPr>
      <cdr:spPr>
        <a:xfrm xmlns:a="http://schemas.openxmlformats.org/drawingml/2006/main">
          <a:off x="2408643" y="1551525"/>
          <a:ext cx="438499" cy="24430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sk-SK" sz="800" b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Book Antiqua" panose="02040602050305030304" pitchFamily="18" charset="0"/>
            </a:rPr>
            <a:t>MTO</a:t>
          </a:r>
          <a:endParaRPr lang="sk-SK" sz="1100"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73025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2724150" cy="2444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781051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302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182375</xdr:colOff>
      <xdr:row>4</xdr:row>
      <xdr:rowOff>47625</xdr:rowOff>
    </xdr:from>
    <xdr:to>
      <xdr:col>5</xdr:col>
      <xdr:colOff>54349</xdr:colOff>
      <xdr:row>17</xdr:row>
      <xdr:rowOff>91125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9524</xdr:colOff>
      <xdr:row>4</xdr:row>
      <xdr:rowOff>47623</xdr:rowOff>
    </xdr:from>
    <xdr:to>
      <xdr:col>15</xdr:col>
      <xdr:colOff>409574</xdr:colOff>
      <xdr:row>17</xdr:row>
      <xdr:rowOff>177523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27</xdr:row>
      <xdr:rowOff>19050</xdr:rowOff>
    </xdr:from>
    <xdr:to>
      <xdr:col>5</xdr:col>
      <xdr:colOff>33338</xdr:colOff>
      <xdr:row>41</xdr:row>
      <xdr:rowOff>62550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27</xdr:row>
      <xdr:rowOff>66674</xdr:rowOff>
    </xdr:from>
    <xdr:to>
      <xdr:col>15</xdr:col>
      <xdr:colOff>400050</xdr:colOff>
      <xdr:row>40</xdr:row>
      <xdr:rowOff>129899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0.57231</cdr:x>
      <cdr:y>0.67606</cdr:y>
    </cdr:from>
    <cdr:to>
      <cdr:x>0.6765</cdr:x>
      <cdr:y>0.78568</cdr:y>
    </cdr:to>
    <cdr:sp macro="" textlink="">
      <cdr:nvSpPr>
        <cdr:cNvPr id="2" name="Textové pole 11"/>
        <cdr:cNvSpPr txBox="1"/>
      </cdr:nvSpPr>
      <cdr:spPr>
        <a:xfrm xmlns:a="http://schemas.openxmlformats.org/drawingml/2006/main">
          <a:off x="2408643" y="1506703"/>
          <a:ext cx="438499" cy="24430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sk-SK" sz="800" b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Book Antiqua" panose="02040602050305030304" pitchFamily="18" charset="0"/>
            </a:rPr>
            <a:t>MTO</a:t>
          </a:r>
          <a:endParaRPr lang="sk-SK" sz="1100"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0.55896</cdr:x>
      <cdr:y>0.70981</cdr:y>
    </cdr:from>
    <cdr:to>
      <cdr:x>0.66315</cdr:x>
      <cdr:y>0.81943</cdr:y>
    </cdr:to>
    <cdr:sp macro="" textlink="">
      <cdr:nvSpPr>
        <cdr:cNvPr id="2" name="Textové pole 11"/>
        <cdr:cNvSpPr txBox="1"/>
      </cdr:nvSpPr>
      <cdr:spPr>
        <a:xfrm xmlns:a="http://schemas.openxmlformats.org/drawingml/2006/main">
          <a:off x="2352146" y="1701228"/>
          <a:ext cx="438441" cy="2627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sk-SK" sz="800" b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Book Antiqua" panose="02040602050305030304" pitchFamily="18" charset="0"/>
            </a:rPr>
            <a:t>MTO</a:t>
          </a:r>
          <a:endParaRPr lang="sk-SK" sz="1100"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0</xdr:rowOff>
    </xdr:from>
    <xdr:to>
      <xdr:col>2</xdr:col>
      <xdr:colOff>203200</xdr:colOff>
      <xdr:row>2</xdr:row>
      <xdr:rowOff>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9</xdr:col>
      <xdr:colOff>177053</xdr:colOff>
      <xdr:row>0</xdr:row>
      <xdr:rowOff>128868</xdr:rowOff>
    </xdr:from>
    <xdr:to>
      <xdr:col>9</xdr:col>
      <xdr:colOff>930089</xdr:colOff>
      <xdr:row>1</xdr:row>
      <xdr:rowOff>192368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7113494" y="128868"/>
          <a:ext cx="753036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22412</xdr:colOff>
      <xdr:row>2</xdr:row>
      <xdr:rowOff>145677</xdr:rowOff>
    </xdr:from>
    <xdr:to>
      <xdr:col>8</xdr:col>
      <xdr:colOff>537882</xdr:colOff>
      <xdr:row>21</xdr:row>
      <xdr:rowOff>54756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1411941</xdr:colOff>
      <xdr:row>2</xdr:row>
      <xdr:rowOff>168088</xdr:rowOff>
    </xdr:from>
    <xdr:to>
      <xdr:col>16</xdr:col>
      <xdr:colOff>448235</xdr:colOff>
      <xdr:row>21</xdr:row>
      <xdr:rowOff>77167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7" name="Zaoblený obdĺžnik 6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4763</xdr:rowOff>
    </xdr:from>
    <xdr:to>
      <xdr:col>2</xdr:col>
      <xdr:colOff>1514475</xdr:colOff>
      <xdr:row>17</xdr:row>
      <xdr:rowOff>114300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27</xdr:row>
      <xdr:rowOff>19050</xdr:rowOff>
    </xdr:from>
    <xdr:to>
      <xdr:col>2</xdr:col>
      <xdr:colOff>1514475</xdr:colOff>
      <xdr:row>42</xdr:row>
      <xdr:rowOff>128587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2</xdr:row>
      <xdr:rowOff>28575</xdr:rowOff>
    </xdr:from>
    <xdr:to>
      <xdr:col>11</xdr:col>
      <xdr:colOff>180975</xdr:colOff>
      <xdr:row>19</xdr:row>
      <xdr:rowOff>19050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9525</xdr:colOff>
      <xdr:row>32</xdr:row>
      <xdr:rowOff>9525</xdr:rowOff>
    </xdr:from>
    <xdr:to>
      <xdr:col>10</xdr:col>
      <xdr:colOff>600075</xdr:colOff>
      <xdr:row>48</xdr:row>
      <xdr:rowOff>95250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92075</xdr:rowOff>
    </xdr:to>
    <xdr:sp macro="" textlink="">
      <xdr:nvSpPr>
        <xdr:cNvPr id="9" name="Zaoblený obdĺžnik 8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123265</xdr:colOff>
      <xdr:row>3</xdr:row>
      <xdr:rowOff>-1</xdr:rowOff>
    </xdr:from>
    <xdr:to>
      <xdr:col>6</xdr:col>
      <xdr:colOff>44824</xdr:colOff>
      <xdr:row>23</xdr:row>
      <xdr:rowOff>166814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67236</xdr:colOff>
      <xdr:row>3</xdr:row>
      <xdr:rowOff>0</xdr:rowOff>
    </xdr:from>
    <xdr:to>
      <xdr:col>15</xdr:col>
      <xdr:colOff>224119</xdr:colOff>
      <xdr:row>23</xdr:row>
      <xdr:rowOff>166815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723901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1" y="50800"/>
          <a:ext cx="6731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212912</xdr:colOff>
      <xdr:row>18</xdr:row>
      <xdr:rowOff>179294</xdr:rowOff>
    </xdr:from>
    <xdr:to>
      <xdr:col>5</xdr:col>
      <xdr:colOff>302559</xdr:colOff>
      <xdr:row>42</xdr:row>
      <xdr:rowOff>17370</xdr:rowOff>
    </xdr:to>
    <xdr:graphicFrame macro="">
      <xdr:nvGraphicFramePr>
        <xdr:cNvPr id="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89646</xdr:colOff>
      <xdr:row>19</xdr:row>
      <xdr:rowOff>0</xdr:rowOff>
    </xdr:from>
    <xdr:to>
      <xdr:col>15</xdr:col>
      <xdr:colOff>515470</xdr:colOff>
      <xdr:row>40</xdr:row>
      <xdr:rowOff>133350</xdr:rowOff>
    </xdr:to>
    <xdr:graphicFrame macro="">
      <xdr:nvGraphicFramePr>
        <xdr:cNvPr id="8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0.58026</cdr:x>
      <cdr:y>0.70046</cdr:y>
    </cdr:from>
    <cdr:to>
      <cdr:x>0.68445</cdr:x>
      <cdr:y>0.81008</cdr:y>
    </cdr:to>
    <cdr:sp macro="" textlink="">
      <cdr:nvSpPr>
        <cdr:cNvPr id="2" name="Textové pole 11"/>
        <cdr:cNvSpPr txBox="1"/>
      </cdr:nvSpPr>
      <cdr:spPr>
        <a:xfrm xmlns:a="http://schemas.openxmlformats.org/drawingml/2006/main">
          <a:off x="2441794" y="1678816"/>
          <a:ext cx="438441" cy="2627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noFill/>
        </a:ln>
        <a:effectLst xmlns:a="http://schemas.openxmlformats.org/drawingml/2006/main"/>
      </cdr:spPr>
      <cdr:style>
        <a:lnRef xmlns:a="http://schemas.openxmlformats.org/drawingml/2006/main" idx="0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/>
        <a:p xmlns:a="http://schemas.openxmlformats.org/drawingml/2006/main">
          <a:pPr>
            <a:spcAft>
              <a:spcPts val="0"/>
            </a:spcAft>
          </a:pPr>
          <a:r>
            <a:rPr lang="sk-SK" sz="800" b="1">
              <a:effectLst/>
              <a:latin typeface="Arial Narrow" panose="020B0606020202030204" pitchFamily="34" charset="0"/>
              <a:ea typeface="Times New Roman" panose="02020603050405020304" pitchFamily="18" charset="0"/>
              <a:cs typeface="Book Antiqua" panose="02040602050305030304" pitchFamily="18" charset="0"/>
            </a:rPr>
            <a:t>MTO</a:t>
          </a:r>
          <a:endParaRPr lang="sk-SK" sz="1100">
            <a:effectLst/>
            <a:latin typeface="Arial Narrow" panose="020B0606020202030204" pitchFamily="34" charset="0"/>
            <a:ea typeface="Times New Roman" panose="02020603050405020304" pitchFamily="18" charset="0"/>
            <a:cs typeface="Book Antiqua" panose="02040602050305030304" pitchFamily="18" charset="0"/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0.03622</cdr:x>
      <cdr:y>0.03826</cdr:y>
    </cdr:from>
    <cdr:to>
      <cdr:x>0.2528</cdr:x>
      <cdr:y>0.20674</cdr:y>
    </cdr:to>
    <cdr:sp macro="" textlink="">
      <cdr:nvSpPr>
        <cdr:cNvPr id="3993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1940" y="168730"/>
          <a:ext cx="848761" cy="7430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Pro-cyclical</a:t>
          </a:r>
          <a:r>
            <a:rPr lang="sk-SK" sz="800" b="1" i="0" strike="noStrike" baseline="0">
              <a:solidFill>
                <a:sysClr val="windowText" lastClr="000000"/>
              </a:solidFill>
              <a:latin typeface="Arial Narrow"/>
            </a:rPr>
            <a:t> fiscal consolidation</a:t>
          </a:r>
        </a:p>
        <a:p xmlns:a="http://schemas.openxmlformats.org/drawingml/2006/main">
          <a:pPr algn="l" rtl="1">
            <a:defRPr sz="1000"/>
          </a:pPr>
          <a:endParaRPr lang="sk-SK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0.03987</cdr:x>
      <cdr:y>0.85885</cdr:y>
    </cdr:from>
    <cdr:to>
      <cdr:x>0.25943</cdr:x>
      <cdr:y>0.98035</cdr:y>
    </cdr:to>
    <cdr:sp macro="" textlink="">
      <cdr:nvSpPr>
        <cdr:cNvPr id="270339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245" y="3787593"/>
          <a:ext cx="860434" cy="535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Counter-cyclical</a:t>
          </a:r>
          <a:r>
            <a:rPr lang="cs-CZ" sz="800" b="1" i="0" strike="noStrike" baseline="0">
              <a:solidFill>
                <a:sysClr val="windowText" lastClr="000000"/>
              </a:solidFill>
              <a:latin typeface="Arial Narrow"/>
            </a:rPr>
            <a:t> fiscal expansion</a:t>
          </a:r>
          <a:endParaRPr lang="cs-CZ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0.58622</cdr:x>
      <cdr:y>0.01093</cdr:y>
    </cdr:from>
    <cdr:to>
      <cdr:x>0.70367</cdr:x>
      <cdr:y>0.62447</cdr:y>
    </cdr:to>
    <cdr:sp macro="" textlink="">
      <cdr:nvSpPr>
        <cdr:cNvPr id="30618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1569967" y="981850"/>
          <a:ext cx="2381589" cy="50276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27432" tIns="27432" rIns="0" bIns="0" anchor="ctr" anchorCtr="1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štrukturálneho salda (% HDP) -  </a:t>
          </a:r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prim. structural balance</a:t>
          </a:r>
          <a:r>
            <a:rPr lang="en-US" sz="800" b="1" i="0" baseline="0">
              <a:effectLst/>
              <a:latin typeface="+mn-lt"/>
              <a:ea typeface="+mn-ea"/>
              <a:cs typeface="+mn-cs"/>
            </a:rPr>
            <a:t> (% of GDP)</a:t>
          </a:r>
          <a:endParaRPr lang="sk-SK" sz="8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0.75713</cdr:x>
      <cdr:y>0.03677</cdr:y>
    </cdr:from>
    <cdr:to>
      <cdr:x>0.98639</cdr:x>
      <cdr:y>0.1581</cdr:y>
    </cdr:to>
    <cdr:sp macro="" textlink="">
      <cdr:nvSpPr>
        <cdr:cNvPr id="8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7078" y="162158"/>
          <a:ext cx="898442" cy="535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Counter-cyclical fiscal consolidation</a:t>
          </a:r>
        </a:p>
      </cdr:txBody>
    </cdr:sp>
  </cdr:relSizeAnchor>
  <cdr:relSizeAnchor xmlns:cdr="http://schemas.openxmlformats.org/drawingml/2006/chartDrawing">
    <cdr:from>
      <cdr:x>0.73892</cdr:x>
      <cdr:y>0.83309</cdr:y>
    </cdr:from>
    <cdr:to>
      <cdr:x>0.97976</cdr:x>
      <cdr:y>0.96003</cdr:y>
    </cdr:to>
    <cdr:sp macro="" textlink="">
      <cdr:nvSpPr>
        <cdr:cNvPr id="7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95702" y="3674001"/>
          <a:ext cx="943841" cy="5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Pro-cyclical fiscal expansion</a:t>
          </a:r>
        </a:p>
      </cdr:txBody>
    </cdr:sp>
  </cdr:relSizeAnchor>
  <cdr:relSizeAnchor xmlns:cdr="http://schemas.openxmlformats.org/drawingml/2006/chartDrawing">
    <cdr:from>
      <cdr:x>0</cdr:x>
      <cdr:y>0.71425</cdr:y>
    </cdr:from>
    <cdr:to>
      <cdr:x>0.71769</cdr:x>
      <cdr:y>0.76486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0" y="3149888"/>
          <a:ext cx="2812531" cy="2231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 b="1"/>
            <a:t>Produčná medzera (% HDP) - Output Gap ( </a:t>
          </a:r>
          <a:r>
            <a:rPr lang="en-US" sz="800" b="1"/>
            <a:t>%</a:t>
          </a:r>
          <a:r>
            <a:rPr lang="en-US" sz="800" b="1" baseline="0"/>
            <a:t> of GDP)</a:t>
          </a:r>
          <a:endParaRPr lang="sk-SK" sz="800" b="1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0.02222</cdr:x>
      <cdr:y>0.76553</cdr:y>
    </cdr:from>
    <cdr:to>
      <cdr:x>0.56123</cdr:x>
      <cdr:y>0.81622</cdr:y>
    </cdr:to>
    <cdr:sp macro="" textlink="">
      <cdr:nvSpPr>
        <cdr:cNvPr id="9" name="BlokTextu 3"/>
        <cdr:cNvSpPr txBox="1"/>
      </cdr:nvSpPr>
      <cdr:spPr>
        <a:xfrm xmlns:a="http://schemas.openxmlformats.org/drawingml/2006/main">
          <a:off x="99441" y="3164599"/>
          <a:ext cx="2411695" cy="2095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∆ produkčnej medzery (p.b.)</a:t>
          </a:r>
          <a:r>
            <a:rPr lang="en-US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</a:t>
          </a:r>
          <a:r>
            <a:rPr lang="sk-SK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∆ </a:t>
          </a:r>
          <a:r>
            <a:rPr lang="en-US" sz="8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 gap (p.p.)</a:t>
          </a:r>
          <a:endParaRPr lang="sk-SK" sz="800" b="1"/>
        </a:p>
      </cdr:txBody>
    </cdr:sp>
  </cdr:relSizeAnchor>
  <cdr:relSizeAnchor xmlns:cdr="http://schemas.openxmlformats.org/drawingml/2006/chartDrawing">
    <cdr:from>
      <cdr:x>0.01808</cdr:x>
      <cdr:y>0.01994</cdr:y>
    </cdr:from>
    <cdr:to>
      <cdr:x>0.20778</cdr:x>
      <cdr:y>0.19968</cdr:y>
    </cdr:to>
    <cdr:sp macro="" textlink="">
      <cdr:nvSpPr>
        <cdr:cNvPr id="10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760" y="74463"/>
          <a:ext cx="805342" cy="6711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Pro-cyklická </a:t>
          </a:r>
        </a:p>
        <a:p xmlns:a="http://schemas.openxmlformats.org/drawingml/2006/main">
          <a:pPr algn="l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Pro-cyclical</a:t>
          </a:r>
          <a:r>
            <a:rPr lang="sk-SK" sz="800" b="1" i="0" strike="noStrike" baseline="0">
              <a:solidFill>
                <a:sysClr val="windowText" lastClr="000000"/>
              </a:solidFill>
              <a:latin typeface="Arial Narrow"/>
            </a:rPr>
            <a:t> fiscal consolidation</a:t>
          </a:r>
        </a:p>
        <a:p xmlns:a="http://schemas.openxmlformats.org/drawingml/2006/main">
          <a:pPr algn="l" rtl="1">
            <a:defRPr sz="1000"/>
          </a:pPr>
          <a:endParaRPr lang="sk-SK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0.76611</cdr:x>
      <cdr:y>0.02276</cdr:y>
    </cdr:from>
    <cdr:to>
      <cdr:x>0.96691</cdr:x>
      <cdr:y>0.1522</cdr:y>
    </cdr:to>
    <cdr:sp macro="" textlink="">
      <cdr:nvSpPr>
        <cdr:cNvPr id="11" name="Rectangl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27845" y="94096"/>
          <a:ext cx="898442" cy="5350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Proti-cyklická </a:t>
          </a:r>
        </a:p>
        <a:p xmlns:a="http://schemas.openxmlformats.org/drawingml/2006/main">
          <a:pPr algn="r" rtl="1">
            <a:defRPr sz="1000"/>
          </a:pPr>
          <a:r>
            <a:rPr lang="sk-SK" sz="800" b="1" i="0" strike="noStrike">
              <a:solidFill>
                <a:sysClr val="windowText" lastClr="000000"/>
              </a:solidFill>
              <a:latin typeface="Arial Narrow"/>
            </a:rPr>
            <a:t>fiškálna reštrikcia - Counter-cyclical fiscal consolidation</a:t>
          </a:r>
        </a:p>
      </cdr:txBody>
    </cdr:sp>
  </cdr:relSizeAnchor>
  <cdr:relSizeAnchor xmlns:cdr="http://schemas.openxmlformats.org/drawingml/2006/chartDrawing">
    <cdr:from>
      <cdr:x>0.00555</cdr:x>
      <cdr:y>0.86692</cdr:y>
    </cdr:from>
    <cdr:to>
      <cdr:x>0.19785</cdr:x>
      <cdr:y>0.99654</cdr:y>
    </cdr:to>
    <cdr:sp macro="" textlink="">
      <cdr:nvSpPr>
        <cdr:cNvPr id="1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823" y="3583709"/>
          <a:ext cx="860434" cy="5358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Proti-cyklická</a:t>
          </a:r>
        </a:p>
        <a:p xmlns:a="http://schemas.openxmlformats.org/drawingml/2006/main">
          <a:pPr algn="l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Counter-cyclical</a:t>
          </a:r>
          <a:r>
            <a:rPr lang="cs-CZ" sz="800" b="1" i="0" strike="noStrike" baseline="0">
              <a:solidFill>
                <a:sysClr val="windowText" lastClr="000000"/>
              </a:solidFill>
              <a:latin typeface="Arial Narrow"/>
            </a:rPr>
            <a:t> fiscal expansion</a:t>
          </a:r>
          <a:endParaRPr lang="cs-CZ" sz="800" b="1" i="0" strike="noStrike">
            <a:solidFill>
              <a:sysClr val="windowText" lastClr="000000"/>
            </a:solidFill>
            <a:latin typeface="Arial Narrow"/>
          </a:endParaRPr>
        </a:p>
      </cdr:txBody>
    </cdr:sp>
  </cdr:relSizeAnchor>
  <cdr:relSizeAnchor xmlns:cdr="http://schemas.openxmlformats.org/drawingml/2006/chartDrawing">
    <cdr:from>
      <cdr:x>0.74482</cdr:x>
      <cdr:y>0.85854</cdr:y>
    </cdr:from>
    <cdr:to>
      <cdr:x>0.95577</cdr:x>
      <cdr:y>0.99396</cdr:y>
    </cdr:to>
    <cdr:sp macro="" textlink="">
      <cdr:nvSpPr>
        <cdr:cNvPr id="13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595" y="3549073"/>
          <a:ext cx="943841" cy="5598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27432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rgbClr val="7030A0"/>
              </a:solidFill>
              <a:latin typeface="Arial Narrow"/>
            </a:rPr>
            <a:t> </a:t>
          </a: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Pro-cyklická</a:t>
          </a:r>
        </a:p>
        <a:p xmlns:a="http://schemas.openxmlformats.org/drawingml/2006/main">
          <a:pPr algn="r" rtl="1">
            <a:defRPr sz="1000"/>
          </a:pPr>
          <a:r>
            <a:rPr lang="cs-CZ" sz="800" b="1" i="0" strike="noStrike">
              <a:solidFill>
                <a:sysClr val="windowText" lastClr="000000"/>
              </a:solidFill>
              <a:latin typeface="Arial Narrow"/>
            </a:rPr>
            <a:t>fiškálna expanzia - Pro-cyclical fiscal expansion</a:t>
          </a:r>
        </a:p>
      </cdr:txBody>
    </cdr:sp>
  </cdr:relSizeAnchor>
  <cdr:relSizeAnchor xmlns:cdr="http://schemas.openxmlformats.org/drawingml/2006/chartDrawing">
    <cdr:from>
      <cdr:x>0.42163</cdr:x>
      <cdr:y>0.06047</cdr:y>
    </cdr:from>
    <cdr:to>
      <cdr:x>0.52449</cdr:x>
      <cdr:y>0.715</cdr:y>
    </cdr:to>
    <cdr:sp macro="" textlink="">
      <cdr:nvSpPr>
        <cdr:cNvPr id="14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16200000">
          <a:off x="763767" y="1372719"/>
          <a:ext cx="2705758" cy="4602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="vert270" wrap="square" lIns="27432" tIns="27432" rIns="0" bIns="0" anchor="ctr" anchorCtr="1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sk-SK" sz="800" b="1" i="0" u="none" strike="noStrike" baseline="0">
              <a:solidFill>
                <a:srgbClr val="000000"/>
              </a:solidFill>
              <a:latin typeface="Arial Narrow"/>
            </a:rPr>
            <a:t>∆ prim. štrukturálneho salda (% HDP) -  </a:t>
          </a:r>
          <a:r>
            <a:rPr lang="sk-SK" sz="800" b="1" i="0" baseline="0">
              <a:effectLst/>
              <a:latin typeface="+mn-lt"/>
              <a:ea typeface="+mn-ea"/>
              <a:cs typeface="+mn-cs"/>
            </a:rPr>
            <a:t>∆ prim. structural balance</a:t>
          </a:r>
          <a:r>
            <a:rPr lang="en-US" sz="800" b="1" i="0" baseline="0">
              <a:effectLst/>
              <a:latin typeface="+mn-lt"/>
              <a:ea typeface="+mn-ea"/>
              <a:cs typeface="+mn-cs"/>
            </a:rPr>
            <a:t> (% of GDP)</a:t>
          </a:r>
          <a:endParaRPr lang="sk-SK" sz="8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4</xdr:row>
      <xdr:rowOff>66675</xdr:rowOff>
    </xdr:from>
    <xdr:to>
      <xdr:col>6</xdr:col>
      <xdr:colOff>371475</xdr:colOff>
      <xdr:row>19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552450</xdr:colOff>
      <xdr:row>4</xdr:row>
      <xdr:rowOff>142874</xdr:rowOff>
    </xdr:from>
    <xdr:to>
      <xdr:col>16</xdr:col>
      <xdr:colOff>47625</xdr:colOff>
      <xdr:row>19</xdr:row>
      <xdr:rowOff>76199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1</xdr:col>
      <xdr:colOff>63500</xdr:colOff>
      <xdr:row>2</xdr:row>
      <xdr:rowOff>0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0" y="190500"/>
          <a:ext cx="67310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57150</xdr:colOff>
      <xdr:row>20</xdr:row>
      <xdr:rowOff>95250</xdr:rowOff>
    </xdr:from>
    <xdr:to>
      <xdr:col>6</xdr:col>
      <xdr:colOff>247650</xdr:colOff>
      <xdr:row>36</xdr:row>
      <xdr:rowOff>28575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11</xdr:col>
      <xdr:colOff>0</xdr:colOff>
      <xdr:row>3</xdr:row>
      <xdr:rowOff>0</xdr:rowOff>
    </xdr:from>
    <xdr:to>
      <xdr:col>18</xdr:col>
      <xdr:colOff>589617</xdr:colOff>
      <xdr:row>24</xdr:row>
      <xdr:rowOff>31486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60325</xdr:rowOff>
    </xdr:from>
    <xdr:to>
      <xdr:col>0</xdr:col>
      <xdr:colOff>619125</xdr:colOff>
      <xdr:row>1</xdr:row>
      <xdr:rowOff>123825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0" y="60325"/>
          <a:ext cx="61912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44450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714375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663575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9526</xdr:colOff>
      <xdr:row>5</xdr:row>
      <xdr:rowOff>9525</xdr:rowOff>
    </xdr:from>
    <xdr:to>
      <xdr:col>3</xdr:col>
      <xdr:colOff>57151</xdr:colOff>
      <xdr:row>15</xdr:row>
      <xdr:rowOff>16852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28575</xdr:rowOff>
    </xdr:from>
    <xdr:to>
      <xdr:col>3</xdr:col>
      <xdr:colOff>380999</xdr:colOff>
      <xdr:row>37</xdr:row>
      <xdr:rowOff>152400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537881</xdr:colOff>
      <xdr:row>4</xdr:row>
      <xdr:rowOff>156882</xdr:rowOff>
    </xdr:from>
    <xdr:to>
      <xdr:col>10</xdr:col>
      <xdr:colOff>484654</xdr:colOff>
      <xdr:row>14</xdr:row>
      <xdr:rowOff>164209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33617</xdr:colOff>
      <xdr:row>25</xdr:row>
      <xdr:rowOff>145676</xdr:rowOff>
    </xdr:from>
    <xdr:to>
      <xdr:col>10</xdr:col>
      <xdr:colOff>585507</xdr:colOff>
      <xdr:row>37</xdr:row>
      <xdr:rowOff>145676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2</xdr:row>
      <xdr:rowOff>0</xdr:rowOff>
    </xdr:from>
    <xdr:to>
      <xdr:col>12</xdr:col>
      <xdr:colOff>19050</xdr:colOff>
      <xdr:row>21</xdr:row>
      <xdr:rowOff>51009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53975</xdr:colOff>
      <xdr:row>1</xdr:row>
      <xdr:rowOff>42333</xdr:rowOff>
    </xdr:to>
    <xdr:sp macro="" textlink="">
      <xdr:nvSpPr>
        <xdr:cNvPr id="3" name="Zaoblený obdĺžnik 2">
          <a:hlinkClick xmlns:r="http://schemas.openxmlformats.org/officeDocument/2006/relationships" r:id="rId2"/>
        </xdr:cNvPr>
        <xdr:cNvSpPr/>
      </xdr:nvSpPr>
      <xdr:spPr>
        <a:xfrm>
          <a:off x="0" y="0"/>
          <a:ext cx="663575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12</xdr:col>
      <xdr:colOff>289983</xdr:colOff>
      <xdr:row>54</xdr:row>
      <xdr:rowOff>51008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1</xdr:row>
      <xdr:rowOff>74706</xdr:rowOff>
    </xdr:to>
    <xdr:sp macro="" textlink="">
      <xdr:nvSpPr>
        <xdr:cNvPr id="4" name="Zaoblený obdĺžnik 3">
          <a:hlinkClick xmlns:r="http://schemas.openxmlformats.org/officeDocument/2006/relationships" r:id="rId1"/>
        </xdr:cNvPr>
        <xdr:cNvSpPr/>
      </xdr:nvSpPr>
      <xdr:spPr>
        <a:xfrm>
          <a:off x="0" y="0"/>
          <a:ext cx="757518" cy="265206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13</xdr:col>
      <xdr:colOff>571499</xdr:colOff>
      <xdr:row>7</xdr:row>
      <xdr:rowOff>179294</xdr:rowOff>
    </xdr:from>
    <xdr:to>
      <xdr:col>24</xdr:col>
      <xdr:colOff>395205</xdr:colOff>
      <xdr:row>27</xdr:row>
      <xdr:rowOff>159794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56029</xdr:colOff>
      <xdr:row>29</xdr:row>
      <xdr:rowOff>145676</xdr:rowOff>
    </xdr:from>
    <xdr:to>
      <xdr:col>24</xdr:col>
      <xdr:colOff>484852</xdr:colOff>
      <xdr:row>49</xdr:row>
      <xdr:rowOff>135700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819151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7683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3</xdr:row>
      <xdr:rowOff>66675</xdr:rowOff>
    </xdr:from>
    <xdr:to>
      <xdr:col>6</xdr:col>
      <xdr:colOff>257175</xdr:colOff>
      <xdr:row>17</xdr:row>
      <xdr:rowOff>57150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188819</xdr:colOff>
      <xdr:row>3</xdr:row>
      <xdr:rowOff>94129</xdr:rowOff>
    </xdr:from>
    <xdr:to>
      <xdr:col>18</xdr:col>
      <xdr:colOff>345141</xdr:colOff>
      <xdr:row>17</xdr:row>
      <xdr:rowOff>97491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63500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152400</xdr:colOff>
      <xdr:row>1</xdr:row>
      <xdr:rowOff>42333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591300" y="0"/>
          <a:ext cx="76200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50801</xdr:colOff>
      <xdr:row>0</xdr:row>
      <xdr:rowOff>50800</xdr:rowOff>
    </xdr:from>
    <xdr:to>
      <xdr:col>0</xdr:col>
      <xdr:colOff>666751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1" y="50800"/>
          <a:ext cx="61595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133350</xdr:colOff>
      <xdr:row>3</xdr:row>
      <xdr:rowOff>57150</xdr:rowOff>
    </xdr:from>
    <xdr:to>
      <xdr:col>3</xdr:col>
      <xdr:colOff>457200</xdr:colOff>
      <xdr:row>19</xdr:row>
      <xdr:rowOff>31750</xdr:rowOff>
    </xdr:to>
    <xdr:graphicFrame macro="">
      <xdr:nvGraphicFramePr>
        <xdr:cNvPr id="3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13</xdr:col>
      <xdr:colOff>504825</xdr:colOff>
      <xdr:row>17</xdr:row>
      <xdr:rowOff>104775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104775</xdr:colOff>
      <xdr:row>3</xdr:row>
      <xdr:rowOff>19050</xdr:rowOff>
    </xdr:from>
    <xdr:to>
      <xdr:col>8</xdr:col>
      <xdr:colOff>329141</xdr:colOff>
      <xdr:row>20</xdr:row>
      <xdr:rowOff>135467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8</xdr:col>
      <xdr:colOff>224366</xdr:colOff>
      <xdr:row>42</xdr:row>
      <xdr:rowOff>116417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0.45017</cdr:x>
      <cdr:y>0.06814</cdr:y>
    </cdr:from>
    <cdr:to>
      <cdr:x>0.62851</cdr:x>
      <cdr:y>0.12492</cdr:y>
    </cdr:to>
    <cdr:sp macro="" textlink="">
      <cdr:nvSpPr>
        <cdr:cNvPr id="3" name="BlokTextu 2"/>
        <cdr:cNvSpPr txBox="1"/>
      </cdr:nvSpPr>
      <cdr:spPr>
        <a:xfrm xmlns:a="http://schemas.openxmlformats.org/drawingml/2006/main">
          <a:off x="2476500" y="228600"/>
          <a:ext cx="98107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sk-SK" sz="1100"/>
        </a:p>
      </cdr:txBody>
    </cdr:sp>
  </cdr:relSizeAnchor>
  <cdr:relSizeAnchor xmlns:cdr="http://schemas.openxmlformats.org/drawingml/2006/chartDrawing">
    <cdr:from>
      <cdr:x>0.62945</cdr:x>
      <cdr:y>0.0186</cdr:y>
    </cdr:from>
    <cdr:to>
      <cdr:x>0.92206</cdr:x>
      <cdr:y>0.10378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3478716" y="55722"/>
          <a:ext cx="1617143" cy="25512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800">
              <a:latin typeface="+mn-lt"/>
            </a:rPr>
            <a:t>12m</a:t>
          </a:r>
          <a:r>
            <a:rPr lang="sk-SK" sz="800" baseline="0">
              <a:latin typeface="+mn-lt"/>
            </a:rPr>
            <a:t> rolling average</a:t>
          </a:r>
          <a:endParaRPr lang="sk-SK" sz="800">
            <a:latin typeface="+mn-lt"/>
          </a:endParaRP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578784</xdr:colOff>
      <xdr:row>1</xdr:row>
      <xdr:rowOff>41088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1188384" cy="231588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4</xdr:col>
      <xdr:colOff>463127</xdr:colOff>
      <xdr:row>16</xdr:row>
      <xdr:rowOff>91440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4</xdr:col>
      <xdr:colOff>581872</xdr:colOff>
      <xdr:row>34</xdr:row>
      <xdr:rowOff>27305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555625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0</xdr:colOff>
      <xdr:row>3</xdr:row>
      <xdr:rowOff>28574</xdr:rowOff>
    </xdr:from>
    <xdr:to>
      <xdr:col>3</xdr:col>
      <xdr:colOff>381000</xdr:colOff>
      <xdr:row>15</xdr:row>
      <xdr:rowOff>123824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847724</xdr:colOff>
      <xdr:row>3</xdr:row>
      <xdr:rowOff>9524</xdr:rowOff>
    </xdr:from>
    <xdr:to>
      <xdr:col>5</xdr:col>
      <xdr:colOff>409575</xdr:colOff>
      <xdr:row>15</xdr:row>
      <xdr:rowOff>66674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3</xdr:col>
      <xdr:colOff>381000</xdr:colOff>
      <xdr:row>34</xdr:row>
      <xdr:rowOff>104775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22</xdr:row>
      <xdr:rowOff>76200</xdr:rowOff>
    </xdr:from>
    <xdr:to>
      <xdr:col>5</xdr:col>
      <xdr:colOff>457201</xdr:colOff>
      <xdr:row>34</xdr:row>
      <xdr:rowOff>142875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812800</xdr:colOff>
      <xdr:row>1</xdr:row>
      <xdr:rowOff>114300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207465</xdr:colOff>
      <xdr:row>14</xdr:row>
      <xdr:rowOff>101072</xdr:rowOff>
    </xdr:from>
    <xdr:to>
      <xdr:col>5</xdr:col>
      <xdr:colOff>332790</xdr:colOff>
      <xdr:row>27</xdr:row>
      <xdr:rowOff>144572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251011</xdr:colOff>
      <xdr:row>37</xdr:row>
      <xdr:rowOff>75514</xdr:rowOff>
    </xdr:from>
    <xdr:to>
      <xdr:col>6</xdr:col>
      <xdr:colOff>22792</xdr:colOff>
      <xdr:row>50</xdr:row>
      <xdr:rowOff>162593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124239</xdr:colOff>
      <xdr:row>0</xdr:row>
      <xdr:rowOff>91108</xdr:rowOff>
    </xdr:from>
    <xdr:to>
      <xdr:col>1</xdr:col>
      <xdr:colOff>886239</xdr:colOff>
      <xdr:row>1</xdr:row>
      <xdr:rowOff>154608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124239" y="91108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0.5245</cdr:x>
      <cdr:y>0.34716</cdr:y>
    </cdr:from>
    <cdr:to>
      <cdr:x>0.85353</cdr:x>
      <cdr:y>0.43384</cdr:y>
    </cdr:to>
    <cdr:sp macro="" textlink="">
      <cdr:nvSpPr>
        <cdr:cNvPr id="2" name="BlokTextu 3"/>
        <cdr:cNvSpPr txBox="1"/>
      </cdr:nvSpPr>
      <cdr:spPr>
        <a:xfrm xmlns:a="http://schemas.openxmlformats.org/drawingml/2006/main">
          <a:off x="1929200" y="788877"/>
          <a:ext cx="1210221" cy="196967"/>
        </a:xfrm>
        <a:prstGeom xmlns:a="http://schemas.openxmlformats.org/drawingml/2006/main" prst="rect">
          <a:avLst/>
        </a:prstGeom>
        <a:solidFill xmlns:a="http://schemas.openxmlformats.org/drawingml/2006/main">
          <a:srgbClr val="FFFFAF"/>
        </a:solidFill>
        <a:ln xmlns:a="http://schemas.openxmlformats.org/drawingml/2006/main" w="9525" cmpd="sng">
          <a:solidFill>
            <a:srgbClr val="FFFFAF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Medium risk</a:t>
          </a:r>
        </a:p>
      </cdr:txBody>
    </cdr:sp>
  </cdr:relSizeAnchor>
  <cdr:relSizeAnchor xmlns:cdr="http://schemas.openxmlformats.org/drawingml/2006/chartDrawing">
    <cdr:from>
      <cdr:x>0.15538</cdr:x>
      <cdr:y>0.51274</cdr:y>
    </cdr:from>
    <cdr:to>
      <cdr:x>0.40037</cdr:x>
      <cdr:y>0.60805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571529" y="1165135"/>
          <a:ext cx="901110" cy="216578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/>
        </a:solidFill>
        <a:ln xmlns:a="http://schemas.openxmlformats.org/drawingml/2006/main" w="9525" cmpd="sng">
          <a:solidFill>
            <a:schemeClr val="accent3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Low risk</a:t>
          </a:r>
        </a:p>
      </cdr:txBody>
    </cdr:sp>
  </cdr:relSizeAnchor>
  <cdr:relSizeAnchor xmlns:cdr="http://schemas.openxmlformats.org/drawingml/2006/chartDrawing">
    <cdr:from>
      <cdr:x>0.5355</cdr:x>
      <cdr:y>0.17745</cdr:y>
    </cdr:from>
    <cdr:to>
      <cdr:x>0.81416</cdr:x>
      <cdr:y>0.27477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1969656" y="403233"/>
          <a:ext cx="1024954" cy="22114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 w="9525" cmpd="sng">
          <a:solidFill>
            <a:schemeClr val="accent6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High risk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0.62171</cdr:x>
      <cdr:y>0.09575</cdr:y>
    </cdr:from>
    <cdr:to>
      <cdr:x>0.8891</cdr:x>
      <cdr:y>0.19107</cdr:y>
    </cdr:to>
    <cdr:sp macro="" textlink="">
      <cdr:nvSpPr>
        <cdr:cNvPr id="3" name="BlokTextu 3"/>
        <cdr:cNvSpPr txBox="1"/>
      </cdr:nvSpPr>
      <cdr:spPr>
        <a:xfrm xmlns:a="http://schemas.openxmlformats.org/drawingml/2006/main">
          <a:off x="2022061" y="241300"/>
          <a:ext cx="869674" cy="24019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 w="9525" cmpd="sng">
          <a:solidFill>
            <a:schemeClr val="accent6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High risk</a:t>
          </a:r>
        </a:p>
      </cdr:txBody>
    </cdr:sp>
  </cdr:relSizeAnchor>
  <cdr:relSizeAnchor xmlns:cdr="http://schemas.openxmlformats.org/drawingml/2006/chartDrawing">
    <cdr:from>
      <cdr:x>0.61407</cdr:x>
      <cdr:y>0.25352</cdr:y>
    </cdr:from>
    <cdr:to>
      <cdr:x>0.89182</cdr:x>
      <cdr:y>0.34883</cdr:y>
    </cdr:to>
    <cdr:sp macro="" textlink="">
      <cdr:nvSpPr>
        <cdr:cNvPr id="4" name="BlokTextu 3"/>
        <cdr:cNvSpPr txBox="1"/>
      </cdr:nvSpPr>
      <cdr:spPr>
        <a:xfrm xmlns:a="http://schemas.openxmlformats.org/drawingml/2006/main">
          <a:off x="1997213" y="638865"/>
          <a:ext cx="903357" cy="240195"/>
        </a:xfrm>
        <a:prstGeom xmlns:a="http://schemas.openxmlformats.org/drawingml/2006/main" prst="rect">
          <a:avLst/>
        </a:prstGeom>
        <a:solidFill xmlns:a="http://schemas.openxmlformats.org/drawingml/2006/main">
          <a:srgbClr val="FFFFAF"/>
        </a:solidFill>
        <a:ln xmlns:a="http://schemas.openxmlformats.org/drawingml/2006/main" w="9525" cmpd="sng">
          <a:solidFill>
            <a:srgbClr val="FFFFAF"/>
          </a:solidFill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Medium risk</a:t>
          </a:r>
        </a:p>
      </cdr:txBody>
    </cdr:sp>
  </cdr:relSizeAnchor>
  <cdr:relSizeAnchor xmlns:cdr="http://schemas.openxmlformats.org/drawingml/2006/chartDrawing">
    <cdr:from>
      <cdr:x>0.84265</cdr:x>
      <cdr:y>0.57883</cdr:y>
    </cdr:from>
    <cdr:to>
      <cdr:x>1</cdr:x>
      <cdr:y>0.75809</cdr:y>
    </cdr:to>
    <cdr:sp macro="" textlink="">
      <cdr:nvSpPr>
        <cdr:cNvPr id="5" name="BlokTextu 3"/>
        <cdr:cNvSpPr txBox="1"/>
      </cdr:nvSpPr>
      <cdr:spPr>
        <a:xfrm xmlns:a="http://schemas.openxmlformats.org/drawingml/2006/main">
          <a:off x="2825564" y="1317252"/>
          <a:ext cx="527617" cy="407932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3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k-SK" sz="1000" b="1">
              <a:latin typeface="Arial Narrow" panose="020B0606020202030204" pitchFamily="34" charset="0"/>
            </a:rPr>
            <a:t>Low risk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</xdr:row>
      <xdr:rowOff>15663</xdr:rowOff>
    </xdr:from>
    <xdr:to>
      <xdr:col>1</xdr:col>
      <xdr:colOff>127000</xdr:colOff>
      <xdr:row>17</xdr:row>
      <xdr:rowOff>137583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22860</xdr:colOff>
      <xdr:row>1</xdr:row>
      <xdr:rowOff>60959</xdr:rowOff>
    </xdr:from>
    <xdr:to>
      <xdr:col>2</xdr:col>
      <xdr:colOff>4286250</xdr:colOff>
      <xdr:row>17</xdr:row>
      <xdr:rowOff>137582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0</xdr:row>
      <xdr:rowOff>0</xdr:rowOff>
    </xdr:from>
    <xdr:to>
      <xdr:col>4</xdr:col>
      <xdr:colOff>148167</xdr:colOff>
      <xdr:row>0</xdr:row>
      <xdr:rowOff>232833</xdr:rowOff>
    </xdr:to>
    <xdr:sp macro="" textlink="">
      <xdr:nvSpPr>
        <xdr:cNvPr id="4" name="Zaoblený obdĺžnik 3">
          <a:hlinkClick xmlns:r="http://schemas.openxmlformats.org/officeDocument/2006/relationships" r:id="rId3"/>
        </xdr:cNvPr>
        <xdr:cNvSpPr/>
      </xdr:nvSpPr>
      <xdr:spPr>
        <a:xfrm>
          <a:off x="6339417" y="0"/>
          <a:ext cx="76200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10</xdr:col>
      <xdr:colOff>541020</xdr:colOff>
      <xdr:row>42</xdr:row>
      <xdr:rowOff>152400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45720</xdr:colOff>
      <xdr:row>1</xdr:row>
      <xdr:rowOff>15240</xdr:rowOff>
    </xdr:from>
    <xdr:to>
      <xdr:col>10</xdr:col>
      <xdr:colOff>586740</xdr:colOff>
      <xdr:row>16</xdr:row>
      <xdr:rowOff>114300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148167</xdr:colOff>
      <xdr:row>0</xdr:row>
      <xdr:rowOff>232833</xdr:rowOff>
    </xdr:to>
    <xdr:sp macro="" textlink="">
      <xdr:nvSpPr>
        <xdr:cNvPr id="5" name="Zaoblený obdĺžnik 4">
          <a:hlinkClick xmlns:r="http://schemas.openxmlformats.org/officeDocument/2006/relationships" r:id="rId3"/>
        </xdr:cNvPr>
        <xdr:cNvSpPr/>
      </xdr:nvSpPr>
      <xdr:spPr>
        <a:xfrm>
          <a:off x="10541000" y="0"/>
          <a:ext cx="76200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148167</xdr:colOff>
      <xdr:row>1</xdr:row>
      <xdr:rowOff>42333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6985000" y="0"/>
          <a:ext cx="762000" cy="23283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1164167</xdr:colOff>
      <xdr:row>2</xdr:row>
      <xdr:rowOff>29633</xdr:rowOff>
    </xdr:from>
    <xdr:to>
      <xdr:col>7</xdr:col>
      <xdr:colOff>557742</xdr:colOff>
      <xdr:row>18</xdr:row>
      <xdr:rowOff>115358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9526</xdr:colOff>
      <xdr:row>2</xdr:row>
      <xdr:rowOff>28575</xdr:rowOff>
    </xdr:from>
    <xdr:to>
      <xdr:col>21</xdr:col>
      <xdr:colOff>428626</xdr:colOff>
      <xdr:row>18</xdr:row>
      <xdr:rowOff>28575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29</xdr:row>
      <xdr:rowOff>9525</xdr:rowOff>
    </xdr:from>
    <xdr:to>
      <xdr:col>7</xdr:col>
      <xdr:colOff>600075</xdr:colOff>
      <xdr:row>45</xdr:row>
      <xdr:rowOff>95250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9525</xdr:colOff>
      <xdr:row>29</xdr:row>
      <xdr:rowOff>19050</xdr:rowOff>
    </xdr:from>
    <xdr:to>
      <xdr:col>21</xdr:col>
      <xdr:colOff>428625</xdr:colOff>
      <xdr:row>45</xdr:row>
      <xdr:rowOff>19050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0</xdr:row>
      <xdr:rowOff>0</xdr:rowOff>
    </xdr:from>
    <xdr:to>
      <xdr:col>0</xdr:col>
      <xdr:colOff>1028701</xdr:colOff>
      <xdr:row>1</xdr:row>
      <xdr:rowOff>82550</xdr:rowOff>
    </xdr:to>
    <xdr:sp macro="" textlink="">
      <xdr:nvSpPr>
        <xdr:cNvPr id="7" name="Zaoblený obdĺžnik 6">
          <a:hlinkClick xmlns:r="http://schemas.openxmlformats.org/officeDocument/2006/relationships" r:id="rId5"/>
        </xdr:cNvPr>
        <xdr:cNvSpPr/>
      </xdr:nvSpPr>
      <xdr:spPr>
        <a:xfrm>
          <a:off x="1" y="0"/>
          <a:ext cx="10287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0</xdr:col>
      <xdr:colOff>885825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835025" cy="282575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76200</xdr:colOff>
      <xdr:row>3</xdr:row>
      <xdr:rowOff>114301</xdr:rowOff>
    </xdr:from>
    <xdr:to>
      <xdr:col>1</xdr:col>
      <xdr:colOff>582705</xdr:colOff>
      <xdr:row>15</xdr:row>
      <xdr:rowOff>100853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438150</xdr:colOff>
      <xdr:row>3</xdr:row>
      <xdr:rowOff>76200</xdr:rowOff>
    </xdr:from>
    <xdr:to>
      <xdr:col>5</xdr:col>
      <xdr:colOff>78441</xdr:colOff>
      <xdr:row>15</xdr:row>
      <xdr:rowOff>56029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18</xdr:row>
      <xdr:rowOff>33617</xdr:rowOff>
    </xdr:from>
    <xdr:to>
      <xdr:col>1</xdr:col>
      <xdr:colOff>581025</xdr:colOff>
      <xdr:row>30</xdr:row>
      <xdr:rowOff>138391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18</xdr:row>
      <xdr:rowOff>44823</xdr:rowOff>
    </xdr:from>
    <xdr:to>
      <xdr:col>5</xdr:col>
      <xdr:colOff>238125</xdr:colOff>
      <xdr:row>30</xdr:row>
      <xdr:rowOff>140073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3</xdr:row>
      <xdr:rowOff>42862</xdr:rowOff>
    </xdr:from>
    <xdr:to>
      <xdr:col>5</xdr:col>
      <xdr:colOff>428624</xdr:colOff>
      <xdr:row>18</xdr:row>
      <xdr:rowOff>57150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38099</xdr:colOff>
      <xdr:row>31</xdr:row>
      <xdr:rowOff>33337</xdr:rowOff>
    </xdr:from>
    <xdr:to>
      <xdr:col>5</xdr:col>
      <xdr:colOff>390524</xdr:colOff>
      <xdr:row>46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733425</xdr:colOff>
      <xdr:row>25</xdr:row>
      <xdr:rowOff>38100</xdr:rowOff>
    </xdr:from>
    <xdr:to>
      <xdr:col>9</xdr:col>
      <xdr:colOff>0</xdr:colOff>
      <xdr:row>39</xdr:row>
      <xdr:rowOff>142875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8" name="Zaoblený obdĺžnik 7">
          <a:hlinkClick xmlns:r="http://schemas.openxmlformats.org/officeDocument/2006/relationships" r:id="rId4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28575</xdr:rowOff>
    </xdr:from>
    <xdr:to>
      <xdr:col>7</xdr:col>
      <xdr:colOff>457200</xdr:colOff>
      <xdr:row>18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28575</xdr:rowOff>
    </xdr:from>
    <xdr:to>
      <xdr:col>7</xdr:col>
      <xdr:colOff>457200</xdr:colOff>
      <xdr:row>40</xdr:row>
      <xdr:rowOff>28575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38099</xdr:colOff>
      <xdr:row>2</xdr:row>
      <xdr:rowOff>38100</xdr:rowOff>
    </xdr:from>
    <xdr:to>
      <xdr:col>27</xdr:col>
      <xdr:colOff>9525</xdr:colOff>
      <xdr:row>17</xdr:row>
      <xdr:rowOff>142875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38099</xdr:colOff>
      <xdr:row>26</xdr:row>
      <xdr:rowOff>38100</xdr:rowOff>
    </xdr:from>
    <xdr:to>
      <xdr:col>27</xdr:col>
      <xdr:colOff>9525</xdr:colOff>
      <xdr:row>41</xdr:row>
      <xdr:rowOff>142875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76200</xdr:rowOff>
    </xdr:from>
    <xdr:to>
      <xdr:col>8</xdr:col>
      <xdr:colOff>133350</xdr:colOff>
      <xdr:row>15</xdr:row>
      <xdr:rowOff>85725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581025</xdr:colOff>
      <xdr:row>2</xdr:row>
      <xdr:rowOff>57150</xdr:rowOff>
    </xdr:from>
    <xdr:to>
      <xdr:col>22</xdr:col>
      <xdr:colOff>190500</xdr:colOff>
      <xdr:row>15</xdr:row>
      <xdr:rowOff>66675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9525</xdr:colOff>
      <xdr:row>22</xdr:row>
      <xdr:rowOff>114300</xdr:rowOff>
    </xdr:from>
    <xdr:to>
      <xdr:col>22</xdr:col>
      <xdr:colOff>228600</xdr:colOff>
      <xdr:row>35</xdr:row>
      <xdr:rowOff>123825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6" name="Zaoblený obdĺžnik 5">
          <a:hlinkClick xmlns:r="http://schemas.openxmlformats.org/officeDocument/2006/relationships" r:id="rId4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1120588</xdr:colOff>
      <xdr:row>24</xdr:row>
      <xdr:rowOff>78440</xdr:rowOff>
    </xdr:from>
    <xdr:to>
      <xdr:col>8</xdr:col>
      <xdr:colOff>122144</xdr:colOff>
      <xdr:row>37</xdr:row>
      <xdr:rowOff>76759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322792</xdr:colOff>
      <xdr:row>15</xdr:row>
      <xdr:rowOff>142875</xdr:rowOff>
    </xdr:to>
    <xdr:graphicFrame macro="">
      <xdr:nvGraphicFramePr>
        <xdr:cNvPr id="4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7</xdr:col>
      <xdr:colOff>444499</xdr:colOff>
      <xdr:row>34</xdr:row>
      <xdr:rowOff>66675</xdr:rowOff>
    </xdr:to>
    <xdr:graphicFrame macro="">
      <xdr:nvGraphicFramePr>
        <xdr:cNvPr id="5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1</xdr:col>
      <xdr:colOff>148167</xdr:colOff>
      <xdr:row>1</xdr:row>
      <xdr:rowOff>40216</xdr:rowOff>
    </xdr:to>
    <xdr:sp macro="" textlink="">
      <xdr:nvSpPr>
        <xdr:cNvPr id="6" name="Zaoblený obdĺžnik 5">
          <a:hlinkClick xmlns:r="http://schemas.openxmlformats.org/officeDocument/2006/relationships" r:id="rId3"/>
        </xdr:cNvPr>
        <xdr:cNvSpPr/>
      </xdr:nvSpPr>
      <xdr:spPr>
        <a:xfrm>
          <a:off x="0" y="0"/>
          <a:ext cx="762000" cy="25188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0</xdr:row>
      <xdr:rowOff>254000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33337</xdr:rowOff>
    </xdr:from>
    <xdr:to>
      <xdr:col>5</xdr:col>
      <xdr:colOff>1</xdr:colOff>
      <xdr:row>15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76200</xdr:rowOff>
    </xdr:from>
    <xdr:to>
      <xdr:col>7</xdr:col>
      <xdr:colOff>419100</xdr:colOff>
      <xdr:row>15</xdr:row>
      <xdr:rowOff>76200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20</xdr:row>
      <xdr:rowOff>95250</xdr:rowOff>
    </xdr:from>
    <xdr:to>
      <xdr:col>4</xdr:col>
      <xdr:colOff>857250</xdr:colOff>
      <xdr:row>33</xdr:row>
      <xdr:rowOff>95250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819151</xdr:colOff>
      <xdr:row>20</xdr:row>
      <xdr:rowOff>133350</xdr:rowOff>
    </xdr:from>
    <xdr:to>
      <xdr:col>7</xdr:col>
      <xdr:colOff>504826</xdr:colOff>
      <xdr:row>33</xdr:row>
      <xdr:rowOff>19050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44450</xdr:rowOff>
    </xdr:to>
    <xdr:sp macro="" textlink="">
      <xdr:nvSpPr>
        <xdr:cNvPr id="7" name="Zaoblený obdĺžnik 6">
          <a:hlinkClick xmlns:r="http://schemas.openxmlformats.org/officeDocument/2006/relationships" r:id="rId5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</xdr:colOff>
      <xdr:row>0</xdr:row>
      <xdr:rowOff>89647</xdr:rowOff>
    </xdr:from>
    <xdr:to>
      <xdr:col>0</xdr:col>
      <xdr:colOff>829235</xdr:colOff>
      <xdr:row>2</xdr:row>
      <xdr:rowOff>13634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67235" y="89647"/>
          <a:ext cx="762000" cy="266887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1</xdr:col>
      <xdr:colOff>43296</xdr:colOff>
      <xdr:row>4</xdr:row>
      <xdr:rowOff>44159</xdr:rowOff>
    </xdr:from>
    <xdr:to>
      <xdr:col>12</xdr:col>
      <xdr:colOff>303068</xdr:colOff>
      <xdr:row>20</xdr:row>
      <xdr:rowOff>158750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67235</xdr:colOff>
      <xdr:row>0</xdr:row>
      <xdr:rowOff>89647</xdr:rowOff>
    </xdr:from>
    <xdr:to>
      <xdr:col>0</xdr:col>
      <xdr:colOff>829235</xdr:colOff>
      <xdr:row>2</xdr:row>
      <xdr:rowOff>13634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67235" y="89647"/>
          <a:ext cx="762000" cy="260163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848591</xdr:colOff>
      <xdr:row>5</xdr:row>
      <xdr:rowOff>18184</xdr:rowOff>
    </xdr:from>
    <xdr:to>
      <xdr:col>9</xdr:col>
      <xdr:colOff>0</xdr:colOff>
      <xdr:row>20</xdr:row>
      <xdr:rowOff>163657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8659</xdr:colOff>
      <xdr:row>31</xdr:row>
      <xdr:rowOff>52819</xdr:rowOff>
    </xdr:from>
    <xdr:to>
      <xdr:col>8</xdr:col>
      <xdr:colOff>541193</xdr:colOff>
      <xdr:row>47</xdr:row>
      <xdr:rowOff>155863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1120588</xdr:colOff>
      <xdr:row>24</xdr:row>
      <xdr:rowOff>78440</xdr:rowOff>
    </xdr:from>
    <xdr:to>
      <xdr:col>1</xdr:col>
      <xdr:colOff>0</xdr:colOff>
      <xdr:row>37</xdr:row>
      <xdr:rowOff>76759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56030</xdr:colOff>
      <xdr:row>7</xdr:row>
      <xdr:rowOff>44821</xdr:rowOff>
    </xdr:from>
    <xdr:to>
      <xdr:col>13</xdr:col>
      <xdr:colOff>582705</xdr:colOff>
      <xdr:row>31</xdr:row>
      <xdr:rowOff>134470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1120588</xdr:colOff>
      <xdr:row>22</xdr:row>
      <xdr:rowOff>78440</xdr:rowOff>
    </xdr:from>
    <xdr:to>
      <xdr:col>1</xdr:col>
      <xdr:colOff>0</xdr:colOff>
      <xdr:row>35</xdr:row>
      <xdr:rowOff>76759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5</xdr:col>
      <xdr:colOff>123825</xdr:colOff>
      <xdr:row>17</xdr:row>
      <xdr:rowOff>270621</xdr:rowOff>
    </xdr:to>
    <xdr:sp macro="" textlink="">
      <xdr:nvSpPr>
        <xdr:cNvPr id="4098" name="AutoShape 2"/>
        <xdr:cNvSpPr>
          <a:spLocks noChangeAspect="1" noChangeArrowheads="1"/>
        </xdr:cNvSpPr>
      </xdr:nvSpPr>
      <xdr:spPr bwMode="auto">
        <a:xfrm>
          <a:off x="0" y="0"/>
          <a:ext cx="5772150" cy="2905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6" name="Zaoblený obdĺžnik 5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4</xdr:col>
      <xdr:colOff>0</xdr:colOff>
      <xdr:row>3</xdr:row>
      <xdr:rowOff>95251</xdr:rowOff>
    </xdr:from>
    <xdr:to>
      <xdr:col>6</xdr:col>
      <xdr:colOff>190500</xdr:colOff>
      <xdr:row>14</xdr:row>
      <xdr:rowOff>203836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0</xdr:colOff>
      <xdr:row>18</xdr:row>
      <xdr:rowOff>0</xdr:rowOff>
    </xdr:from>
    <xdr:to>
      <xdr:col>6</xdr:col>
      <xdr:colOff>238125</xdr:colOff>
      <xdr:row>29</xdr:row>
      <xdr:rowOff>108585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2</xdr:col>
      <xdr:colOff>683559</xdr:colOff>
      <xdr:row>14</xdr:row>
      <xdr:rowOff>108585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44824</xdr:colOff>
      <xdr:row>18</xdr:row>
      <xdr:rowOff>22412</xdr:rowOff>
    </xdr:from>
    <xdr:to>
      <xdr:col>2</xdr:col>
      <xdr:colOff>728383</xdr:colOff>
      <xdr:row>29</xdr:row>
      <xdr:rowOff>86173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762000</xdr:colOff>
      <xdr:row>1</xdr:row>
      <xdr:rowOff>82550</xdr:rowOff>
    </xdr:to>
    <xdr:sp macro="" textlink="">
      <xdr:nvSpPr>
        <xdr:cNvPr id="5" name="Zaoblený obdĺžnik 4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0</xdr:col>
      <xdr:colOff>1120588</xdr:colOff>
      <xdr:row>24</xdr:row>
      <xdr:rowOff>78440</xdr:rowOff>
    </xdr:from>
    <xdr:to>
      <xdr:col>1</xdr:col>
      <xdr:colOff>0</xdr:colOff>
      <xdr:row>37</xdr:row>
      <xdr:rowOff>76759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1098176</xdr:colOff>
      <xdr:row>4</xdr:row>
      <xdr:rowOff>45943</xdr:rowOff>
    </xdr:from>
    <xdr:to>
      <xdr:col>12</xdr:col>
      <xdr:colOff>907677</xdr:colOff>
      <xdr:row>19</xdr:row>
      <xdr:rowOff>99732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28</xdr:row>
      <xdr:rowOff>76200</xdr:rowOff>
    </xdr:from>
    <xdr:to>
      <xdr:col>7</xdr:col>
      <xdr:colOff>266700</xdr:colOff>
      <xdr:row>40</xdr:row>
      <xdr:rowOff>104775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</xdr:colOff>
      <xdr:row>2</xdr:row>
      <xdr:rowOff>171450</xdr:rowOff>
    </xdr:from>
    <xdr:to>
      <xdr:col>7</xdr:col>
      <xdr:colOff>314325</xdr:colOff>
      <xdr:row>14</xdr:row>
      <xdr:rowOff>171450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57149</xdr:colOff>
      <xdr:row>16</xdr:row>
      <xdr:rowOff>95250</xdr:rowOff>
    </xdr:from>
    <xdr:to>
      <xdr:col>7</xdr:col>
      <xdr:colOff>161924</xdr:colOff>
      <xdr:row>27</xdr:row>
      <xdr:rowOff>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0</xdr:row>
      <xdr:rowOff>76200</xdr:rowOff>
    </xdr:from>
    <xdr:to>
      <xdr:col>1</xdr:col>
      <xdr:colOff>171450</xdr:colOff>
      <xdr:row>1</xdr:row>
      <xdr:rowOff>139700</xdr:rowOff>
    </xdr:to>
    <xdr:sp macro="" textlink="">
      <xdr:nvSpPr>
        <xdr:cNvPr id="5" name="Zaoblený obdĺžnik 4">
          <a:hlinkClick xmlns:r="http://schemas.openxmlformats.org/officeDocument/2006/relationships" r:id="rId4"/>
        </xdr:cNvPr>
        <xdr:cNvSpPr/>
      </xdr:nvSpPr>
      <xdr:spPr>
        <a:xfrm>
          <a:off x="19050" y="762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762000</xdr:colOff>
      <xdr:row>2</xdr:row>
      <xdr:rowOff>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809625</xdr:colOff>
      <xdr:row>1</xdr:row>
      <xdr:rowOff>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0" y="0"/>
          <a:ext cx="809625" cy="3683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3" name="Zaoblený obdĺžnik 2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3495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4</xdr:col>
      <xdr:colOff>0</xdr:colOff>
      <xdr:row>3</xdr:row>
      <xdr:rowOff>95251</xdr:rowOff>
    </xdr:from>
    <xdr:to>
      <xdr:col>6</xdr:col>
      <xdr:colOff>190500</xdr:colOff>
      <xdr:row>14</xdr:row>
      <xdr:rowOff>203836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</xdr:row>
      <xdr:rowOff>0</xdr:rowOff>
    </xdr:from>
    <xdr:to>
      <xdr:col>2</xdr:col>
      <xdr:colOff>683559</xdr:colOff>
      <xdr:row>14</xdr:row>
      <xdr:rowOff>108585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18</xdr:row>
      <xdr:rowOff>0</xdr:rowOff>
    </xdr:from>
    <xdr:to>
      <xdr:col>2</xdr:col>
      <xdr:colOff>683559</xdr:colOff>
      <xdr:row>29</xdr:row>
      <xdr:rowOff>108585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0</xdr:colOff>
      <xdr:row>18</xdr:row>
      <xdr:rowOff>47625</xdr:rowOff>
    </xdr:from>
    <xdr:to>
      <xdr:col>6</xdr:col>
      <xdr:colOff>190500</xdr:colOff>
      <xdr:row>29</xdr:row>
      <xdr:rowOff>127635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1</xdr:col>
      <xdr:colOff>203200</xdr:colOff>
      <xdr:row>1</xdr:row>
      <xdr:rowOff>114300</xdr:rowOff>
    </xdr:to>
    <xdr:sp macro="" textlink="">
      <xdr:nvSpPr>
        <xdr:cNvPr id="2" name="Zaoblený obdĺžnik 1">
          <a:hlinkClick xmlns:r="http://schemas.openxmlformats.org/officeDocument/2006/relationships" r:id="rId1"/>
        </xdr:cNvPr>
        <xdr:cNvSpPr/>
      </xdr:nvSpPr>
      <xdr:spPr>
        <a:xfrm>
          <a:off x="50800" y="50800"/>
          <a:ext cx="762000" cy="254000"/>
        </a:xfrm>
        <a:prstGeom prst="roundRect">
          <a:avLst/>
        </a:prstGeom>
        <a:solidFill>
          <a:srgbClr val="299ADC"/>
        </a:solidFill>
        <a:ln w="25400" cap="flat" cmpd="sng" algn="ctr">
          <a:noFill/>
          <a:prstDash val="solid"/>
        </a:ln>
        <a:effectLst/>
        <a:extLst>
          <a:ext uri="{91240B29-F687-4F45-9708-019B960494DF}">
            <a14:hiddenLine xmlns:a14="http://schemas.microsoft.com/office/drawing/2010/main" w="25400" cap="flat" cmpd="sng" algn="ctr">
              <a:solidFill>
                <a:schemeClr val="accent1">
                  <a:shade val="50000"/>
                </a:schemeClr>
              </a:solidFill>
              <a:prstDash val="solid"/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k-SK" sz="1000" b="1">
              <a:solidFill>
                <a:srgbClr val="FFFFFF"/>
              </a:solidFill>
            </a:rPr>
            <a:t>Obsah</a:t>
          </a:r>
        </a:p>
      </xdr:txBody>
    </xdr:sp>
    <xdr:clientData/>
  </xdr:twoCellAnchor>
  <xdr:twoCellAnchor>
    <xdr:from>
      <xdr:col>3</xdr:col>
      <xdr:colOff>9525</xdr:colOff>
      <xdr:row>3</xdr:row>
      <xdr:rowOff>85724</xdr:rowOff>
    </xdr:from>
    <xdr:to>
      <xdr:col>4</xdr:col>
      <xdr:colOff>28575</xdr:colOff>
      <xdr:row>16</xdr:row>
      <xdr:rowOff>38100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573180</xdr:colOff>
      <xdr:row>3</xdr:row>
      <xdr:rowOff>48746</xdr:rowOff>
    </xdr:from>
    <xdr:to>
      <xdr:col>2</xdr:col>
      <xdr:colOff>49305</xdr:colOff>
      <xdr:row>15</xdr:row>
      <xdr:rowOff>180415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56029</xdr:colOff>
      <xdr:row>19</xdr:row>
      <xdr:rowOff>56028</xdr:rowOff>
    </xdr:from>
    <xdr:to>
      <xdr:col>4</xdr:col>
      <xdr:colOff>75079</xdr:colOff>
      <xdr:row>32</xdr:row>
      <xdr:rowOff>19611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582706</xdr:colOff>
      <xdr:row>71</xdr:row>
      <xdr:rowOff>0</xdr:rowOff>
    </xdr:from>
    <xdr:to>
      <xdr:col>12</xdr:col>
      <xdr:colOff>574520</xdr:colOff>
      <xdr:row>85</xdr:row>
      <xdr:rowOff>76199</xdr:rowOff>
    </xdr:to>
    <xdr:graphicFrame macro="">
      <xdr:nvGraphicFramePr>
        <xdr:cNvPr id="1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33618</xdr:colOff>
      <xdr:row>19</xdr:row>
      <xdr:rowOff>56028</xdr:rowOff>
    </xdr:from>
    <xdr:to>
      <xdr:col>2</xdr:col>
      <xdr:colOff>114861</xdr:colOff>
      <xdr:row>32</xdr:row>
      <xdr:rowOff>8404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\Temporary%20Internet%20Files\OLK3035\Bopfeb00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ATA/WE/NLD/WEO/Current/WEO138annu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oracun\Skupni\SABJF\Bilance\GLOB92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ocuments%20and%20Settings\PANTOLIN\My%20Local%20Documents\Slovenia\Wages_employmen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Documents%20and%20Settings\idrozd\Desktop\NPC_2013_2015_OS_09\NPC_2010\Documents%20and%20Settings\PANTOLIN\My%20Local%20Documents\Slovenia\Wages_employmen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drozd/Desktop/NPC_2013_2015_OS_09/NPC_2010/Documents%20and%20Settings/PANTOLIN/My%20Local%20Documents/Slovenia/Wages_employmen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ebugyi/AppData/Local/Microsoft/Windows/Temporary%20Internet%20Files/Content.Outlook/JG459QFK/Documents%20and%20Settings/PANTOLIN/My%20Local%20Documents/Slovenia/Wages_employmen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Documents%20and%20Settings/PANTOLIN/My%20Local%20Documents/Slovenia/Wages_employmen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PANTOLIN\My%20Local%20Documents\Slovenia\Wages_employmen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PANTOLIN\My%20Local%20Documents\Slovenia\Wages_employm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vkre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havlat\AppData\Local\Microsoft\Windows\Temporary%20Internet%20Files\Content.Outlook\RKZTYI1L\K&#352;D%2014_16erik_final_dlh_20130306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Users\mhavlat\AppData\Local\Microsoft\Windows\Temporary%20Internet%20Files\Content.Outlook\RKZTYI1L\K&#352;D%2014_16erik_final_dlh_20130306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avlat/AppData/Local/Microsoft/Windows/Temporary%20Internet%20Files/Content.Outlook/RKZTYI1L/K&#352;D%2014_16erik_final_dlh_20130306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ER\REERTOT99%20revise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idrozd\AppData\Local\Microsoft\Windows\Temporary%20Internet%20Files\Content.IE5\XHBZ5SQ7\Vychodiska_ESA95_kod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Slovenia\SV%20MONITORab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Slovenia\SV%20MONITOR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Slovenia\SV%20MONITOR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%20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EXT\Svkbo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Users/PC-003MM/Documents/14_MATERIALY_RRZ/A_HodnotenieRozpoctu/Hodnotenie%20VVS%202013-2016/FINAL%20DATA/VRVS_DATA_M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REAL\CZYWP5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AL\CZYWP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REAL\CZYWP5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cajko\AppData\Local\Microsoft\Windows\Temporary%20Internet%20Files\Content.Outlook\X5UMJ5BC\Annex_1-EDP_notif_tables-Oct2016-lock-anonym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olombia\WEO\GEEColombiaOct200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WIN\Temporary%20Internet%20Files\OLKE156\Money\Monetary%20Conditions\mcichart_core_inf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WIN\Temporary%20Internet%20Files\OLKE156\Money\Monetary%20Conditions\mcichart_core_inf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racun\Skupni\SABJF\Bilance\GLOB9200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WIN\Temporary%20Internet%20Files\OLKE156\Money\Monetary%20Conditions\mcichart_core_infl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Agnes\Slovenia\00Art4\data\Qdrive\GEN\Macro\cpi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Macro\Monito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2_FISKAL\04_Modely\01_Konsolidacne%20usilie%20a%20fiskalny%20impulz\Strukturalne_saldo_MODEL_DBP2016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DBP2016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.mfsr.sk\DfsRoot\IFP_NEW\2_FISKAL\04_Modely\01_Konsolidacne%20usilie%20a%20fiskalny%20impulz\Strukturalne_saldo_MODEL_FK_maj_2016_22012016_preliminary_PJ_scenar%201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IFP_NEW/2_FISKAL/04_Modely/01_Konsolidacne%20usilie%20a%20fiskalny%20impulz/Strukturalne_saldo_MODEL_FK_maj_2016_22012016_preliminary_PJ_scenar%201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SVN\BOP\REER%20and%20competitiveness\Competitivenes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SVN\BOP\REER%20and%20competitiveness\Competitivenes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SVN\BOP\REER%20and%20competitiveness\Competitiven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REER\REERTOT99%20revised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ocuments%20and%20Settings\lshoobridge\Local%20Settings\Temporary%20Internet%20Files\OLK10\Charts\Svk%20Charts%20Data%202005_current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lshoobridge\Local%20Settings\Temporary%20Internet%20Files\OLK10\Charts\Svk%20Charts%20Data%202005_current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lshoobridge\Local%20Settings\Temporary%20Internet%20Files\OLK10\Charts\Svk%20Charts%20Data%202005_current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Startup" Target="Svn%20P%20Drive/Fisc/Work/GLOB00-Dec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Other-2002\CRI-INPUT-ABOP-4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\C3\CZE\CNS\RED\97\APPEN\A42DB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1\system2000\WRSTAB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WIN/Temporary%20Internet%20Files/OLK93A2/Macedonia/Missions/July2000/BriefingPaper/MacroframeworkJun0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C3\CZE\FIS\M-T%20fiscal%20June10%202000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FIS\M-T%20fiscal%20June10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C3\CZE\REER\REERTOT99%20revised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ATA\C3\CZE\FIS\M-T%20fiscal%20June10%20200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CRI-BOP-01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EXTERNAL\Output\CRI-BOP-0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ATA\O2\MKD\REP\TABLES\red98\Mk-red98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O2\MKD\REP\TABLES\red98\Mk-red98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ATA\O2\MKD\REP\TABLES\red98\Mk-red98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A\CRI\Dbase\Dinput\CRI-INPUT-ABOP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11\DATA\O1\SVN\FISC\SV%20FISCAL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fisc_outtake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CZE\MON\CZE%20Mone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drozd\Desktop\NPC_2013_2015_OS_09\NPC_2010\DATA\C3\CZE\REER\REERTOT99%20revis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kumenti\2000_OR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BOP\SVN%20-%20BOP_Fina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FISC\GLOB_ang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bugyi\AppData\Local\Microsoft\Windows\Temporary%20Internet%20Files\Content.Outlook\JG459QFK\Documents%20and%20Settings\dtzanninis\My%20Local%20Documents\Slovenia\CZE%20--%20Main%20Fiscal%20File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.ROZPO&#268;TY%20VS+FR+VR\2013%20-%202015\Documents%20and%20Settings\dtzanninis\My%20Local%20Documents\Slovenia\CZE%20--%20Main%20Fiscal%20File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idrozd\Desktop\NPC_2013_2015_OS_09\NPC_2010\Documents%20and%20Settings\dtzanninis\My%20Local%20Documents\Slovenia\CZE%20--%20Main%20Fiscal%20File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CPLAZO\IMAE\PR\INF1-ALEX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N\Rep\Statistical%20Appendix\2003\Statistical%20Appendix%20Tables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PA\CHL\SECTORS\BOP\Bop0209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EUR\DATA\C2\POL\MONEY\POLIR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C3\SVK\REAL\SEI-TBL\vulnerability%20indicator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ozpoctovarada.sharepoint.com/My%20Documents/moldova/Oct2000mission/data/eff991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KA2"/>
      <sheetName val="my table"/>
      <sheetName val="i3-LQ"/>
      <sheetName val="Debt"/>
      <sheetName val="Assu"/>
      <sheetName val="BOP"/>
      <sheetName val="Assu. summary"/>
      <sheetName val="output"/>
      <sheetName val="outmacro"/>
      <sheetName val="WEO"/>
      <sheetName val="trade-struct"/>
      <sheetName val="dir-trade"/>
    </sheetNames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EdssLlsWeoRequest"/>
      <sheetName val="EdssGeeDatabase"/>
      <sheetName val="EdssGeeGAS"/>
      <sheetName val="IfsMonthly"/>
      <sheetName val="EdssPcpiMonEnd"/>
      <sheetName val="IfsAnnual"/>
      <sheetName val="OecdEo"/>
      <sheetName val="CPB"/>
      <sheetName val="CPB-main_econ_indicators"/>
      <sheetName val="CPB_ GDP"/>
      <sheetName val="CPBFiscal"/>
      <sheetName val="CPBLabor"/>
      <sheetName val="ExportMarketGrowth"/>
      <sheetName val="ControlSheet"/>
      <sheetName val="BasicDataSheet"/>
      <sheetName val="Macros for WEO file"/>
      <sheetName val="MainEconIndicators"/>
      <sheetName val="MediumTermTable"/>
      <sheetName val="SummaryIndic"/>
      <sheetName val="EdssWeoNldBrfData"/>
      <sheetName val="CompNAandBOP"/>
      <sheetName val="BalanceOfPayments"/>
      <sheetName val="NationalAccounts"/>
      <sheetName val="FiscalTable"/>
      <sheetName val="PublicFinance (2)"/>
      <sheetName val="PublicFinance"/>
      <sheetName val="EmplPotentialInflation"/>
      <sheetName val="ExportToWEO"/>
      <sheetName val="ExportToEdss"/>
      <sheetName val="Sheet1"/>
      <sheetName val="CPB table April 2007"/>
      <sheetName val="MoF table April 2007"/>
      <sheetName val="Gov08-11budget"/>
    </sheetNames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 Data"/>
      <sheetName val="Wages by sector"/>
      <sheetName val="Wages_sectors"/>
      <sheetName val="Wages"/>
      <sheetName val="Priv S wages"/>
      <sheetName val="Pub S wages"/>
      <sheetName val="Wages_graphs"/>
      <sheetName val="Wages Manuf."/>
      <sheetName val="Real wages"/>
      <sheetName val="Real wages by sector"/>
      <sheetName val="Employment Data Sectors (wages)"/>
      <sheetName val="Employment data by sectors"/>
      <sheetName val="Employment_Full time equivalent"/>
      <sheetName val="Employment data"/>
      <sheetName val="Sheet1"/>
      <sheetName val="Total Employment"/>
      <sheetName val="Employment public services"/>
      <sheetName val="Employment table"/>
      <sheetName val="Balassa-Samuelson"/>
      <sheetName val="Wages and Consumption"/>
      <sheetName val="Wages and tax revenues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"/>
      <sheetName val="output"/>
      <sheetName val="assum"/>
      <sheetName val="table"/>
      <sheetName val="work Q real"/>
      <sheetName val="work Q current"/>
      <sheetName val="Disp inc"/>
      <sheetName val="F1-reerproj"/>
      <sheetName val="Tab ann curr"/>
      <sheetName val="Tab ann cst"/>
      <sheetName val="tab quart"/>
      <sheetName val="ControlSheet"/>
      <sheetName val="CompCht"/>
      <sheetName val="tab Defl"/>
      <sheetName val="auth  inves"/>
      <sheetName val="auth inves 2"/>
      <sheetName val="auth curr"/>
      <sheetName val="auth  const"/>
      <sheetName val="auth disp inc"/>
      <sheetName val="To WEO "/>
      <sheetName val="WEO Q1&amp;2"/>
      <sheetName val="WEO Q3"/>
      <sheetName val="work Q current (2)"/>
      <sheetName val="J - GDPsec-real"/>
      <sheetName val="K-sect, Q-const."/>
      <sheetName val="K1-sect, Q-curr."/>
      <sheetName val="M- GDPsec-nom"/>
      <sheetName val="output for Qdata charts"/>
      <sheetName val="unemployment"/>
      <sheetName val="WEO 3"/>
      <sheetName val="WEO p3"/>
      <sheetName val="WEO p"/>
      <sheetName val="Svkreal"/>
    </sheetNames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MFLOW96.XLS"/>
      <sheetName val="\\data3\users3\Users\dsimard\Ap"/>
      <sheetName val="Imp"/>
      <sheetName val="DSA output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\WIN\TEMP\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klady"/>
      <sheetName val="uvery A"/>
      <sheetName val="úvery C"/>
      <sheetName val="splatnosti"/>
      <sheetName val="ŠP"/>
      <sheetName val="SPP"/>
      <sheetName val="B"/>
      <sheetName val="F"/>
      <sheetName val="B&amp;B"/>
      <sheetName val="IFP"/>
      <sheetName val="KŠD 14_16erik_final_dlh_2013030"/>
    </sheetNames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 95_kody 2012_2017 (2)"/>
      <sheetName val="Vychodiska_ESA95_kody"/>
    </sheetNames>
    <definedNames>
      <definedName name="aaaaaaaaaaaaaa" refersTo="#ODKAZ!"/>
      <definedName name="bbbbbbbbbbbbbb" refersTo="#ODKAZ!"/>
      <definedName name="BFLD_DF" refersTo="#ODKAZ!"/>
      <definedName name="ggggggg" refersTo="#ODKAZ!"/>
      <definedName name="hhhhhhh" refersTo="#ODKAZ!"/>
      <definedName name="NTDD_RG" refersTo="#ODKAZ!"/>
      <definedName name="TTTTTTTTTTTT" refersTo="#ODKAZ!"/>
      <definedName name="UUUUUUUUUUU" refersTo="#ODKAZ!"/>
    </definedNames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-data"/>
      <sheetName val="i-rates"/>
      <sheetName val="i-REER"/>
      <sheetName val="i-S"/>
      <sheetName val="i-S.gh"/>
      <sheetName val="wages"/>
      <sheetName val="outfore"/>
      <sheetName val="brief00"/>
      <sheetName val="gr.gh"/>
      <sheetName val="indice.gh"/>
      <sheetName val="watchdog"/>
      <sheetName val="watch-gh"/>
      <sheetName val="inf proj"/>
      <sheetName val="reer.gh"/>
      <sheetName val="dirt-trade"/>
      <sheetName val="Mtarget"/>
      <sheetName val="er-inf"/>
      <sheetName val="Panel1"/>
      <sheetName val="Sheet1"/>
      <sheetName val="m-r"/>
      <sheetName val="Chart1"/>
    </sheetNames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i1-CA"/>
      <sheetName val="i2-KA"/>
      <sheetName val="i3-LQ"/>
      <sheetName val="KA2"/>
      <sheetName val="my table"/>
      <sheetName val="Debt"/>
      <sheetName val="Assu"/>
      <sheetName val="2000-prelim"/>
      <sheetName val="BOP"/>
      <sheetName val="output"/>
      <sheetName val="staff report table"/>
      <sheetName val="Assu. summary"/>
      <sheetName val="outmacro"/>
      <sheetName val="trade-struct"/>
      <sheetName val="dir-trade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 Sectors"/>
      <sheetName val="In WEO"/>
      <sheetName val="F1-reerproj"/>
      <sheetName val="Cash-Flow"/>
      <sheetName val="ControlSheet"/>
      <sheetName val="BOP note"/>
      <sheetName val="Monthly BOP"/>
      <sheetName val="Sustain"/>
      <sheetName val="Demand Im"/>
      <sheetName val="Tempor"/>
      <sheetName val="BOP-Q"/>
      <sheetName val="Sheet1"/>
      <sheetName val="X-M-WS"/>
      <sheetName val="EXPORTS-QA"/>
      <sheetName val="IMPORTS-QA"/>
      <sheetName val="Deflators"/>
      <sheetName val="Services"/>
      <sheetName val="Direct Inv"/>
      <sheetName val="Portfolio"/>
      <sheetName val="Other Inv"/>
      <sheetName val="C-ACC"/>
      <sheetName val="Sstnble CA"/>
      <sheetName val="RESERVES"/>
      <sheetName val="Int. Inv Position"/>
      <sheetName val="Ext. Dbt Stk"/>
      <sheetName val="Ext. Disb"/>
      <sheetName val="Ext. Amrt"/>
      <sheetName val="Ext. Int"/>
      <sheetName val="Ext. Dbt Ser"/>
      <sheetName val="Dbt data-Kyjac"/>
      <sheetName val="CA-finance"/>
      <sheetName val="Debt"/>
      <sheetName val="FISCAL"/>
      <sheetName val="StateGuarantees"/>
      <sheetName val="OUTPUT"/>
      <sheetName val="OUTPUT 2004H1"/>
      <sheetName val="WEO-BOP (old)"/>
      <sheetName val="WEO-BOP"/>
      <sheetName val="WEO-DEBT"/>
      <sheetName val="Vuln."/>
      <sheetName val="SR-Copy"/>
      <sheetName val="SR-Main"/>
      <sheetName val="SR-Medium-term"/>
      <sheetName val="OUT_DSA"/>
      <sheetName val="Out"/>
      <sheetName val="Input M"/>
      <sheetName val="Input Q"/>
      <sheetName val="Input A"/>
      <sheetName val="Trade M"/>
      <sheetName val="Trade Q"/>
      <sheetName val="Momentum"/>
      <sheetName val="charts"/>
      <sheetName val="WEO-TRADE"/>
      <sheetName val="Sheet2"/>
      <sheetName val="Slovak Republic"/>
      <sheetName val="imfpeter2"/>
      <sheetName val="STDebt"/>
      <sheetName val="Chart1"/>
      <sheetName val="Chart2"/>
      <sheetName val="Chart3"/>
      <sheetName val="Chart4"/>
      <sheetName val="In"/>
      <sheetName val="Debt (forecast)"/>
      <sheetName val="Chart5"/>
      <sheetName val="Vulnerability"/>
      <sheetName val="updating"/>
      <sheetName val="Chart_X&amp;M&amp;cars"/>
    </sheetNames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StRp_Tbl1"/>
      <sheetName val="Stfrprtables"/>
    </sheetNames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"/>
      <sheetName val="Tab 7- opatrenia 2013"/>
      <sheetName val="Tab2"/>
      <sheetName val="Tab3"/>
      <sheetName val="Tab4"/>
      <sheetName val="Tab5"/>
      <sheetName val="Tab Obce"/>
      <sheetName val="Tab ZP"/>
      <sheetName val="Tab Bilancie"/>
      <sheetName val="Tab subjekty salda"/>
      <sheetName val="Tab10"/>
      <sheetName val="Graf1"/>
      <sheetName val="Graf2"/>
      <sheetName val="Graf3"/>
      <sheetName val="Graf4"/>
      <sheetName val="Graf5"/>
      <sheetName val="Graf6"/>
      <sheetName val="Graf7"/>
      <sheetName val="Graf8_Graf9b"/>
      <sheetName val="Graf10"/>
      <sheetName val="Graf11"/>
      <sheetName val="Graf12_Graf13"/>
      <sheetName val="Graf14_Graf15"/>
      <sheetName val="Graf16"/>
      <sheetName val="Graf17"/>
      <sheetName val="Priloha1"/>
      <sheetName val="Priloha2"/>
    </sheetNames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rolSheet"/>
      <sheetName val="B"/>
      <sheetName val="D"/>
      <sheetName val="C"/>
      <sheetName val="E"/>
      <sheetName val="F"/>
      <sheetName val="ulc-cmponents"/>
      <sheetName val="data transfer EDSS"/>
      <sheetName val="CPI 90"/>
      <sheetName val="transfer"/>
      <sheetName val="Chart1"/>
      <sheetName val="Sheet1"/>
      <sheetName val="Ind. OutputSales"/>
      <sheetName val="H"/>
      <sheetName val="$ wage comp"/>
      <sheetName val="CT_a1"/>
      <sheetName val="CT_a2"/>
      <sheetName val="CT_a3"/>
      <sheetName val="Panel1"/>
      <sheetName val="Chart4"/>
      <sheetName val="Chart3"/>
      <sheetName val="Panel2"/>
      <sheetName val="Ct-ind. prd y on y"/>
      <sheetName val="CT_ reatil y on y"/>
      <sheetName val="Chart SR DATA"/>
      <sheetName val="Panel3"/>
    </sheetNames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readme"/>
      <sheetName val="Table 1"/>
      <sheetName val="Table 2A"/>
      <sheetName val="Table 2B"/>
      <sheetName val="Table 2C"/>
      <sheetName val="Table 2D"/>
      <sheetName val="Table 3A"/>
      <sheetName val="Table 3B"/>
      <sheetName val="Table 3C"/>
      <sheetName val="Table 3D"/>
      <sheetName val="Table 3E"/>
      <sheetName val="Table 4"/>
      <sheetName val="Edp"/>
      <sheetName val="Parameters"/>
    </sheetNames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2"/>
      <sheetName val="1993"/>
      <sheetName val="1994"/>
      <sheetName val="1995"/>
      <sheetName val="1996"/>
      <sheetName val="1997"/>
      <sheetName val="1998"/>
      <sheetName val="SPRPR1999"/>
      <sheetName val="1999"/>
      <sheetName val="2000"/>
      <sheetName val="2000_OR"/>
      <sheetName val="2001"/>
      <sheetName val="2002"/>
      <sheetName val="2003"/>
      <sheetName val="2004"/>
      <sheetName val="GLOBAL"/>
      <sheetName val="pro2001"/>
      <sheetName val="N"/>
      <sheetName val="O"/>
      <sheetName val="P"/>
      <sheetName val="Q"/>
      <sheetName val="R"/>
      <sheetName val="S"/>
      <sheetName val="Index"/>
    </sheetNames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Interest rate - monthly"/>
      <sheetName val="EER - monthly"/>
      <sheetName val="Chart2"/>
      <sheetName val="FIGURE 1"/>
      <sheetName val="daily calculations"/>
      <sheetName val="daily - nominal, 10-yr"/>
      <sheetName val="daily - 3 month "/>
    </sheetNames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Sheet1"/>
    </sheetNames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ontrolSheet"/>
      <sheetName val="Raw Data"/>
      <sheetName val="i-rates"/>
      <sheetName val="i-REER"/>
      <sheetName val="wages"/>
      <sheetName val="outfore"/>
      <sheetName val="watchdog"/>
      <sheetName val="watch-gh"/>
      <sheetName val="inf proj"/>
      <sheetName val="reer.gh"/>
      <sheetName val="dirt-trade"/>
      <sheetName val="Mtarget"/>
      <sheetName val="A Current Data"/>
    </sheetNames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2,55"/>
      <sheetName val="2,62"/>
      <sheetName val="Strukturalne_saldo_MODEL_DBP201"/>
    </sheetNames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katory"/>
      <sheetName val="ReviziaOG"/>
      <sheetName val="hidden"/>
      <sheetName val="Analytics_FK"/>
      <sheetName val="oneoff_EK"/>
      <sheetName val="oneoff_FK"/>
      <sheetName val="OG"/>
      <sheetName val="Saldo"/>
      <sheetName val="HDP"/>
      <sheetName val="Deflator"/>
      <sheetName val="SGP_matica"/>
      <sheetName val="Fiscal_stance_graf"/>
      <sheetName val="DFE"/>
      <sheetName val="Cyclical indicator data"/>
      <sheetName val="Data_DFE"/>
      <sheetName val="Unemp"/>
      <sheetName val="adj_E"/>
      <sheetName val="pot_E"/>
      <sheetName val="Discretionary E"/>
      <sheetName val="Discretionary R"/>
      <sheetName val="Subsektory"/>
      <sheetName val="Grafy"/>
      <sheetName val="revizia ŠS oproti junu"/>
      <sheetName val="2,55"/>
      <sheetName val="2,62"/>
      <sheetName val="Strukturalne_saldo_MODEL_FK_maj"/>
    </sheetNames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ges and product ULC "/>
      <sheetName val="relative ULC my calc"/>
      <sheetName val="ControlSheet"/>
      <sheetName val="ULC my calc."/>
      <sheetName val="Comparative REER"/>
      <sheetName val="SIT_EUR"/>
      <sheetName val="REER-breakdown"/>
      <sheetName val="REER"/>
      <sheetName val="Export market shares"/>
      <sheetName val="trading partners"/>
      <sheetName val="ULC (IMAD)"/>
      <sheetName val="nominal exports"/>
      <sheetName val="Chart2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3"/>
      <sheetName val="6"/>
      <sheetName val="10"/>
      <sheetName val="2"/>
      <sheetName val="12"/>
      <sheetName val="D13"/>
      <sheetName val="Data1"/>
      <sheetName val="6old"/>
      <sheetName val="2old"/>
      <sheetName val="D6"/>
      <sheetName val="5old"/>
      <sheetName val="5 (Ch1)"/>
      <sheetName val="13old"/>
      <sheetName val="13old (Ch1)"/>
      <sheetName val="13old (Ch2)"/>
      <sheetName val="Fig1"/>
      <sheetName val="Fig2"/>
      <sheetName val="Fig3"/>
      <sheetName val="Fig4"/>
      <sheetName val="Fig5"/>
      <sheetName val="12old"/>
      <sheetName val="Fig6"/>
      <sheetName val="Fig7"/>
      <sheetName val="Fig8"/>
      <sheetName val="Fig9"/>
      <sheetName val="Fig10"/>
      <sheetName val="MonSur"/>
      <sheetName val="Data23"/>
      <sheetName val="Data4"/>
      <sheetName val="Data5"/>
      <sheetName val="Data6"/>
      <sheetName val="Data7"/>
      <sheetName val="Data8-10"/>
      <sheetName val="Haver"/>
      <sheetName val="DataA"/>
      <sheetName val="ControlSheet"/>
      <sheetName val="5"/>
    </sheetNames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P"/>
      <sheetName val="LS"/>
      <sheetName val="ZPIZ"/>
      <sheetName val="ZZZS"/>
      <sheetName val="Contents"/>
      <sheetName val="weoA"/>
    </sheetNames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9"/>
    </sheetNames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e9"/>
    </sheetNames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framework-Ver.2"/>
      <sheetName val="Macroframework-Ver.1"/>
      <sheetName val="e9"/>
      <sheetName val="Main"/>
      <sheetName val="Links"/>
      <sheetName val="ErrCheck"/>
      <sheetName val="Contents"/>
    </sheetNames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Input"/>
      <sheetName val="Makro"/>
      <sheetName val="Revenues"/>
      <sheetName val="Expenditures"/>
      <sheetName val="budget-G"/>
      <sheetName val="SR chart data"/>
      <sheetName val="Cze Hun Pol"/>
      <sheetName val="Výstup"/>
      <sheetName val="Výstup (CZ)"/>
      <sheetName val="Graf1"/>
      <sheetName val="Výstup (CZ) (2)"/>
      <sheetName val="Výstup (AJ) (2)"/>
      <sheetName val="Konec 2608"/>
      <sheetName val="Chart1"/>
      <sheetName val="Chart2"/>
      <sheetName val="Chart3"/>
      <sheetName val="SRFiscalChart"/>
      <sheetName val="Chart4"/>
      <sheetName val="Chart5"/>
      <sheetName val="Panel1"/>
      <sheetName val="Panel2"/>
      <sheetName val="Panel3"/>
    </sheetNames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able1"/>
      <sheetName val="oldtab3"/>
      <sheetName val="monthly data for table4"/>
      <sheetName val="TAB2"/>
      <sheetName val="TAB3"/>
      <sheetName val="TAB4"/>
      <sheetName val="TAB8"/>
      <sheetName val="TAB9"/>
      <sheetName val="TAB10"/>
      <sheetName val="TAB11"/>
      <sheetName val="table6"/>
      <sheetName val="table7"/>
      <sheetName val="tab6"/>
      <sheetName val="TAB12"/>
      <sheetName val="TAB13"/>
      <sheetName val="TAB14"/>
      <sheetName val="TAB15"/>
      <sheetName val="table12"/>
      <sheetName val="TAB16"/>
      <sheetName val="TAB17"/>
      <sheetName val="oldtab14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</sheetNames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992"/>
      <sheetName val="1993"/>
      <sheetName val="1994"/>
      <sheetName val="1995"/>
      <sheetName val="1996"/>
      <sheetName val="1997"/>
      <sheetName val="1998"/>
      <sheetName val="99budg"/>
      <sheetName val="1999"/>
      <sheetName val="00budg"/>
      <sheetName val="92_2000"/>
      <sheetName val="2000"/>
      <sheetName val="01budg"/>
      <sheetName val="output"/>
      <sheetName val="fctnl"/>
      <sheetName val="Figures"/>
      <sheetName val="%GDP"/>
      <sheetName val="ControlSheet"/>
      <sheetName val="old-new"/>
      <sheetName val="projections"/>
      <sheetName val="hist series"/>
      <sheetName val="Nclassif92-01"/>
      <sheetName val="proj_levels_base"/>
      <sheetName val="proj_percent_base"/>
      <sheetName val="assumptions_base"/>
      <sheetName val="exp.analysis"/>
      <sheetName val="proj_levels_adj"/>
      <sheetName val="proj_percent_adj"/>
      <sheetName val="assumption_adj"/>
      <sheetName val="WEO Q1"/>
      <sheetName val="BP99Exp"/>
    </sheetNames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-Dec"/>
      <sheetName val="projections"/>
    </sheetNames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 CNB, seigniorage"/>
      <sheetName val="Input MS, NFA"/>
      <sheetName val="MS"/>
      <sheetName val="BaseMoney"/>
      <sheetName val="BaseGrowth"/>
      <sheetName val="Indicators"/>
      <sheetName val="Quarter"/>
      <sheetName val="Interest"/>
      <sheetName val="EDSS data"/>
      <sheetName val="Int Chts SR99"/>
      <sheetName val="PRIBOR Yield Curve"/>
      <sheetName val="deposit growth"/>
      <sheetName val="credit growth"/>
      <sheetName val="real rates"/>
      <sheetName val="interest differential"/>
      <sheetName val="Inflation"/>
      <sheetName val="R and inflation"/>
      <sheetName val="intermediation"/>
      <sheetName val="NFA, const XR"/>
      <sheetName val="Chart2"/>
      <sheetName val="Chart6"/>
      <sheetName val="Chart7"/>
      <sheetName val="NFA banks"/>
      <sheetName val="Forex--banks"/>
      <sheetName val="Sterilization"/>
      <sheetName val="Monthly sterilization"/>
      <sheetName val="M2 growth"/>
      <sheetName val="M2 components"/>
      <sheetName val="M2-contr"/>
      <sheetName val="Base-contributions"/>
      <sheetName val="Forex dep &amp; cred"/>
      <sheetName val="Velo"/>
      <sheetName val="real int. rates"/>
      <sheetName val="Yield"/>
      <sheetName val="Month"/>
      <sheetName val="AREMOSchart"/>
      <sheetName val="DataShare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T-NEER"/>
      <sheetName val="CT-REERCPI"/>
      <sheetName val="CT-REERULC"/>
      <sheetName val="CT-REERPPI"/>
      <sheetName val="ct-neer2"/>
      <sheetName val="CT-reercpi2"/>
      <sheetName val="CT-reerulc2"/>
      <sheetName val="CT-reerppi2"/>
      <sheetName val="ChartVH_temp"/>
      <sheetName val="ControlSheet"/>
      <sheetName val="input_NSA"/>
      <sheetName val="inpu_SA"/>
      <sheetName val="REER ULC rev"/>
      <sheetName val="REER"/>
      <sheetName val="C"/>
      <sheetName val="D"/>
      <sheetName val="E"/>
      <sheetName val="F"/>
      <sheetName val="tables"/>
      <sheetName val="H"/>
      <sheetName val="Chart1"/>
      <sheetName val="Transfer EDDS"/>
      <sheetName val="Chart_reera1"/>
      <sheetName val="Chart_reera2"/>
      <sheetName val="Chart_reera3"/>
      <sheetName val="Panel1"/>
      <sheetName val="Sheet1"/>
      <sheetName val="Panel2"/>
      <sheetName val="CT_NEER"/>
      <sheetName val="Chart2"/>
      <sheetName val="Chart3"/>
      <sheetName val="Fig8"/>
      <sheetName val="CT_reer_INS"/>
      <sheetName val="CT_REER CPI_INS"/>
      <sheetName val="Chart4"/>
    </sheetNames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_OR"/>
      <sheetName val="Prorač"/>
      <sheetName val="Občine"/>
      <sheetName val="ZPIZ"/>
      <sheetName val="ZZZS"/>
      <sheetName val="pro2001"/>
      <sheetName val="output"/>
    </sheetNames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OP_Dollars"/>
      <sheetName val="SR Table 2004"/>
      <sheetName val="SR Table 2008"/>
      <sheetName val="SR_%GDP"/>
      <sheetName val="Export of goods EU NonEU"/>
      <sheetName val="ControlSheet"/>
      <sheetName val="CurrentAccount"/>
      <sheetName val="CapitalAccount"/>
      <sheetName val="IntLiq"/>
      <sheetName val="i1-CA"/>
      <sheetName val="i2-KA"/>
      <sheetName val="i3-LQ"/>
      <sheetName val="BOP$_1994-2001"/>
      <sheetName val="BOP_SIT_1994-2001"/>
      <sheetName val="BOP_Euros_1994-2001"/>
      <sheetName val="Assu"/>
      <sheetName val="BoP monthly"/>
      <sheetName val="BoP monthly Euros"/>
      <sheetName val="BoP monthly SIT"/>
      <sheetName val="BoP"/>
      <sheetName val="SR table"/>
      <sheetName val="Assu. summary"/>
      <sheetName val="Export_goods"/>
      <sheetName val="Import_goods"/>
      <sheetName val="Mission vs now"/>
      <sheetName val="Graphs"/>
      <sheetName val="Exchange rates"/>
      <sheetName val="X Services"/>
      <sheetName val="M Services"/>
      <sheetName val="oil prices"/>
      <sheetName val="Services"/>
      <sheetName val="Exports EU_non"/>
      <sheetName val="IndProd_X"/>
      <sheetName val="BoP 2002"/>
      <sheetName val="SR_E"/>
    </sheetNames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Sheet1"/>
      <sheetName val="01budg"/>
    </sheetNames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SR Table"/>
      <sheetName val="CGG (MoF--CZK)"/>
      <sheetName val="CGG (MoF--%GDP)"/>
      <sheetName val="Adjusted"/>
      <sheetName val="Debt"/>
      <sheetName val="Assump"/>
      <sheetName val="Sel. Ind. Tbl"/>
      <sheetName val="FiscalChartData"/>
      <sheetName val="Figure 8"/>
    </sheetNames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."/>
      <sheetName val="Table 3.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22"/>
      <sheetName val="Table 23"/>
      <sheetName val="Table 24"/>
      <sheetName val="Table 25"/>
      <sheetName val="Table26"/>
      <sheetName val="Table 27"/>
      <sheetName val="Table28"/>
      <sheetName val="Table 29"/>
      <sheetName val="ControlSheet"/>
      <sheetName val="Table 30"/>
      <sheetName val="Table21"/>
      <sheetName val="Table 22"/>
      <sheetName val="Table24"/>
    </sheetNames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Table_GEF"/>
      <sheetName val="Chartdata"/>
      <sheetName val="A1_historical"/>
      <sheetName val="B1_irate"/>
      <sheetName val="B2_GDP"/>
      <sheetName val="B3_CAB"/>
      <sheetName val="B4_Combined"/>
      <sheetName val="B5_Depreciation"/>
      <sheetName val="A2_alternative"/>
      <sheetName val="A3_market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150dp"/>
      <sheetName val="RED47"/>
      <sheetName val="Rank"/>
      <sheetName val="Commercial Banks"/>
      <sheetName val="T7"/>
      <sheetName val="Table3"/>
      <sheetName val="Annual BiH summary data"/>
      <sheetName val="Table 37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umentation"/>
      <sheetName val="ControlSheet"/>
      <sheetName val="Data"/>
      <sheetName val="Bloomberg via EDSS"/>
      <sheetName val="Module1"/>
    </sheetNames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A"/>
      <sheetName val="DATAQ"/>
      <sheetName val="DataM"/>
      <sheetName val="T Vulnerability"/>
      <sheetName val="PDR vulnerability table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</sheetNames>
  </externalBook>
</externalLink>
</file>

<file path=xl/theme/theme1.xml><?xml version="1.0" encoding="utf-8"?>
<a:theme xmlns:a="http://schemas.openxmlformats.org/drawingml/2006/main" name="Motív Office">
  <a:themeElements>
    <a:clrScheme name="IFP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C9ADC"/>
      </a:accent1>
      <a:accent2>
        <a:srgbClr val="AAD3F2"/>
      </a:accent2>
      <a:accent3>
        <a:srgbClr val="B0D6AF"/>
      </a:accent3>
      <a:accent4>
        <a:srgbClr val="D3BEDE"/>
      </a:accent4>
      <a:accent5>
        <a:srgbClr val="D9D3AB"/>
      </a:accent5>
      <a:accent6>
        <a:srgbClr val="F9C9BA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IFP farby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2C9ADC"/>
    </a:accent1>
    <a:accent2>
      <a:srgbClr val="B0D6AF"/>
    </a:accent2>
    <a:accent3>
      <a:srgbClr val="D3BEDE"/>
    </a:accent3>
    <a:accent4>
      <a:srgbClr val="D9D3AB"/>
    </a:accent4>
    <a:accent5>
      <a:srgbClr val="AAD3F2"/>
    </a:accent5>
    <a:accent6>
      <a:srgbClr val="F9C9BA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IFP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2C9ADC"/>
    </a:accent1>
    <a:accent2>
      <a:srgbClr val="AAD3F2"/>
    </a:accent2>
    <a:accent3>
      <a:srgbClr val="B0D6AF"/>
    </a:accent3>
    <a:accent4>
      <a:srgbClr val="D3BEDE"/>
    </a:accent4>
    <a:accent5>
      <a:srgbClr val="D9D3AB"/>
    </a:accent5>
    <a:accent6>
      <a:srgbClr val="F9C9BA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6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1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2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2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0"/>
  <dimension ref="A4:I31"/>
  <sheetViews>
    <sheetView showGridLines="0" tabSelected="1" zoomScale="70" zoomScaleNormal="70" workbookViewId="0"/>
  </sheetViews>
  <sheetFormatPr defaultColWidth="9.140625" defaultRowHeight="15.75" x14ac:dyDescent="0.25"/>
  <cols>
    <col min="1" max="1" width="4.85546875" style="563" customWidth="1"/>
    <col min="2" max="2" width="7" style="563" customWidth="1"/>
    <col min="3" max="3" width="75.7109375" style="563" customWidth="1"/>
    <col min="4" max="4" width="7" style="563" customWidth="1"/>
    <col min="5" max="5" width="75.7109375" style="563" customWidth="1"/>
    <col min="6" max="6" width="7" style="563" customWidth="1"/>
    <col min="7" max="7" width="75.7109375" style="563" customWidth="1"/>
    <col min="8" max="8" width="7" style="563" customWidth="1"/>
    <col min="9" max="9" width="75.7109375" style="563" customWidth="1"/>
    <col min="10" max="11" width="9.140625" style="563"/>
    <col min="12" max="12" width="17.42578125" style="563" bestFit="1" customWidth="1"/>
    <col min="13" max="13" width="9.140625" style="563"/>
    <col min="14" max="14" width="19.85546875" style="563" bestFit="1" customWidth="1"/>
    <col min="15" max="15" width="9.140625" style="563"/>
    <col min="16" max="16" width="17.28515625" style="563" bestFit="1" customWidth="1"/>
    <col min="17" max="17" width="9.140625" style="563"/>
    <col min="18" max="18" width="28.140625" style="563" bestFit="1" customWidth="1"/>
    <col min="19" max="16384" width="9.140625" style="563"/>
  </cols>
  <sheetData>
    <row r="4" spans="1:9" ht="23.25" x14ac:dyDescent="0.35">
      <c r="A4" s="564"/>
      <c r="B4" s="859" t="s">
        <v>1693</v>
      </c>
      <c r="C4" s="858"/>
      <c r="D4" s="848"/>
      <c r="E4" s="848"/>
      <c r="F4" s="848"/>
      <c r="G4" s="848"/>
      <c r="H4" s="848"/>
      <c r="I4" s="848"/>
    </row>
    <row r="5" spans="1:9" ht="16.5" thickBot="1" x14ac:dyDescent="0.3">
      <c r="C5" s="849"/>
      <c r="D5" s="849"/>
      <c r="E5" s="849"/>
      <c r="F5" s="849"/>
      <c r="G5" s="849"/>
      <c r="I5" s="856"/>
    </row>
    <row r="6" spans="1:9" ht="32.25" thickBot="1" x14ac:dyDescent="0.3">
      <c r="B6" s="565"/>
      <c r="C6" s="853" t="s">
        <v>1685</v>
      </c>
      <c r="D6" s="567"/>
      <c r="E6" s="853" t="s">
        <v>1687</v>
      </c>
      <c r="F6" s="851"/>
      <c r="G6" s="857" t="s">
        <v>1688</v>
      </c>
      <c r="H6" s="850">
        <v>55</v>
      </c>
      <c r="I6" s="854" t="s">
        <v>1670</v>
      </c>
    </row>
    <row r="7" spans="1:9" ht="33.75" thickBot="1" x14ac:dyDescent="0.35">
      <c r="B7" s="566">
        <v>1</v>
      </c>
      <c r="C7" s="855" t="s">
        <v>1614</v>
      </c>
      <c r="D7" s="566">
        <v>18</v>
      </c>
      <c r="E7" s="855" t="s">
        <v>1650</v>
      </c>
      <c r="F7" s="850">
        <v>39</v>
      </c>
      <c r="G7" s="860" t="s">
        <v>1673</v>
      </c>
      <c r="H7" s="850">
        <v>56</v>
      </c>
      <c r="I7" s="854" t="s">
        <v>1669</v>
      </c>
    </row>
    <row r="8" spans="1:9" ht="32.25" thickBot="1" x14ac:dyDescent="0.3">
      <c r="B8" s="852"/>
      <c r="C8" s="854"/>
      <c r="D8" s="850">
        <v>19</v>
      </c>
      <c r="E8" s="855" t="s">
        <v>1649</v>
      </c>
      <c r="F8" s="850">
        <v>40</v>
      </c>
      <c r="G8" s="854" t="s">
        <v>1665</v>
      </c>
      <c r="H8" s="850">
        <v>57</v>
      </c>
      <c r="I8" s="854" t="s">
        <v>1668</v>
      </c>
    </row>
    <row r="9" spans="1:9" ht="16.5" thickBot="1" x14ac:dyDescent="0.3">
      <c r="B9" s="568"/>
      <c r="C9" s="853" t="s">
        <v>1686</v>
      </c>
      <c r="D9" s="566">
        <v>20</v>
      </c>
      <c r="E9" s="855" t="s">
        <v>1648</v>
      </c>
      <c r="F9" s="850">
        <v>41</v>
      </c>
      <c r="G9" s="854" t="s">
        <v>1664</v>
      </c>
      <c r="H9" s="850">
        <v>58</v>
      </c>
      <c r="I9" s="854" t="s">
        <v>1667</v>
      </c>
    </row>
    <row r="10" spans="1:9" ht="48" thickBot="1" x14ac:dyDescent="0.3">
      <c r="B10" s="566">
        <v>2</v>
      </c>
      <c r="C10" s="855" t="s">
        <v>1615</v>
      </c>
      <c r="D10" s="850">
        <v>21</v>
      </c>
      <c r="E10" s="855" t="s">
        <v>1647</v>
      </c>
      <c r="F10" s="850">
        <v>42</v>
      </c>
      <c r="G10" s="854" t="s">
        <v>1663</v>
      </c>
      <c r="I10" s="856"/>
    </row>
    <row r="11" spans="1:9" ht="16.5" thickBot="1" x14ac:dyDescent="0.3">
      <c r="B11" s="566">
        <v>3</v>
      </c>
      <c r="C11" s="855" t="s">
        <v>1616</v>
      </c>
      <c r="D11" s="566">
        <v>22</v>
      </c>
      <c r="E11" s="855" t="s">
        <v>1646</v>
      </c>
      <c r="G11" s="856"/>
      <c r="H11" s="851"/>
      <c r="I11" s="857" t="s">
        <v>1691</v>
      </c>
    </row>
    <row r="12" spans="1:9" ht="32.25" thickBot="1" x14ac:dyDescent="0.3">
      <c r="B12" s="566">
        <v>4</v>
      </c>
      <c r="C12" s="855" t="s">
        <v>1617</v>
      </c>
      <c r="D12" s="850">
        <v>23</v>
      </c>
      <c r="E12" s="855" t="s">
        <v>1645</v>
      </c>
      <c r="F12" s="851"/>
      <c r="G12" s="857" t="s">
        <v>1689</v>
      </c>
      <c r="H12" s="850">
        <v>59</v>
      </c>
      <c r="I12" s="854" t="s">
        <v>1666</v>
      </c>
    </row>
    <row r="13" spans="1:9" ht="16.5" thickBot="1" x14ac:dyDescent="0.3">
      <c r="B13" s="566">
        <v>5</v>
      </c>
      <c r="C13" s="855" t="s">
        <v>1618</v>
      </c>
      <c r="D13" s="566">
        <v>24</v>
      </c>
      <c r="E13" s="855" t="s">
        <v>1644</v>
      </c>
      <c r="F13" s="850">
        <v>43</v>
      </c>
      <c r="G13" s="854" t="s">
        <v>1662</v>
      </c>
      <c r="H13" s="861"/>
      <c r="I13" s="854"/>
    </row>
    <row r="14" spans="1:9" ht="48" thickBot="1" x14ac:dyDescent="0.3">
      <c r="B14" s="566">
        <v>6</v>
      </c>
      <c r="C14" s="855" t="s">
        <v>1619</v>
      </c>
      <c r="D14" s="850">
        <v>25</v>
      </c>
      <c r="E14" s="855" t="s">
        <v>1643</v>
      </c>
      <c r="F14" s="850">
        <v>44</v>
      </c>
      <c r="G14" s="854" t="s">
        <v>1661</v>
      </c>
      <c r="H14" s="851"/>
      <c r="I14" s="857" t="s">
        <v>1692</v>
      </c>
    </row>
    <row r="15" spans="1:9" ht="32.25" thickBot="1" x14ac:dyDescent="0.3">
      <c r="B15" s="566">
        <v>7</v>
      </c>
      <c r="C15" s="855" t="s">
        <v>1620</v>
      </c>
      <c r="D15" s="566">
        <v>26</v>
      </c>
      <c r="E15" s="855" t="s">
        <v>1642</v>
      </c>
      <c r="F15" s="850">
        <v>45</v>
      </c>
      <c r="G15" s="854" t="s">
        <v>1660</v>
      </c>
      <c r="H15" s="850">
        <v>60</v>
      </c>
      <c r="I15" s="854" t="s">
        <v>898</v>
      </c>
    </row>
    <row r="16" spans="1:9" ht="32.25" thickBot="1" x14ac:dyDescent="0.3">
      <c r="B16" s="566">
        <v>8</v>
      </c>
      <c r="C16" s="855" t="s">
        <v>1621</v>
      </c>
      <c r="D16" s="850">
        <v>27</v>
      </c>
      <c r="E16" s="855" t="s">
        <v>1641</v>
      </c>
      <c r="F16" s="850">
        <v>46</v>
      </c>
      <c r="G16" s="854" t="s">
        <v>1659</v>
      </c>
      <c r="H16" s="850">
        <v>61</v>
      </c>
      <c r="I16" s="854" t="s">
        <v>897</v>
      </c>
    </row>
    <row r="17" spans="1:9" ht="16.5" thickBot="1" x14ac:dyDescent="0.3">
      <c r="B17" s="566">
        <v>9</v>
      </c>
      <c r="C17" s="855" t="s">
        <v>1622</v>
      </c>
      <c r="D17" s="566">
        <v>28</v>
      </c>
      <c r="E17" s="855" t="s">
        <v>1640</v>
      </c>
      <c r="G17" s="856"/>
    </row>
    <row r="18" spans="1:9" ht="48" customHeight="1" thickBot="1" x14ac:dyDescent="0.3">
      <c r="B18" s="566">
        <v>10</v>
      </c>
      <c r="C18" s="855" t="s">
        <v>1623</v>
      </c>
      <c r="D18" s="850">
        <v>29</v>
      </c>
      <c r="E18" s="855" t="s">
        <v>1613</v>
      </c>
      <c r="F18" s="851"/>
      <c r="G18" s="857" t="s">
        <v>1690</v>
      </c>
      <c r="H18" s="849"/>
      <c r="I18" s="849"/>
    </row>
    <row r="19" spans="1:9" ht="32.25" thickBot="1" x14ac:dyDescent="0.3">
      <c r="B19" s="566">
        <v>11</v>
      </c>
      <c r="C19" s="855" t="s">
        <v>1624</v>
      </c>
      <c r="D19" s="566">
        <v>30</v>
      </c>
      <c r="E19" s="855" t="s">
        <v>1625</v>
      </c>
      <c r="F19" s="850">
        <v>47</v>
      </c>
      <c r="G19" s="854" t="s">
        <v>1658</v>
      </c>
      <c r="H19" s="849"/>
      <c r="I19" s="849"/>
    </row>
    <row r="20" spans="1:9" ht="32.25" thickBot="1" x14ac:dyDescent="0.3">
      <c r="B20" s="566">
        <v>12</v>
      </c>
      <c r="C20" s="855" t="s">
        <v>1626</v>
      </c>
      <c r="D20" s="850">
        <v>31</v>
      </c>
      <c r="E20" s="855" t="s">
        <v>1627</v>
      </c>
      <c r="F20" s="850">
        <v>48</v>
      </c>
      <c r="G20" s="854" t="s">
        <v>1657</v>
      </c>
      <c r="H20" s="849"/>
      <c r="I20" s="849"/>
    </row>
    <row r="21" spans="1:9" ht="32.25" thickBot="1" x14ac:dyDescent="0.3">
      <c r="B21" s="566">
        <v>13</v>
      </c>
      <c r="C21" s="855" t="s">
        <v>1628</v>
      </c>
      <c r="D21" s="566">
        <v>32</v>
      </c>
      <c r="E21" s="855" t="s">
        <v>1629</v>
      </c>
      <c r="F21" s="850">
        <v>49</v>
      </c>
      <c r="G21" s="854" t="s">
        <v>1656</v>
      </c>
      <c r="H21" s="849"/>
      <c r="I21" s="849"/>
    </row>
    <row r="22" spans="1:9" ht="32.25" thickBot="1" x14ac:dyDescent="0.3">
      <c r="B22" s="566">
        <v>14</v>
      </c>
      <c r="C22" s="855" t="s">
        <v>1630</v>
      </c>
      <c r="D22" s="850">
        <v>33</v>
      </c>
      <c r="E22" s="855" t="s">
        <v>1631</v>
      </c>
      <c r="F22" s="850">
        <v>50</v>
      </c>
      <c r="G22" s="854" t="s">
        <v>1655</v>
      </c>
      <c r="H22" s="849"/>
      <c r="I22" s="849"/>
    </row>
    <row r="23" spans="1:9" ht="16.5" thickBot="1" x14ac:dyDescent="0.3">
      <c r="B23" s="566">
        <v>15</v>
      </c>
      <c r="C23" s="855" t="s">
        <v>1632</v>
      </c>
      <c r="D23" s="566">
        <v>34</v>
      </c>
      <c r="E23" s="855" t="s">
        <v>1633</v>
      </c>
      <c r="F23" s="850">
        <v>51</v>
      </c>
      <c r="G23" s="854" t="s">
        <v>1654</v>
      </c>
      <c r="H23" s="849"/>
      <c r="I23" s="849"/>
    </row>
    <row r="24" spans="1:9" ht="16.5" thickBot="1" x14ac:dyDescent="0.3">
      <c r="B24" s="566">
        <v>16</v>
      </c>
      <c r="C24" s="855" t="s">
        <v>1634</v>
      </c>
      <c r="D24" s="850">
        <v>35</v>
      </c>
      <c r="E24" s="855" t="s">
        <v>1635</v>
      </c>
      <c r="F24" s="850">
        <v>52</v>
      </c>
      <c r="G24" s="854" t="s">
        <v>1653</v>
      </c>
      <c r="H24" s="849"/>
      <c r="I24" s="849"/>
    </row>
    <row r="25" spans="1:9" ht="32.25" thickBot="1" x14ac:dyDescent="0.3">
      <c r="B25" s="566">
        <v>17</v>
      </c>
      <c r="C25" s="855" t="s">
        <v>1636</v>
      </c>
      <c r="D25" s="566">
        <v>36</v>
      </c>
      <c r="E25" s="855" t="s">
        <v>1637</v>
      </c>
      <c r="F25" s="850">
        <v>53</v>
      </c>
      <c r="G25" s="854" t="s">
        <v>1652</v>
      </c>
      <c r="H25" s="849"/>
      <c r="I25" s="849"/>
    </row>
    <row r="26" spans="1:9" ht="16.5" thickBot="1" x14ac:dyDescent="0.3">
      <c r="B26" s="852"/>
      <c r="C26" s="854"/>
      <c r="D26" s="850">
        <v>37</v>
      </c>
      <c r="E26" s="855" t="s">
        <v>1638</v>
      </c>
      <c r="F26" s="850">
        <v>54</v>
      </c>
      <c r="G26" s="854" t="s">
        <v>1651</v>
      </c>
      <c r="H26" s="849"/>
      <c r="I26" s="849"/>
    </row>
    <row r="27" spans="1:9" ht="16.5" thickBot="1" x14ac:dyDescent="0.3">
      <c r="D27" s="566">
        <v>38</v>
      </c>
      <c r="E27" s="855" t="s">
        <v>1639</v>
      </c>
      <c r="H27" s="849"/>
      <c r="I27" s="849"/>
    </row>
    <row r="28" spans="1:9" x14ac:dyDescent="0.25">
      <c r="H28" s="849"/>
      <c r="I28" s="849"/>
    </row>
    <row r="29" spans="1:9" x14ac:dyDescent="0.25">
      <c r="A29" s="917" t="s">
        <v>1696</v>
      </c>
      <c r="B29" s="917"/>
      <c r="C29" s="917"/>
    </row>
    <row r="30" spans="1:9" x14ac:dyDescent="0.25">
      <c r="B30" s="892" t="s">
        <v>1694</v>
      </c>
      <c r="C30" s="892"/>
    </row>
    <row r="31" spans="1:9" x14ac:dyDescent="0.25">
      <c r="B31" s="892" t="s">
        <v>1695</v>
      </c>
      <c r="C31" s="892"/>
    </row>
  </sheetData>
  <mergeCells count="1">
    <mergeCell ref="A29:C29"/>
  </mergeCells>
  <hyperlinks>
    <hyperlink ref="C7" location="'Graf 1+2'!A1" display="Graf 1 + 2"/>
    <hyperlink ref="C10" location="'Tab 1 '!A1" display="Tab 1 "/>
    <hyperlink ref="C11" location="'Graf 3+4'!A1" display="Graf 3+4"/>
    <hyperlink ref="C12" location="'Graf 5+6'!A1" display="Graf 5+6"/>
    <hyperlink ref="C13" location="'Grafy 7+8'!A1" display="Grafy 7 a 8"/>
    <hyperlink ref="C14" location="'Graf 9+10'!A1" display="Graf 8,9,10 "/>
    <hyperlink ref="C15" location="'Graf 11+12 '!A1" display="Graf 11+12 "/>
    <hyperlink ref="C16" location="'Tab 2 '!A1" display="Tab 2 "/>
    <hyperlink ref="C17" location="'Graf 13+14 '!A1" display="TABUĽKA 3 - Predpoklady investičného zámeru a výroby JLR"/>
    <hyperlink ref="C18" location="'Graf 15+16 '!A1" display="TABUĽKA 4 - Predpoklady investície a novej výroby VW"/>
    <hyperlink ref="C19" location="'Tab 3 '!A1" display="Graf 13 + Tab 5 "/>
    <hyperlink ref="C20" location="'Tab 4 '!A1" display="Graf 14 + 15 "/>
    <hyperlink ref="C21" location="'Graf 17+Tab 5 '!A1" display="Graf 16 + 17 "/>
    <hyperlink ref="C22" location="'Graf 18+Tab 6 '!A1" display="Graf 18 + Tab 6"/>
    <hyperlink ref="C23" location="'Graf 19  + Tab 7 '!A1" display="Graf 19 + Tab 7"/>
    <hyperlink ref="C24" location="'Tab 8'!A1" display="Graf 20 + Tab 8 "/>
    <hyperlink ref="C25" location="'Tab 9'!A1" display="TABUĽKA 9 - Porovnanie prognóz slovenskej ekonomiky MF SR a ostatných inštitúcií"/>
    <hyperlink ref="E7" location="ESA2010_source!A1" display="ESA 2010 Tabuľka"/>
    <hyperlink ref="E8" location="'Graf 20+21 '!A1" display="Graf 22 + 23 "/>
    <hyperlink ref="E9" location="'Graf 22'!A1" display="Graf 24"/>
    <hyperlink ref="E10" location="'Graf 23+24'!A1" display="Graf 25 + 26"/>
    <hyperlink ref="E11" location="'Graf 25'!A1" display="Graf 27"/>
    <hyperlink ref="E12" location="'Tab 10'!A1" display="Tab 11"/>
    <hyperlink ref="E13" location="'Tab 11 '!A1" display="TABUĽKA 11 - Konsolidačné úsilie (ESA2010, % HDP)"/>
    <hyperlink ref="E14" location="'Graf 26+27; Tab 12'!A1" display="Tab 13 "/>
    <hyperlink ref="E15" location="'Tab 14 '!A1" display="Tab 14 "/>
    <hyperlink ref="E16" location="'Tab 15 '!A1" display="Tab 15 "/>
    <hyperlink ref="E17" location="'Tab 16 '!A1" display="Tab 16 "/>
    <hyperlink ref="E18" location="'Tab 17 '!A1" display="Tab 17"/>
    <hyperlink ref="E19" location="'Tab 18 '!A1" display="Graf 28 + 29 "/>
    <hyperlink ref="E20" location="'Graf 30+31 '!A1" display="Tab 18 "/>
    <hyperlink ref="E21" location="'Graf 32'!A1" display="Graf 30 + 31; tab 19"/>
    <hyperlink ref="E22" location="'Graf  33 '!A1" display="Graf 32 "/>
    <hyperlink ref="E23" location="'Graf 34'!A1" display="Tab 20 "/>
    <hyperlink ref="E24" location="'Tab 19'!A1" display="Tab 21 "/>
    <hyperlink ref="E25" location="'Tab 20'!A1" display="Graf 33 "/>
    <hyperlink ref="E26" location="'Graf 35'!A1" display="Tab 22"/>
    <hyperlink ref="E27" location="'Graf 36 '!A1" display="Graf 34 "/>
    <hyperlink ref="G7" location="'Graf 37+38'!A1" display="GRAF 37 – Saldo VS v základnom a rizikových scenároch / GRAF 38 – Hrubý dlh VS v základnom a rizikových scenároch"/>
    <hyperlink ref="G8" location="'Tab 21 '!A1" display="Graf 36 "/>
    <hyperlink ref="G9" location="'Tab 22 '!A1" display="Tab 24 "/>
    <hyperlink ref="G10" location="'Tab 23 '!A1" display="Graf 37 + Tab 25"/>
    <hyperlink ref="G13" location="'Graf 39+40'!A1" display="Tab 27 "/>
    <hyperlink ref="G14" location="'Graf 41+42'!A1" display="Tab 28 + 29"/>
    <hyperlink ref="G15" location="'Graf 43+44'!A1" display="Graf 38 + 39"/>
    <hyperlink ref="G16" location="'Tab 25'!A1" display="Tab 30"/>
    <hyperlink ref="G19" location="'Graf 45+46'!A1" display="Tab 31"/>
    <hyperlink ref="G20" location="'Graf 47'!A1" display="Graf 40"/>
    <hyperlink ref="G21" location="'Graf 48+49'!A1" display="Graf 41"/>
    <hyperlink ref="G22" location="'Graf 50+51'!A1" display="Graf 42"/>
    <hyperlink ref="G23" location="'Graf 52+53'!A1" display="Graf 43"/>
    <hyperlink ref="G24" location="'Tab 26'!A1" display="Graf 44 + 45"/>
    <hyperlink ref="G25" location="'Graf 54'!A1" display="Graf 46 + 47"/>
    <hyperlink ref="G26" location="'Graf 55'!A1" display="Graf 48 + 49"/>
    <hyperlink ref="I6" location="'Graf 56+57'!A1" display="Graf 50 + 51"/>
    <hyperlink ref="I7" location="'Graf 58'!A1" display="Graf 52 + 53"/>
    <hyperlink ref="I8" location="'Tab 27'!A1" display="Graf 54 +55"/>
    <hyperlink ref="I9" location="'Graf 59'!A1" display="Tab 32"/>
    <hyperlink ref="I12" location="'Graf 60+61+62'!A1" display="Graf 56"/>
    <hyperlink ref="I15" location="DRM!A1" display="Diskrečné príjmové opatrenia"/>
    <hyperlink ref="I16" location="'One-offs EK'!A1" display="Jednorazové opatrenia - EK metodika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/>
  <dimension ref="B1:X35"/>
  <sheetViews>
    <sheetView showGridLines="0" topLeftCell="B1" zoomScale="90" zoomScaleNormal="90" workbookViewId="0">
      <selection activeCell="E21" sqref="E21:G21"/>
    </sheetView>
  </sheetViews>
  <sheetFormatPr defaultColWidth="9.140625" defaultRowHeight="13.5" x14ac:dyDescent="0.25"/>
  <cols>
    <col min="1" max="1" width="9.140625" style="34"/>
    <col min="2" max="2" width="29.85546875" style="34" customWidth="1"/>
    <col min="3" max="3" width="9.140625" style="34"/>
    <col min="4" max="4" width="9.140625" style="300"/>
    <col min="5" max="5" width="30.42578125" style="34" customWidth="1"/>
    <col min="6" max="8" width="9.140625" style="34"/>
    <col min="9" max="9" width="20.42578125" style="34" bestFit="1" customWidth="1"/>
    <col min="10" max="16384" width="9.140625" style="34"/>
  </cols>
  <sheetData>
    <row r="1" spans="2:24" x14ac:dyDescent="0.25">
      <c r="I1" s="105"/>
      <c r="J1" s="105"/>
      <c r="K1" s="105"/>
      <c r="L1" s="105"/>
      <c r="M1" s="105"/>
      <c r="N1" s="105"/>
      <c r="O1" s="105"/>
    </row>
    <row r="2" spans="2:24" ht="26.25" customHeight="1" thickBot="1" x14ac:dyDescent="0.3">
      <c r="B2" s="944" t="s">
        <v>1428</v>
      </c>
      <c r="C2" s="944"/>
      <c r="D2" s="802"/>
      <c r="E2" s="944" t="s">
        <v>1429</v>
      </c>
      <c r="F2" s="944"/>
      <c r="G2" s="944"/>
      <c r="H2" s="802"/>
      <c r="I2" s="105"/>
      <c r="J2" s="105"/>
      <c r="K2" s="105"/>
      <c r="L2" s="105"/>
      <c r="M2" s="105"/>
      <c r="N2" s="105"/>
      <c r="O2" s="105"/>
    </row>
    <row r="3" spans="2:24" ht="14.25" thickBot="1" x14ac:dyDescent="0.3">
      <c r="B3" s="512"/>
      <c r="C3" s="9"/>
      <c r="D3" s="513"/>
      <c r="E3" s="512"/>
      <c r="I3" s="121"/>
      <c r="J3" s="122">
        <v>2016</v>
      </c>
      <c r="K3" s="122">
        <v>2017</v>
      </c>
      <c r="L3" s="122" t="s">
        <v>178</v>
      </c>
      <c r="M3" s="122" t="s">
        <v>179</v>
      </c>
      <c r="N3" s="122" t="s">
        <v>470</v>
      </c>
      <c r="O3" s="122" t="s">
        <v>1012</v>
      </c>
    </row>
    <row r="4" spans="2:24" x14ac:dyDescent="0.25">
      <c r="B4" s="76"/>
      <c r="C4" s="77"/>
      <c r="D4" s="812"/>
      <c r="E4" s="76"/>
      <c r="I4" s="105" t="s">
        <v>154</v>
      </c>
      <c r="J4" s="115">
        <v>1.6933512944270857</v>
      </c>
      <c r="K4" s="115">
        <v>1.8939014564087233</v>
      </c>
      <c r="L4" s="115">
        <v>1.9239372997765176</v>
      </c>
      <c r="M4" s="115">
        <v>1.8652012077972162</v>
      </c>
      <c r="N4" s="115">
        <v>1.6083224901822724</v>
      </c>
      <c r="O4" s="115">
        <v>1.4429228123302877</v>
      </c>
    </row>
    <row r="5" spans="2:24" x14ac:dyDescent="0.25">
      <c r="I5" s="105" t="s">
        <v>115</v>
      </c>
      <c r="J5" s="115">
        <v>-2.0173757423893468</v>
      </c>
      <c r="K5" s="115">
        <v>0.69121935496180387</v>
      </c>
      <c r="L5" s="115">
        <v>1.130085258809103</v>
      </c>
      <c r="M5" s="115">
        <v>0.72441195426799188</v>
      </c>
      <c r="N5" s="115">
        <v>0.71926186848377593</v>
      </c>
      <c r="O5" s="115">
        <v>0.64191101142806672</v>
      </c>
    </row>
    <row r="6" spans="2:24" x14ac:dyDescent="0.25">
      <c r="I6" s="105" t="s">
        <v>155</v>
      </c>
      <c r="J6" s="115">
        <f t="shared" ref="J6:K6" si="0">J8-J4-J5-J7</f>
        <v>1.0296162476468176</v>
      </c>
      <c r="K6" s="115">
        <f t="shared" si="0"/>
        <v>0.16788248726920785</v>
      </c>
      <c r="L6" s="115">
        <f t="shared" ref="L6" si="1">L8-L4-L5-L7</f>
        <v>-4.9503263185228352E-2</v>
      </c>
      <c r="M6" s="115">
        <f t="shared" ref="M6" si="2">M8-M4-M5-M7</f>
        <v>1.527589919245953E-2</v>
      </c>
      <c r="N6" s="115">
        <f t="shared" ref="N6" si="3">N8-N4-N5-N7</f>
        <v>-1.5072693943404047E-2</v>
      </c>
      <c r="O6" s="115">
        <f t="shared" ref="O6" si="4">O8-O4-O5-O7</f>
        <v>1.5079827962785064E-3</v>
      </c>
    </row>
    <row r="7" spans="2:24" x14ac:dyDescent="0.25">
      <c r="I7" s="105" t="s">
        <v>156</v>
      </c>
      <c r="J7" s="115">
        <v>2.6191034962794695</v>
      </c>
      <c r="K7" s="115">
        <v>0.64716301244011798</v>
      </c>
      <c r="L7" s="115">
        <v>1.2087044605517352</v>
      </c>
      <c r="M7" s="115">
        <v>1.9033184688094884</v>
      </c>
      <c r="N7" s="115">
        <v>1.5615968502425281</v>
      </c>
      <c r="O7" s="115">
        <v>1.3052120731322618</v>
      </c>
    </row>
    <row r="8" spans="2:24" x14ac:dyDescent="0.25">
      <c r="I8" s="105" t="s">
        <v>99</v>
      </c>
      <c r="J8" s="115">
        <v>3.3246952959640259</v>
      </c>
      <c r="K8" s="115">
        <v>3.400166311079853</v>
      </c>
      <c r="L8" s="115">
        <v>4.2132237559521277</v>
      </c>
      <c r="M8" s="115">
        <v>4.508207530067156</v>
      </c>
      <c r="N8" s="115">
        <v>3.8741085149651724</v>
      </c>
      <c r="O8" s="115">
        <v>3.3915538796868949</v>
      </c>
    </row>
    <row r="9" spans="2:24" x14ac:dyDescent="0.25">
      <c r="I9" s="105"/>
      <c r="J9" s="105"/>
      <c r="K9" s="105"/>
      <c r="L9" s="105"/>
      <c r="M9" s="105"/>
      <c r="N9" s="105"/>
      <c r="O9" s="105"/>
    </row>
    <row r="10" spans="2:24" x14ac:dyDescent="0.25">
      <c r="I10" s="105"/>
      <c r="J10" s="105"/>
      <c r="K10" s="105"/>
      <c r="L10" s="105"/>
      <c r="M10" s="105"/>
      <c r="N10" s="105"/>
      <c r="O10" s="105"/>
      <c r="Q10" s="105"/>
    </row>
    <row r="11" spans="2:24" ht="14.25" thickBot="1" x14ac:dyDescent="0.3">
      <c r="I11" s="122"/>
      <c r="J11" s="122">
        <v>2016</v>
      </c>
      <c r="K11" s="122">
        <v>2017</v>
      </c>
      <c r="L11" s="122" t="s">
        <v>178</v>
      </c>
      <c r="M11" s="122" t="s">
        <v>179</v>
      </c>
      <c r="N11" s="122" t="s">
        <v>470</v>
      </c>
      <c r="O11" s="122" t="s">
        <v>1012</v>
      </c>
      <c r="Q11" s="105"/>
    </row>
    <row r="12" spans="2:24" x14ac:dyDescent="0.25">
      <c r="I12" s="112" t="s">
        <v>157</v>
      </c>
      <c r="J12" s="115">
        <v>-3.5728510954757917E-2</v>
      </c>
      <c r="K12" s="115">
        <v>-7.225181372732789E-2</v>
      </c>
      <c r="L12" s="115">
        <v>-2.9872829913803342E-2</v>
      </c>
      <c r="M12" s="115">
        <v>-4.0049121146732772E-2</v>
      </c>
      <c r="N12" s="115">
        <v>-2.8399653556097616E-2</v>
      </c>
      <c r="O12" s="115">
        <v>-2.7832514581210419E-2</v>
      </c>
      <c r="Q12" s="105"/>
      <c r="S12" s="43"/>
      <c r="T12" s="43"/>
      <c r="U12" s="43"/>
      <c r="V12" s="43"/>
      <c r="W12" s="43"/>
      <c r="X12" s="43"/>
    </row>
    <row r="13" spans="2:24" x14ac:dyDescent="0.25">
      <c r="I13" s="112" t="s">
        <v>158</v>
      </c>
      <c r="J13" s="115">
        <v>0.79052638682861953</v>
      </c>
      <c r="K13" s="115">
        <v>0.93160463221586653</v>
      </c>
      <c r="L13" s="115">
        <v>0.5197045713025833</v>
      </c>
      <c r="M13" s="115">
        <v>0.34220449896117455</v>
      </c>
      <c r="N13" s="115">
        <v>0.31910260957074382</v>
      </c>
      <c r="O13" s="115">
        <v>0.23138143540308406</v>
      </c>
      <c r="Q13" s="106"/>
      <c r="S13" s="43"/>
      <c r="T13" s="43"/>
      <c r="U13" s="43"/>
      <c r="V13" s="43"/>
      <c r="W13" s="43"/>
      <c r="X13" s="43"/>
    </row>
    <row r="14" spans="2:24" x14ac:dyDescent="0.25">
      <c r="I14" s="112" t="s">
        <v>159</v>
      </c>
      <c r="J14" s="115">
        <v>0.13153385144085269</v>
      </c>
      <c r="K14" s="115">
        <v>0.1266668648529177</v>
      </c>
      <c r="L14" s="115">
        <v>0.10436628677512108</v>
      </c>
      <c r="M14" s="115">
        <v>8.360141863857079E-2</v>
      </c>
      <c r="N14" s="115">
        <v>8.5486783103890851E-2</v>
      </c>
      <c r="O14" s="115">
        <v>5.3525867302513935E-2</v>
      </c>
      <c r="Q14" s="106"/>
      <c r="S14" s="43"/>
      <c r="T14" s="43"/>
      <c r="U14" s="43"/>
      <c r="V14" s="43"/>
      <c r="W14" s="43"/>
      <c r="X14" s="43"/>
    </row>
    <row r="15" spans="2:24" x14ac:dyDescent="0.25">
      <c r="C15" s="948" t="s">
        <v>19</v>
      </c>
      <c r="D15" s="948"/>
      <c r="F15" s="948" t="s">
        <v>19</v>
      </c>
      <c r="G15" s="948"/>
      <c r="I15" s="112" t="s">
        <v>160</v>
      </c>
      <c r="J15" s="115">
        <v>0.25556912650848129</v>
      </c>
      <c r="K15" s="115">
        <v>0.18327919832799822</v>
      </c>
      <c r="L15" s="115">
        <v>0.20325555187604982</v>
      </c>
      <c r="M15" s="115">
        <v>9.9783064963043788E-2</v>
      </c>
      <c r="N15" s="115">
        <v>7.2005926927326089E-2</v>
      </c>
      <c r="O15" s="115">
        <v>4.7165352895757399E-2</v>
      </c>
      <c r="Q15" s="106"/>
      <c r="S15" s="43"/>
      <c r="T15" s="43"/>
      <c r="U15" s="43"/>
      <c r="V15" s="43"/>
      <c r="W15" s="43"/>
      <c r="X15" s="43"/>
    </row>
    <row r="16" spans="2:24" x14ac:dyDescent="0.25">
      <c r="I16" s="112" t="s">
        <v>161</v>
      </c>
      <c r="J16" s="115">
        <v>1.2378826314004245</v>
      </c>
      <c r="K16" s="115">
        <v>1.0369018491208073</v>
      </c>
      <c r="L16" s="115">
        <v>0.84238308507058535</v>
      </c>
      <c r="M16" s="115">
        <v>0.55959346810949406</v>
      </c>
      <c r="N16" s="115">
        <v>0.56911248445963425</v>
      </c>
      <c r="O16" s="115">
        <v>0.35541039318337531</v>
      </c>
      <c r="Q16" s="106"/>
      <c r="S16" s="43"/>
      <c r="T16" s="43"/>
      <c r="U16" s="43"/>
      <c r="V16" s="43"/>
      <c r="W16" s="43"/>
      <c r="X16" s="43"/>
    </row>
    <row r="17" spans="2:24" x14ac:dyDescent="0.25">
      <c r="I17" s="105" t="s">
        <v>162</v>
      </c>
      <c r="J17" s="115">
        <v>2.3797834852236246</v>
      </c>
      <c r="K17" s="115">
        <v>2.2062007307902736</v>
      </c>
      <c r="L17" s="115">
        <v>1.6398366651105285</v>
      </c>
      <c r="M17" s="115">
        <v>1.045133329525552</v>
      </c>
      <c r="N17" s="115">
        <v>1.0173081505054926</v>
      </c>
      <c r="O17" s="115">
        <v>0.65965053420352027</v>
      </c>
      <c r="Q17" s="105"/>
      <c r="S17" s="43"/>
      <c r="T17" s="43"/>
      <c r="U17" s="43"/>
      <c r="V17" s="43"/>
      <c r="W17" s="43"/>
      <c r="X17" s="43"/>
    </row>
    <row r="18" spans="2:24" x14ac:dyDescent="0.25">
      <c r="I18" s="105"/>
      <c r="J18" s="105"/>
      <c r="K18" s="105"/>
      <c r="L18" s="105"/>
      <c r="M18" s="105"/>
      <c r="N18" s="105"/>
      <c r="O18" s="105"/>
      <c r="Q18" s="105"/>
    </row>
    <row r="19" spans="2:24" x14ac:dyDescent="0.25">
      <c r="Q19" s="105"/>
    </row>
    <row r="20" spans="2:24" ht="14.25" thickBot="1" x14ac:dyDescent="0.3">
      <c r="I20" s="121"/>
      <c r="J20" s="122">
        <v>2016</v>
      </c>
      <c r="K20" s="122">
        <v>2017</v>
      </c>
      <c r="L20" s="122" t="s">
        <v>178</v>
      </c>
      <c r="M20" s="122" t="s">
        <v>179</v>
      </c>
      <c r="N20" s="122" t="s">
        <v>470</v>
      </c>
      <c r="O20" s="122" t="s">
        <v>1012</v>
      </c>
      <c r="Q20" s="105"/>
    </row>
    <row r="21" spans="2:24" ht="14.25" thickBot="1" x14ac:dyDescent="0.3">
      <c r="B21" s="944" t="s">
        <v>1430</v>
      </c>
      <c r="C21" s="944"/>
      <c r="D21" s="802"/>
      <c r="E21" s="944" t="s">
        <v>1431</v>
      </c>
      <c r="F21" s="944"/>
      <c r="G21" s="944"/>
      <c r="I21" s="105" t="s">
        <v>261</v>
      </c>
      <c r="J21" s="115">
        <v>1.6933512944270857</v>
      </c>
      <c r="K21" s="115">
        <v>1.8939014564087233</v>
      </c>
      <c r="L21" s="115">
        <v>1.9239372997765176</v>
      </c>
      <c r="M21" s="115">
        <v>1.8652012077972162</v>
      </c>
      <c r="N21" s="115">
        <v>1.6083224901822724</v>
      </c>
      <c r="O21" s="115">
        <v>1.4429228123302877</v>
      </c>
      <c r="Q21" s="105"/>
    </row>
    <row r="22" spans="2:24" ht="14.25" thickBot="1" x14ac:dyDescent="0.3">
      <c r="B22" s="512"/>
      <c r="C22" s="9"/>
      <c r="D22" s="513"/>
      <c r="E22" s="512"/>
      <c r="I22" s="105" t="s">
        <v>262</v>
      </c>
      <c r="J22" s="115">
        <v>-2.0173757423893468</v>
      </c>
      <c r="K22" s="115">
        <v>0.69121935496180387</v>
      </c>
      <c r="L22" s="115">
        <v>1.130085258809103</v>
      </c>
      <c r="M22" s="115">
        <v>0.72441195426799188</v>
      </c>
      <c r="N22" s="115">
        <v>0.71926186848377593</v>
      </c>
      <c r="O22" s="115">
        <v>0.64191101142806672</v>
      </c>
    </row>
    <row r="23" spans="2:24" x14ac:dyDescent="0.25">
      <c r="B23" s="76"/>
      <c r="C23" s="77"/>
      <c r="D23" s="812"/>
      <c r="E23" s="76"/>
      <c r="I23" s="105" t="s">
        <v>263</v>
      </c>
      <c r="J23" s="115">
        <v>1.0296162476468176</v>
      </c>
      <c r="K23" s="115">
        <v>0.16788248726920785</v>
      </c>
      <c r="L23" s="115">
        <v>-4.9503263185228352E-2</v>
      </c>
      <c r="M23" s="115">
        <v>1.527589919245953E-2</v>
      </c>
      <c r="N23" s="115">
        <v>-1.5072693943404047E-2</v>
      </c>
      <c r="O23" s="115">
        <v>1.5079827962785064E-3</v>
      </c>
    </row>
    <row r="24" spans="2:24" x14ac:dyDescent="0.25">
      <c r="I24" s="105" t="s">
        <v>264</v>
      </c>
      <c r="J24" s="115">
        <v>2.6191034962794695</v>
      </c>
      <c r="K24" s="115">
        <v>0.64716301244011798</v>
      </c>
      <c r="L24" s="115">
        <v>1.2087044605517352</v>
      </c>
      <c r="M24" s="115">
        <v>1.9033184688094884</v>
      </c>
      <c r="N24" s="115">
        <v>1.5615968502425281</v>
      </c>
      <c r="O24" s="115">
        <v>1.3052120731322618</v>
      </c>
    </row>
    <row r="25" spans="2:24" x14ac:dyDescent="0.25">
      <c r="I25" s="105" t="s">
        <v>230</v>
      </c>
      <c r="J25" s="115">
        <v>3.3246952959640259</v>
      </c>
      <c r="K25" s="115">
        <v>3.400166311079853</v>
      </c>
      <c r="L25" s="115">
        <v>4.2132237559521277</v>
      </c>
      <c r="M25" s="115">
        <v>4.508207530067156</v>
      </c>
      <c r="N25" s="115">
        <v>3.8741085149651724</v>
      </c>
      <c r="O25" s="115">
        <v>3.3915538796868949</v>
      </c>
    </row>
    <row r="26" spans="2:24" x14ac:dyDescent="0.25">
      <c r="I26" s="105"/>
    </row>
    <row r="27" spans="2:24" x14ac:dyDescent="0.25">
      <c r="I27" s="105"/>
    </row>
    <row r="28" spans="2:24" ht="14.25" thickBot="1" x14ac:dyDescent="0.3">
      <c r="I28" s="122"/>
      <c r="J28" s="122"/>
      <c r="K28" s="122"/>
      <c r="L28" s="122"/>
      <c r="M28" s="122"/>
      <c r="N28" s="122"/>
      <c r="O28" s="122"/>
    </row>
    <row r="29" spans="2:24" x14ac:dyDescent="0.25">
      <c r="I29" s="112" t="s">
        <v>265</v>
      </c>
      <c r="J29" s="115">
        <f>J12</f>
        <v>-3.5728510954757917E-2</v>
      </c>
      <c r="K29" s="115">
        <f t="shared" ref="K29:O29" si="5">K12</f>
        <v>-7.225181372732789E-2</v>
      </c>
      <c r="L29" s="115">
        <f t="shared" si="5"/>
        <v>-2.9872829913803342E-2</v>
      </c>
      <c r="M29" s="115">
        <f t="shared" si="5"/>
        <v>-4.0049121146732772E-2</v>
      </c>
      <c r="N29" s="115">
        <f t="shared" si="5"/>
        <v>-2.8399653556097616E-2</v>
      </c>
      <c r="O29" s="115">
        <f t="shared" si="5"/>
        <v>-2.7832514581210419E-2</v>
      </c>
    </row>
    <row r="30" spans="2:24" x14ac:dyDescent="0.25">
      <c r="I30" s="112" t="s">
        <v>266</v>
      </c>
      <c r="J30" s="115">
        <f t="shared" ref="J30:O34" si="6">J13</f>
        <v>0.79052638682861953</v>
      </c>
      <c r="K30" s="115">
        <f t="shared" si="6"/>
        <v>0.93160463221586653</v>
      </c>
      <c r="L30" s="115">
        <f t="shared" si="6"/>
        <v>0.5197045713025833</v>
      </c>
      <c r="M30" s="115">
        <f t="shared" si="6"/>
        <v>0.34220449896117455</v>
      </c>
      <c r="N30" s="115">
        <f t="shared" si="6"/>
        <v>0.31910260957074382</v>
      </c>
      <c r="O30" s="115">
        <f t="shared" si="6"/>
        <v>0.23138143540308406</v>
      </c>
    </row>
    <row r="31" spans="2:24" x14ac:dyDescent="0.25">
      <c r="I31" s="112" t="s">
        <v>267</v>
      </c>
      <c r="J31" s="115">
        <f t="shared" si="6"/>
        <v>0.13153385144085269</v>
      </c>
      <c r="K31" s="115">
        <f t="shared" si="6"/>
        <v>0.1266668648529177</v>
      </c>
      <c r="L31" s="115">
        <f t="shared" si="6"/>
        <v>0.10436628677512108</v>
      </c>
      <c r="M31" s="115">
        <f t="shared" si="6"/>
        <v>8.360141863857079E-2</v>
      </c>
      <c r="N31" s="115">
        <f t="shared" si="6"/>
        <v>8.5486783103890851E-2</v>
      </c>
      <c r="O31" s="115">
        <f t="shared" si="6"/>
        <v>5.3525867302513935E-2</v>
      </c>
    </row>
    <row r="32" spans="2:24" x14ac:dyDescent="0.25">
      <c r="I32" s="112" t="s">
        <v>268</v>
      </c>
      <c r="J32" s="115">
        <f t="shared" si="6"/>
        <v>0.25556912650848129</v>
      </c>
      <c r="K32" s="115">
        <f t="shared" si="6"/>
        <v>0.18327919832799822</v>
      </c>
      <c r="L32" s="115">
        <f t="shared" si="6"/>
        <v>0.20325555187604982</v>
      </c>
      <c r="M32" s="115">
        <f t="shared" si="6"/>
        <v>9.9783064963043788E-2</v>
      </c>
      <c r="N32" s="115">
        <f t="shared" si="6"/>
        <v>7.2005926927326089E-2</v>
      </c>
      <c r="O32" s="115">
        <f t="shared" si="6"/>
        <v>4.7165352895757399E-2</v>
      </c>
    </row>
    <row r="33" spans="3:15" x14ac:dyDescent="0.25">
      <c r="I33" s="112" t="s">
        <v>269</v>
      </c>
      <c r="J33" s="115">
        <f t="shared" si="6"/>
        <v>1.2378826314004245</v>
      </c>
      <c r="K33" s="115">
        <f t="shared" si="6"/>
        <v>1.0369018491208073</v>
      </c>
      <c r="L33" s="115">
        <f t="shared" si="6"/>
        <v>0.84238308507058535</v>
      </c>
      <c r="M33" s="115">
        <f t="shared" si="6"/>
        <v>0.55959346810949406</v>
      </c>
      <c r="N33" s="115">
        <f t="shared" si="6"/>
        <v>0.56911248445963425</v>
      </c>
      <c r="O33" s="115">
        <f t="shared" si="6"/>
        <v>0.35541039318337531</v>
      </c>
    </row>
    <row r="34" spans="3:15" x14ac:dyDescent="0.25">
      <c r="C34" s="948" t="s">
        <v>235</v>
      </c>
      <c r="D34" s="948"/>
      <c r="F34" s="948" t="s">
        <v>235</v>
      </c>
      <c r="G34" s="948"/>
      <c r="I34" s="105" t="s">
        <v>270</v>
      </c>
      <c r="J34" s="115">
        <f t="shared" si="6"/>
        <v>2.3797834852236246</v>
      </c>
      <c r="K34" s="115">
        <f t="shared" si="6"/>
        <v>2.2062007307902736</v>
      </c>
      <c r="L34" s="115">
        <f t="shared" si="6"/>
        <v>1.6398366651105285</v>
      </c>
      <c r="M34" s="115">
        <f t="shared" si="6"/>
        <v>1.045133329525552</v>
      </c>
      <c r="N34" s="115">
        <f t="shared" si="6"/>
        <v>1.0173081505054926</v>
      </c>
      <c r="O34" s="115">
        <f t="shared" si="6"/>
        <v>0.65965053420352027</v>
      </c>
    </row>
    <row r="35" spans="3:15" x14ac:dyDescent="0.25">
      <c r="J35" s="105"/>
      <c r="K35" s="105"/>
      <c r="L35" s="105"/>
      <c r="M35" s="105"/>
      <c r="N35" s="105"/>
      <c r="O35" s="105"/>
    </row>
  </sheetData>
  <mergeCells count="8">
    <mergeCell ref="C34:D34"/>
    <mergeCell ref="F34:G34"/>
    <mergeCell ref="E2:G2"/>
    <mergeCell ref="B2:C2"/>
    <mergeCell ref="B21:C21"/>
    <mergeCell ref="E21:G21"/>
    <mergeCell ref="C15:D15"/>
    <mergeCell ref="F15:G15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3"/>
  <dimension ref="B4:X70"/>
  <sheetViews>
    <sheetView showGridLines="0" topLeftCell="B3" zoomScale="90" zoomScaleNormal="90" workbookViewId="0">
      <selection activeCell="E20" sqref="E20:F20"/>
    </sheetView>
  </sheetViews>
  <sheetFormatPr defaultColWidth="9.140625" defaultRowHeight="13.5" x14ac:dyDescent="0.25"/>
  <cols>
    <col min="1" max="1" width="9.140625" style="34"/>
    <col min="2" max="2" width="30.85546875" style="34" customWidth="1"/>
    <col min="3" max="3" width="17.140625" style="34" customWidth="1"/>
    <col min="4" max="4" width="9.140625" style="300"/>
    <col min="5" max="5" width="35.85546875" style="34" customWidth="1"/>
    <col min="6" max="6" width="15" style="34" customWidth="1"/>
    <col min="7" max="8" width="9.140625" style="34"/>
    <col min="9" max="9" width="11.5703125" style="105" bestFit="1" customWidth="1"/>
    <col min="10" max="17" width="9.7109375" style="105" bestFit="1" customWidth="1"/>
    <col min="18" max="21" width="9.140625" style="105"/>
    <col min="22" max="16384" width="9.140625" style="34"/>
  </cols>
  <sheetData>
    <row r="4" spans="2:22" ht="26.25" customHeight="1" thickBot="1" x14ac:dyDescent="0.3">
      <c r="B4" s="944" t="s">
        <v>1432</v>
      </c>
      <c r="C4" s="944"/>
      <c r="D4" s="802"/>
      <c r="E4" s="944" t="s">
        <v>1434</v>
      </c>
      <c r="F4" s="944"/>
      <c r="I4" s="122"/>
      <c r="J4" s="122">
        <v>2009</v>
      </c>
      <c r="K4" s="122">
        <v>2010</v>
      </c>
      <c r="L4" s="122">
        <v>2011</v>
      </c>
      <c r="M4" s="122">
        <v>2012</v>
      </c>
      <c r="N4" s="122">
        <v>2013</v>
      </c>
      <c r="O4" s="122">
        <v>2014</v>
      </c>
      <c r="P4" s="122">
        <v>2015</v>
      </c>
      <c r="Q4" s="123">
        <v>2016</v>
      </c>
      <c r="R4" s="123">
        <v>2017</v>
      </c>
      <c r="S4" s="123" t="s">
        <v>178</v>
      </c>
      <c r="T4" s="123" t="s">
        <v>179</v>
      </c>
      <c r="U4" s="123" t="s">
        <v>470</v>
      </c>
      <c r="V4" s="123" t="s">
        <v>1012</v>
      </c>
    </row>
    <row r="5" spans="2:22" ht="14.25" thickBot="1" x14ac:dyDescent="0.3">
      <c r="B5" s="512"/>
      <c r="C5" s="9"/>
      <c r="D5" s="513"/>
      <c r="E5" s="512"/>
      <c r="I5" s="105" t="s">
        <v>164</v>
      </c>
      <c r="J5" s="115">
        <v>0.36219349132219381</v>
      </c>
      <c r="K5" s="115">
        <v>-0.11822475052807667</v>
      </c>
      <c r="L5" s="115">
        <v>-5.0875067407307628E-2</v>
      </c>
      <c r="M5" s="115">
        <v>3.4465754503583175</v>
      </c>
      <c r="N5" s="115">
        <v>3.9201499098714336</v>
      </c>
      <c r="O5" s="115">
        <v>3.6243494065268003</v>
      </c>
      <c r="P5" s="115">
        <v>1.3297315393546985</v>
      </c>
      <c r="Q5" s="115">
        <v>2.0173660015580932</v>
      </c>
      <c r="R5" s="302">
        <v>0.98274196521201418</v>
      </c>
      <c r="S5" s="302">
        <v>2.0264151228643468</v>
      </c>
      <c r="T5" s="302">
        <v>3.3263156500840836</v>
      </c>
      <c r="U5" s="115">
        <v>4.2437065214693188</v>
      </c>
      <c r="V5" s="43">
        <v>4.8222286295263279</v>
      </c>
    </row>
    <row r="6" spans="2:22" x14ac:dyDescent="0.25">
      <c r="B6" s="76"/>
      <c r="C6" s="77"/>
      <c r="D6" s="812"/>
      <c r="E6" s="76"/>
      <c r="I6" s="105" t="s">
        <v>165</v>
      </c>
      <c r="J6" s="115">
        <v>-1.4104155028592837</v>
      </c>
      <c r="K6" s="115">
        <v>-0.96383356661557085</v>
      </c>
      <c r="L6" s="115">
        <v>-0.38170244448584251</v>
      </c>
      <c r="M6" s="115">
        <v>0.57961027556257627</v>
      </c>
      <c r="N6" s="115">
        <v>0.65237127830166075</v>
      </c>
      <c r="O6" s="115">
        <v>0.23100947249236189</v>
      </c>
      <c r="P6" s="115">
        <v>0.22878781403388285</v>
      </c>
      <c r="Q6" s="115">
        <v>0.56124367003628617</v>
      </c>
      <c r="R6" s="302">
        <v>0.97369904159303522</v>
      </c>
      <c r="S6" s="302">
        <v>0.2553236519712172</v>
      </c>
      <c r="T6" s="302">
        <v>0.14378649102811372</v>
      </c>
      <c r="U6" s="115">
        <v>0.12733698947102248</v>
      </c>
      <c r="V6" s="43">
        <v>0.18444150564755354</v>
      </c>
    </row>
    <row r="7" spans="2:22" x14ac:dyDescent="0.25">
      <c r="I7" s="105" t="s">
        <v>451</v>
      </c>
      <c r="J7" s="115">
        <v>-0.87642708695237193</v>
      </c>
      <c r="K7" s="115">
        <v>-2.7911182536768968</v>
      </c>
      <c r="L7" s="115">
        <v>-3.4059278403946527</v>
      </c>
      <c r="M7" s="115">
        <v>-1.664023344777622</v>
      </c>
      <c r="N7" s="115">
        <v>-0.67065680804646455</v>
      </c>
      <c r="O7" s="115">
        <v>-0.98608546766945815</v>
      </c>
      <c r="P7" s="115">
        <v>-1.7316610737444782</v>
      </c>
      <c r="Q7" s="115">
        <v>-2.3490299592086394</v>
      </c>
      <c r="R7" s="302">
        <v>-2.2390677189974442</v>
      </c>
      <c r="S7" s="302">
        <v>-2.4</v>
      </c>
      <c r="T7" s="302">
        <v>-2.7</v>
      </c>
      <c r="U7" s="115">
        <v>-3</v>
      </c>
      <c r="V7" s="43">
        <v>-3</v>
      </c>
    </row>
    <row r="8" spans="2:22" x14ac:dyDescent="0.25">
      <c r="I8" s="105" t="s">
        <v>452</v>
      </c>
      <c r="J8" s="115">
        <v>-1.5227578052468547</v>
      </c>
      <c r="K8" s="115">
        <v>-0.83770748539065409</v>
      </c>
      <c r="L8" s="115">
        <v>-1.1128313016719724</v>
      </c>
      <c r="M8" s="115">
        <v>-1.4217821513061768</v>
      </c>
      <c r="N8" s="115">
        <v>-2.0425876921834321</v>
      </c>
      <c r="O8" s="115">
        <v>-1.725372821649477</v>
      </c>
      <c r="P8" s="115">
        <v>-1.5600721467252969</v>
      </c>
      <c r="Q8" s="115">
        <v>-1.6868553287956376</v>
      </c>
      <c r="R8" s="302">
        <v>-1.4966136688848097</v>
      </c>
      <c r="S8" s="302">
        <v>-1.5</v>
      </c>
      <c r="T8" s="302">
        <v>-1.5</v>
      </c>
      <c r="U8" s="115">
        <v>-1.5</v>
      </c>
      <c r="V8" s="43">
        <v>-1.5</v>
      </c>
    </row>
    <row r="9" spans="2:22" x14ac:dyDescent="0.25">
      <c r="I9" s="149" t="s">
        <v>180</v>
      </c>
      <c r="J9" s="509">
        <v>-3.4474069037363173</v>
      </c>
      <c r="K9" s="509">
        <v>-4.7108840562111984</v>
      </c>
      <c r="L9" s="509">
        <v>-4.9513366539597747</v>
      </c>
      <c r="M9" s="509">
        <v>0.94038022983709502</v>
      </c>
      <c r="N9" s="509">
        <v>1.8592766879431979</v>
      </c>
      <c r="O9" s="509">
        <v>1.1439005897002272</v>
      </c>
      <c r="P9" s="509">
        <v>-1.7332138670811934</v>
      </c>
      <c r="Q9" s="509">
        <v>-1.4572756164098981</v>
      </c>
      <c r="R9" s="150">
        <v>-1.7792403810772046</v>
      </c>
      <c r="S9" s="150">
        <v>-1.6182612251644362</v>
      </c>
      <c r="T9" s="150">
        <v>-0.72989785888780268</v>
      </c>
      <c r="U9" s="509">
        <v>-0.12895648905965801</v>
      </c>
      <c r="V9" s="43">
        <v>0.50667013517388204</v>
      </c>
    </row>
    <row r="11" spans="2:22" x14ac:dyDescent="0.25">
      <c r="J11" s="105">
        <v>100</v>
      </c>
    </row>
    <row r="13" spans="2:22" ht="14.25" thickBot="1" x14ac:dyDescent="0.3">
      <c r="I13" s="124"/>
      <c r="J13" s="125">
        <v>2015</v>
      </c>
      <c r="K13" s="125">
        <v>2016</v>
      </c>
      <c r="L13" s="125">
        <v>2017</v>
      </c>
      <c r="M13" s="125" t="s">
        <v>178</v>
      </c>
      <c r="N13" s="125" t="s">
        <v>179</v>
      </c>
      <c r="O13" s="125" t="s">
        <v>470</v>
      </c>
      <c r="P13" s="125" t="s">
        <v>1012</v>
      </c>
      <c r="Q13" s="107"/>
      <c r="R13" s="107"/>
      <c r="S13" s="107"/>
      <c r="T13" s="107"/>
      <c r="U13" s="107"/>
    </row>
    <row r="14" spans="2:22" x14ac:dyDescent="0.25">
      <c r="I14" s="108" t="s">
        <v>166</v>
      </c>
      <c r="J14" s="109">
        <v>-0.32875013973152623</v>
      </c>
      <c r="K14" s="109">
        <v>-0.51947654708679458</v>
      </c>
      <c r="L14" s="109">
        <v>1.3067541252434145</v>
      </c>
      <c r="M14" s="109">
        <v>2.0266667109876568</v>
      </c>
      <c r="N14" s="109">
        <v>2.0328790754654769</v>
      </c>
      <c r="O14" s="109">
        <v>2.194873622108795</v>
      </c>
      <c r="P14" s="109">
        <v>2.3473866130593324</v>
      </c>
    </row>
    <row r="15" spans="2:22" x14ac:dyDescent="0.25">
      <c r="I15" s="108" t="s">
        <v>167</v>
      </c>
      <c r="J15" s="109">
        <v>8.0361902228480303E-2</v>
      </c>
      <c r="K15" s="109">
        <v>0.17326684800518732</v>
      </c>
      <c r="L15" s="109">
        <v>0.8755332671193965</v>
      </c>
      <c r="M15" s="109">
        <v>1.2554850865322158</v>
      </c>
      <c r="N15" s="109">
        <v>1.5215490243778111</v>
      </c>
      <c r="O15" s="109">
        <v>1.7071420709837555</v>
      </c>
      <c r="P15" s="109">
        <v>1.7891367154547324</v>
      </c>
    </row>
    <row r="16" spans="2:22" x14ac:dyDescent="0.25">
      <c r="I16" s="108" t="s">
        <v>168</v>
      </c>
      <c r="J16" s="109">
        <v>-5.8309333918574464E-2</v>
      </c>
      <c r="K16" s="109">
        <v>-0.12327950232979722</v>
      </c>
      <c r="L16" s="109">
        <v>0.71369693521385291</v>
      </c>
      <c r="M16" s="109">
        <v>0.4928795830507246</v>
      </c>
      <c r="N16" s="109">
        <v>0.32259095000665738</v>
      </c>
      <c r="O16" s="109">
        <v>0.45142076500862338</v>
      </c>
      <c r="P16" s="109">
        <v>0.52035481367727321</v>
      </c>
    </row>
    <row r="17" spans="2:22" x14ac:dyDescent="0.25">
      <c r="C17" s="345" t="s">
        <v>19</v>
      </c>
      <c r="F17" s="345" t="s">
        <v>19</v>
      </c>
      <c r="I17" s="108" t="s">
        <v>169</v>
      </c>
      <c r="J17" s="109">
        <v>-0.32891149570573314</v>
      </c>
      <c r="K17" s="109">
        <v>-0.2461164033808719</v>
      </c>
      <c r="L17" s="109">
        <v>-0.38336891664329964</v>
      </c>
      <c r="M17" s="109">
        <v>0.28503070636560962</v>
      </c>
      <c r="N17" s="109">
        <v>0.18846286030849391</v>
      </c>
      <c r="O17" s="109">
        <v>3.7887236640763856E-2</v>
      </c>
      <c r="P17" s="109">
        <v>3.7887236640754843E-2</v>
      </c>
    </row>
    <row r="18" spans="2:22" x14ac:dyDescent="0.25">
      <c r="I18" s="108"/>
      <c r="J18" s="109"/>
      <c r="K18" s="109"/>
      <c r="L18" s="109"/>
      <c r="M18" s="109"/>
      <c r="N18" s="109"/>
      <c r="O18" s="109"/>
    </row>
    <row r="20" spans="2:22" ht="29.25" customHeight="1" thickBot="1" x14ac:dyDescent="0.3">
      <c r="B20" s="944" t="s">
        <v>1433</v>
      </c>
      <c r="C20" s="944"/>
      <c r="D20" s="802"/>
      <c r="E20" s="944" t="s">
        <v>1435</v>
      </c>
      <c r="F20" s="944"/>
      <c r="I20" s="122"/>
      <c r="J20" s="122">
        <v>2009</v>
      </c>
      <c r="K20" s="122">
        <v>2010</v>
      </c>
      <c r="L20" s="122">
        <v>2011</v>
      </c>
      <c r="M20" s="122">
        <v>2012</v>
      </c>
      <c r="N20" s="122">
        <v>2013</v>
      </c>
      <c r="O20" s="122">
        <v>2014</v>
      </c>
      <c r="P20" s="122">
        <v>2015</v>
      </c>
      <c r="Q20" s="123">
        <v>2016</v>
      </c>
      <c r="R20" s="123">
        <v>2017</v>
      </c>
      <c r="S20" s="123" t="s">
        <v>178</v>
      </c>
      <c r="T20" s="123" t="s">
        <v>179</v>
      </c>
      <c r="U20" s="123" t="s">
        <v>470</v>
      </c>
      <c r="V20" s="123" t="s">
        <v>179</v>
      </c>
    </row>
    <row r="21" spans="2:22" x14ac:dyDescent="0.25">
      <c r="I21" s="105" t="s">
        <v>271</v>
      </c>
      <c r="J21" s="115">
        <v>0.36219349132219381</v>
      </c>
      <c r="K21" s="115">
        <v>-0.11822475052807667</v>
      </c>
      <c r="L21" s="115">
        <v>-5.0875067407307628E-2</v>
      </c>
      <c r="M21" s="115">
        <v>3.4465754503583175</v>
      </c>
      <c r="N21" s="115">
        <v>3.9201499098714336</v>
      </c>
      <c r="O21" s="115">
        <v>3.6243494065268003</v>
      </c>
      <c r="P21" s="115">
        <v>1.3297315393546985</v>
      </c>
      <c r="Q21" s="115">
        <v>2.0173660015580932</v>
      </c>
      <c r="R21" s="302">
        <v>0.98274196521201418</v>
      </c>
      <c r="S21" s="302">
        <v>2.0264151228643468</v>
      </c>
      <c r="T21" s="302">
        <v>3.3263156500840836</v>
      </c>
      <c r="U21" s="115">
        <v>4.2437065214693188</v>
      </c>
      <c r="V21" s="43">
        <v>4.8222286295263279</v>
      </c>
    </row>
    <row r="22" spans="2:22" x14ac:dyDescent="0.25">
      <c r="I22" s="105" t="s">
        <v>272</v>
      </c>
      <c r="J22" s="115">
        <v>-1.4104155028592837</v>
      </c>
      <c r="K22" s="115">
        <v>-0.96383356661557085</v>
      </c>
      <c r="L22" s="115">
        <v>-0.38170244448584251</v>
      </c>
      <c r="M22" s="115">
        <v>0.57961027556257627</v>
      </c>
      <c r="N22" s="115">
        <v>0.65237127830166075</v>
      </c>
      <c r="O22" s="115">
        <v>0.23100947249236189</v>
      </c>
      <c r="P22" s="115">
        <v>0.22878781403388285</v>
      </c>
      <c r="Q22" s="115">
        <v>0.56124367003628617</v>
      </c>
      <c r="R22" s="302">
        <v>0.97369904159303522</v>
      </c>
      <c r="S22" s="302">
        <v>0.2553236519712172</v>
      </c>
      <c r="T22" s="302">
        <v>0.14378649102811372</v>
      </c>
      <c r="U22" s="115">
        <v>0.12733698947102248</v>
      </c>
      <c r="V22" s="43">
        <v>0.18444150564755354</v>
      </c>
    </row>
    <row r="23" spans="2:22" x14ac:dyDescent="0.25">
      <c r="I23" s="105" t="s">
        <v>453</v>
      </c>
      <c r="J23" s="115">
        <v>-0.87642708695237193</v>
      </c>
      <c r="K23" s="115">
        <v>-2.7911182536768968</v>
      </c>
      <c r="L23" s="115">
        <v>-3.4059278403946527</v>
      </c>
      <c r="M23" s="115">
        <v>-1.664023344777622</v>
      </c>
      <c r="N23" s="115">
        <v>-0.67065680804646455</v>
      </c>
      <c r="O23" s="115">
        <v>-0.98608546766945815</v>
      </c>
      <c r="P23" s="115">
        <v>-1.7316610737444782</v>
      </c>
      <c r="Q23" s="115">
        <v>-2.3490299592086394</v>
      </c>
      <c r="R23" s="302">
        <v>-2.2390677189974442</v>
      </c>
      <c r="S23" s="302">
        <v>-2.4</v>
      </c>
      <c r="T23" s="302">
        <v>-2.7</v>
      </c>
      <c r="U23" s="115">
        <v>-3</v>
      </c>
      <c r="V23" s="43">
        <v>-3</v>
      </c>
    </row>
    <row r="24" spans="2:22" x14ac:dyDescent="0.25">
      <c r="I24" s="105" t="s">
        <v>454</v>
      </c>
      <c r="J24" s="115">
        <v>-1.5227578052468547</v>
      </c>
      <c r="K24" s="115">
        <v>-0.83770748539065409</v>
      </c>
      <c r="L24" s="115">
        <v>-1.1128313016719724</v>
      </c>
      <c r="M24" s="115">
        <v>-1.4217821513061768</v>
      </c>
      <c r="N24" s="115">
        <v>-2.0425876921834321</v>
      </c>
      <c r="O24" s="115">
        <v>-1.725372821649477</v>
      </c>
      <c r="P24" s="115">
        <v>-1.5600721467252969</v>
      </c>
      <c r="Q24" s="115">
        <v>-1.6868553287956376</v>
      </c>
      <c r="R24" s="302">
        <v>-1.4966136688848097</v>
      </c>
      <c r="S24" s="302">
        <v>-1.5</v>
      </c>
      <c r="T24" s="302">
        <v>-1.5</v>
      </c>
      <c r="U24" s="115">
        <v>-1.5</v>
      </c>
      <c r="V24" s="43">
        <v>-1.5</v>
      </c>
    </row>
    <row r="25" spans="2:22" x14ac:dyDescent="0.25">
      <c r="I25" s="105" t="s">
        <v>273</v>
      </c>
      <c r="J25" s="509">
        <v>-3.4474069037363173</v>
      </c>
      <c r="K25" s="509">
        <v>-4.7108840562111984</v>
      </c>
      <c r="L25" s="509">
        <v>-4.9513366539597747</v>
      </c>
      <c r="M25" s="509">
        <v>0.94038022983709502</v>
      </c>
      <c r="N25" s="509">
        <v>1.8592766879431979</v>
      </c>
      <c r="O25" s="509">
        <v>1.1439005897002272</v>
      </c>
      <c r="P25" s="509">
        <v>-1.7332138670811934</v>
      </c>
      <c r="Q25" s="509">
        <v>-1.4572756164098981</v>
      </c>
      <c r="R25" s="150">
        <v>-1.7792403810772046</v>
      </c>
      <c r="S25" s="150">
        <v>-1.6182612251644362</v>
      </c>
      <c r="T25" s="150">
        <v>-0.72989785888780268</v>
      </c>
      <c r="U25" s="509">
        <v>-0.12895648905965801</v>
      </c>
      <c r="V25" s="43">
        <v>0.50667013517388204</v>
      </c>
    </row>
    <row r="29" spans="2:22" ht="14.25" thickBot="1" x14ac:dyDescent="0.3">
      <c r="I29" s="124"/>
      <c r="J29" s="125">
        <v>2014</v>
      </c>
      <c r="K29" s="125">
        <v>2015</v>
      </c>
      <c r="L29" s="125">
        <v>2016</v>
      </c>
      <c r="M29" s="125" t="s">
        <v>177</v>
      </c>
      <c r="N29" s="125" t="s">
        <v>178</v>
      </c>
      <c r="O29" s="125" t="s">
        <v>179</v>
      </c>
      <c r="P29" s="125" t="s">
        <v>470</v>
      </c>
    </row>
    <row r="30" spans="2:22" x14ac:dyDescent="0.25">
      <c r="I30" s="105" t="s">
        <v>274</v>
      </c>
      <c r="J30" s="109">
        <v>-0.10724115046615143</v>
      </c>
      <c r="K30" s="109">
        <v>-0.30685544460117209</v>
      </c>
      <c r="L30" s="109">
        <v>-0.51947654708679458</v>
      </c>
      <c r="M30" s="109">
        <v>1.0950972835435557</v>
      </c>
      <c r="N30" s="109">
        <v>1.6775191223474151</v>
      </c>
      <c r="O30" s="109">
        <v>1.8944804694612127</v>
      </c>
      <c r="P30" s="109">
        <v>2.1311544952605121</v>
      </c>
    </row>
    <row r="31" spans="2:22" x14ac:dyDescent="0.25">
      <c r="I31" s="105" t="s">
        <v>275</v>
      </c>
      <c r="J31" s="109">
        <v>0.26658832754590783</v>
      </c>
      <c r="K31" s="109">
        <v>8.6094893216599952E-2</v>
      </c>
      <c r="L31" s="109">
        <v>0.45892263481685747</v>
      </c>
      <c r="M31" s="109">
        <v>1.1423262420594484</v>
      </c>
      <c r="N31" s="109">
        <v>1.2786410817071783</v>
      </c>
      <c r="O31" s="109">
        <v>1.5725036543301107</v>
      </c>
      <c r="P31" s="109">
        <v>1.7468263439999665</v>
      </c>
    </row>
    <row r="32" spans="2:22" x14ac:dyDescent="0.25">
      <c r="I32" s="105" t="s">
        <v>276</v>
      </c>
      <c r="J32" s="109">
        <v>-0.12349306005762417</v>
      </c>
      <c r="K32" s="109">
        <v>-6.2469102124757807E-2</v>
      </c>
      <c r="L32" s="109">
        <v>-0.32652382541412461</v>
      </c>
      <c r="M32" s="109">
        <v>0.26046912998791155</v>
      </c>
      <c r="N32" s="109">
        <v>0.16341635069565374</v>
      </c>
      <c r="O32" s="109">
        <v>0.2831115672470248</v>
      </c>
      <c r="P32" s="109">
        <v>0.34552307765107626</v>
      </c>
    </row>
    <row r="33" spans="2:16" x14ac:dyDescent="0.25">
      <c r="I33" s="105" t="s">
        <v>277</v>
      </c>
      <c r="J33" s="109">
        <v>-0.21215113165132043</v>
      </c>
      <c r="K33" s="109">
        <v>-0.35237593082336832</v>
      </c>
      <c r="L33" s="109">
        <v>-0.65187535648952744</v>
      </c>
      <c r="M33" s="109">
        <v>-0.22899100714636098</v>
      </c>
      <c r="N33" s="109">
        <v>0.15636274906735162</v>
      </c>
      <c r="O33" s="109">
        <v>3.8865247884077074E-2</v>
      </c>
      <c r="P33" s="109">
        <v>3.8805073609469498E-2</v>
      </c>
    </row>
    <row r="34" spans="2:16" x14ac:dyDescent="0.25">
      <c r="B34" s="105"/>
      <c r="C34" s="345" t="s">
        <v>235</v>
      </c>
      <c r="D34" s="128"/>
      <c r="F34" s="345" t="s">
        <v>235</v>
      </c>
    </row>
    <row r="35" spans="2:16" x14ac:dyDescent="0.25">
      <c r="C35" s="105"/>
    </row>
    <row r="38" spans="2:16" x14ac:dyDescent="0.25">
      <c r="I38" s="34"/>
    </row>
    <row r="39" spans="2:16" x14ac:dyDescent="0.25">
      <c r="I39" s="34"/>
    </row>
    <row r="40" spans="2:16" x14ac:dyDescent="0.25">
      <c r="I40" s="34"/>
      <c r="J40" s="510"/>
      <c r="K40" s="510"/>
      <c r="L40" s="510"/>
      <c r="M40" s="510"/>
      <c r="N40" s="510"/>
    </row>
    <row r="41" spans="2:16" x14ac:dyDescent="0.25">
      <c r="I41" s="34"/>
      <c r="J41" s="510"/>
      <c r="K41" s="510"/>
      <c r="L41" s="510"/>
      <c r="M41" s="510"/>
      <c r="N41" s="510"/>
    </row>
    <row r="42" spans="2:16" x14ac:dyDescent="0.25">
      <c r="I42" s="34"/>
      <c r="J42" s="510"/>
      <c r="K42" s="510"/>
      <c r="L42" s="510"/>
      <c r="M42" s="510"/>
      <c r="N42" s="510"/>
    </row>
    <row r="43" spans="2:16" x14ac:dyDescent="0.25">
      <c r="I43" s="34"/>
      <c r="J43" s="510"/>
      <c r="K43" s="510"/>
      <c r="L43" s="510"/>
      <c r="M43" s="510"/>
      <c r="N43" s="510"/>
    </row>
    <row r="44" spans="2:16" x14ac:dyDescent="0.25">
      <c r="I44" s="34"/>
      <c r="J44" s="510"/>
      <c r="K44" s="510"/>
      <c r="L44" s="510"/>
      <c r="M44" s="510"/>
      <c r="N44" s="510"/>
    </row>
    <row r="45" spans="2:16" x14ac:dyDescent="0.25">
      <c r="I45" s="34"/>
      <c r="J45" s="510"/>
      <c r="K45" s="510"/>
      <c r="L45" s="510"/>
      <c r="M45" s="510"/>
      <c r="N45" s="510"/>
    </row>
    <row r="46" spans="2:16" x14ac:dyDescent="0.25">
      <c r="I46" s="34"/>
      <c r="J46" s="510"/>
      <c r="K46" s="510"/>
      <c r="L46" s="510"/>
      <c r="M46" s="510"/>
      <c r="N46" s="510"/>
    </row>
    <row r="47" spans="2:16" x14ac:dyDescent="0.25">
      <c r="I47" s="34"/>
      <c r="J47" s="510"/>
      <c r="K47" s="510"/>
      <c r="L47" s="510"/>
      <c r="M47" s="510"/>
      <c r="N47" s="510"/>
    </row>
    <row r="48" spans="2:16" x14ac:dyDescent="0.25">
      <c r="I48" s="34"/>
      <c r="J48" s="510"/>
      <c r="K48" s="510"/>
      <c r="L48" s="510"/>
      <c r="M48" s="510"/>
      <c r="N48" s="510"/>
    </row>
    <row r="49" spans="9:24" x14ac:dyDescent="0.25">
      <c r="I49" s="34"/>
      <c r="J49" s="510"/>
      <c r="K49" s="510"/>
      <c r="L49" s="510"/>
      <c r="M49" s="510"/>
      <c r="N49" s="510"/>
    </row>
    <row r="50" spans="9:24" x14ac:dyDescent="0.25">
      <c r="I50" s="34"/>
      <c r="J50" s="510"/>
      <c r="K50" s="510"/>
      <c r="L50" s="510"/>
      <c r="M50" s="510"/>
      <c r="N50" s="510"/>
      <c r="V50" s="105"/>
      <c r="W50" s="511"/>
      <c r="X50" s="511"/>
    </row>
    <row r="51" spans="9:24" x14ac:dyDescent="0.25">
      <c r="I51" s="34"/>
      <c r="J51" s="510"/>
      <c r="K51" s="510"/>
      <c r="L51" s="510"/>
      <c r="M51" s="510"/>
      <c r="N51" s="510"/>
      <c r="V51" s="105"/>
      <c r="W51" s="511"/>
      <c r="X51" s="511"/>
    </row>
    <row r="52" spans="9:24" x14ac:dyDescent="0.25">
      <c r="I52" s="34"/>
      <c r="J52" s="510"/>
      <c r="K52" s="510"/>
      <c r="L52" s="510"/>
      <c r="M52" s="510"/>
      <c r="N52" s="510"/>
      <c r="V52" s="105"/>
      <c r="W52" s="511"/>
      <c r="X52" s="511"/>
    </row>
    <row r="53" spans="9:24" x14ac:dyDescent="0.25">
      <c r="I53" s="34"/>
      <c r="V53" s="105"/>
      <c r="W53" s="511"/>
      <c r="X53" s="511"/>
    </row>
    <row r="54" spans="9:24" x14ac:dyDescent="0.25">
      <c r="I54" s="34"/>
      <c r="V54" s="105"/>
      <c r="W54" s="511"/>
      <c r="X54" s="511"/>
    </row>
    <row r="55" spans="9:24" x14ac:dyDescent="0.25">
      <c r="I55" s="34"/>
    </row>
    <row r="56" spans="9:24" x14ac:dyDescent="0.25">
      <c r="I56" s="34"/>
    </row>
    <row r="57" spans="9:24" x14ac:dyDescent="0.25">
      <c r="I57" s="34"/>
    </row>
    <row r="58" spans="9:24" x14ac:dyDescent="0.25">
      <c r="I58" s="34"/>
    </row>
    <row r="59" spans="9:24" x14ac:dyDescent="0.25">
      <c r="I59" s="34"/>
    </row>
    <row r="60" spans="9:24" x14ac:dyDescent="0.25">
      <c r="I60" s="34"/>
    </row>
    <row r="61" spans="9:24" x14ac:dyDescent="0.25">
      <c r="I61" s="34"/>
    </row>
    <row r="62" spans="9:24" x14ac:dyDescent="0.25">
      <c r="I62" s="34"/>
    </row>
    <row r="63" spans="9:24" x14ac:dyDescent="0.25">
      <c r="I63" s="34"/>
    </row>
    <row r="64" spans="9:24" x14ac:dyDescent="0.25">
      <c r="I64" s="34"/>
    </row>
    <row r="65" spans="9:9" x14ac:dyDescent="0.25">
      <c r="I65" s="34"/>
    </row>
    <row r="66" spans="9:9" x14ac:dyDescent="0.25">
      <c r="I66" s="34"/>
    </row>
    <row r="67" spans="9:9" x14ac:dyDescent="0.25">
      <c r="I67" s="34"/>
    </row>
    <row r="68" spans="9:9" x14ac:dyDescent="0.25">
      <c r="I68" s="34"/>
    </row>
    <row r="69" spans="9:9" x14ac:dyDescent="0.25">
      <c r="I69" s="34"/>
    </row>
    <row r="70" spans="9:9" x14ac:dyDescent="0.25">
      <c r="I70" s="34"/>
    </row>
  </sheetData>
  <mergeCells count="4">
    <mergeCell ref="B4:C4"/>
    <mergeCell ref="E4:F4"/>
    <mergeCell ref="B20:C20"/>
    <mergeCell ref="E20:F20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B4:H31"/>
  <sheetViews>
    <sheetView showGridLines="0" zoomScale="85" zoomScaleNormal="85" workbookViewId="0">
      <selection activeCell="B30" sqref="B30:D31"/>
    </sheetView>
  </sheetViews>
  <sheetFormatPr defaultColWidth="9.140625" defaultRowHeight="13.5" x14ac:dyDescent="0.25"/>
  <cols>
    <col min="1" max="1" width="9.140625" style="34"/>
    <col min="2" max="2" width="28.85546875" style="34" bestFit="1" customWidth="1"/>
    <col min="3" max="5" width="9.140625" style="34"/>
    <col min="6" max="6" width="9.28515625" style="34" customWidth="1"/>
    <col min="7" max="16384" width="9.140625" style="34"/>
  </cols>
  <sheetData>
    <row r="4" spans="2:8" ht="14.25" thickBot="1" x14ac:dyDescent="0.3">
      <c r="B4" s="919" t="s">
        <v>409</v>
      </c>
      <c r="C4" s="919"/>
      <c r="D4" s="919"/>
      <c r="E4" s="919"/>
      <c r="F4" s="919"/>
    </row>
    <row r="5" spans="2:8" ht="14.25" thickBot="1" x14ac:dyDescent="0.3">
      <c r="B5" s="518"/>
      <c r="C5" s="523">
        <v>2016</v>
      </c>
      <c r="D5" s="523">
        <v>2017</v>
      </c>
      <c r="E5" s="523">
        <v>2018</v>
      </c>
      <c r="F5" s="523">
        <v>2019</v>
      </c>
      <c r="G5" s="523">
        <v>2020</v>
      </c>
      <c r="H5" s="523">
        <v>2021</v>
      </c>
    </row>
    <row r="6" spans="2:8" x14ac:dyDescent="0.25">
      <c r="B6" s="433" t="s">
        <v>207</v>
      </c>
      <c r="C6" s="524">
        <v>50</v>
      </c>
      <c r="D6" s="524">
        <v>500</v>
      </c>
      <c r="E6" s="524">
        <v>630</v>
      </c>
      <c r="F6" s="524">
        <v>203</v>
      </c>
      <c r="G6" s="524">
        <v>23</v>
      </c>
      <c r="H6" s="524">
        <v>0</v>
      </c>
    </row>
    <row r="7" spans="2:8" x14ac:dyDescent="0.25">
      <c r="B7" s="433" t="s">
        <v>171</v>
      </c>
      <c r="C7" s="525"/>
      <c r="D7" s="525"/>
      <c r="E7" s="524">
        <v>100</v>
      </c>
      <c r="F7" s="526">
        <v>1200</v>
      </c>
      <c r="G7" s="526">
        <v>2500</v>
      </c>
      <c r="H7" s="526">
        <v>3600</v>
      </c>
    </row>
    <row r="8" spans="2:8" x14ac:dyDescent="0.25">
      <c r="B8" s="433" t="s">
        <v>172</v>
      </c>
      <c r="C8" s="524"/>
      <c r="D8" s="524"/>
      <c r="E8" s="526">
        <v>5000</v>
      </c>
      <c r="F8" s="526">
        <v>55000</v>
      </c>
      <c r="G8" s="526">
        <v>100000</v>
      </c>
      <c r="H8" s="526">
        <v>130000</v>
      </c>
    </row>
    <row r="9" spans="2:8" x14ac:dyDescent="0.25">
      <c r="B9" s="527" t="s">
        <v>173</v>
      </c>
      <c r="C9" s="525"/>
      <c r="D9" s="525"/>
      <c r="E9" s="526">
        <v>5000</v>
      </c>
      <c r="F9" s="526">
        <v>50000</v>
      </c>
      <c r="G9" s="526">
        <v>75000</v>
      </c>
      <c r="H9" s="526">
        <v>80000</v>
      </c>
    </row>
    <row r="10" spans="2:8" x14ac:dyDescent="0.25">
      <c r="B10" s="527" t="s">
        <v>174</v>
      </c>
      <c r="C10" s="524"/>
      <c r="D10" s="524"/>
      <c r="E10" s="524"/>
      <c r="F10" s="526">
        <v>5000</v>
      </c>
      <c r="G10" s="526">
        <v>25000</v>
      </c>
      <c r="H10" s="526">
        <v>50000</v>
      </c>
    </row>
    <row r="11" spans="2:8" x14ac:dyDescent="0.25">
      <c r="B11" s="433" t="s">
        <v>1007</v>
      </c>
      <c r="C11" s="524">
        <v>164</v>
      </c>
      <c r="D11" s="524">
        <v>405</v>
      </c>
      <c r="E11" s="526">
        <v>1168.3333333333335</v>
      </c>
      <c r="F11" s="526">
        <v>2025.3913043478262</v>
      </c>
      <c r="G11" s="526">
        <v>2456.1333333333332</v>
      </c>
      <c r="H11" s="526">
        <v>2456.1333333333332</v>
      </c>
    </row>
    <row r="12" spans="2:8" x14ac:dyDescent="0.25">
      <c r="B12" s="433" t="s">
        <v>175</v>
      </c>
      <c r="C12" s="524">
        <v>410</v>
      </c>
      <c r="D12" s="526">
        <v>1094</v>
      </c>
      <c r="E12" s="526">
        <v>3388.3333333333339</v>
      </c>
      <c r="F12" s="526">
        <v>6076.1739130434789</v>
      </c>
      <c r="G12" s="526">
        <v>7613.6666666666661</v>
      </c>
      <c r="H12" s="526">
        <v>7613.6666666666661</v>
      </c>
    </row>
    <row r="13" spans="2:8" ht="15.75" x14ac:dyDescent="0.25">
      <c r="B13" s="433" t="s">
        <v>1008</v>
      </c>
      <c r="C13" s="528">
        <v>0.48</v>
      </c>
      <c r="D13" s="528">
        <v>0.59</v>
      </c>
      <c r="E13" s="528">
        <v>0.74</v>
      </c>
      <c r="F13" s="528">
        <v>0.79</v>
      </c>
      <c r="G13" s="528">
        <v>0.79</v>
      </c>
      <c r="H13" s="528">
        <v>0.79</v>
      </c>
    </row>
    <row r="14" spans="2:8" ht="14.25" thickBot="1" x14ac:dyDescent="0.3">
      <c r="B14" s="529" t="s">
        <v>176</v>
      </c>
      <c r="C14" s="530"/>
      <c r="D14" s="530"/>
      <c r="E14" s="531">
        <v>0.67</v>
      </c>
      <c r="F14" s="531">
        <v>0.67</v>
      </c>
      <c r="G14" s="531">
        <v>0.67</v>
      </c>
      <c r="H14" s="531">
        <v>0.67</v>
      </c>
    </row>
    <row r="15" spans="2:8" ht="27" customHeight="1" x14ac:dyDescent="0.25">
      <c r="B15" s="950" t="s">
        <v>1009</v>
      </c>
      <c r="C15" s="950"/>
      <c r="D15" s="950"/>
      <c r="E15" s="952" t="s">
        <v>299</v>
      </c>
      <c r="F15" s="952"/>
      <c r="G15" s="952"/>
      <c r="H15" s="952"/>
    </row>
    <row r="16" spans="2:8" ht="20.25" customHeight="1" x14ac:dyDescent="0.25">
      <c r="B16" s="951"/>
      <c r="C16" s="951"/>
      <c r="D16" s="951"/>
      <c r="E16" s="100"/>
      <c r="F16" s="100"/>
    </row>
    <row r="18" spans="2:8" ht="14.25" thickBot="1" x14ac:dyDescent="0.3">
      <c r="B18" s="919" t="s">
        <v>410</v>
      </c>
      <c r="C18" s="919"/>
      <c r="D18" s="919"/>
      <c r="E18" s="919"/>
      <c r="F18" s="919"/>
    </row>
    <row r="19" spans="2:8" ht="14.25" thickBot="1" x14ac:dyDescent="0.3">
      <c r="B19" s="518"/>
      <c r="C19" s="523">
        <v>2016</v>
      </c>
      <c r="D19" s="523">
        <v>2017</v>
      </c>
      <c r="E19" s="523">
        <v>2018</v>
      </c>
      <c r="F19" s="523">
        <v>2019</v>
      </c>
      <c r="G19" s="523">
        <v>2020</v>
      </c>
      <c r="H19" s="523">
        <v>2020</v>
      </c>
    </row>
    <row r="20" spans="2:8" x14ac:dyDescent="0.25">
      <c r="B20" s="433" t="s">
        <v>305</v>
      </c>
      <c r="C20" s="524">
        <v>50</v>
      </c>
      <c r="D20" s="524">
        <v>500</v>
      </c>
      <c r="E20" s="524">
        <v>630</v>
      </c>
      <c r="F20" s="524">
        <v>203</v>
      </c>
      <c r="G20" s="524">
        <v>23</v>
      </c>
      <c r="H20" s="524">
        <v>0</v>
      </c>
    </row>
    <row r="21" spans="2:8" x14ac:dyDescent="0.25">
      <c r="B21" s="433" t="s">
        <v>300</v>
      </c>
      <c r="C21" s="525"/>
      <c r="D21" s="525"/>
      <c r="E21" s="524">
        <v>100</v>
      </c>
      <c r="F21" s="526">
        <v>1200</v>
      </c>
      <c r="G21" s="526">
        <v>2500</v>
      </c>
      <c r="H21" s="526">
        <v>3600</v>
      </c>
    </row>
    <row r="22" spans="2:8" x14ac:dyDescent="0.25">
      <c r="B22" s="433" t="s">
        <v>301</v>
      </c>
      <c r="C22" s="524"/>
      <c r="D22" s="524"/>
      <c r="E22" s="526">
        <v>5000</v>
      </c>
      <c r="F22" s="526">
        <v>55000</v>
      </c>
      <c r="G22" s="526">
        <v>100000</v>
      </c>
      <c r="H22" s="526">
        <v>130000</v>
      </c>
    </row>
    <row r="23" spans="2:8" x14ac:dyDescent="0.25">
      <c r="B23" s="527" t="s">
        <v>173</v>
      </c>
      <c r="C23" s="525"/>
      <c r="D23" s="525"/>
      <c r="E23" s="526">
        <v>5000</v>
      </c>
      <c r="F23" s="526">
        <v>50000</v>
      </c>
      <c r="G23" s="526">
        <v>75000</v>
      </c>
      <c r="H23" s="526">
        <v>80000</v>
      </c>
    </row>
    <row r="24" spans="2:8" x14ac:dyDescent="0.25">
      <c r="B24" s="527" t="s">
        <v>174</v>
      </c>
      <c r="C24" s="524"/>
      <c r="D24" s="524"/>
      <c r="E24" s="524"/>
      <c r="F24" s="526">
        <v>5000</v>
      </c>
      <c r="G24" s="526">
        <v>25000</v>
      </c>
      <c r="H24" s="526">
        <v>50000</v>
      </c>
    </row>
    <row r="25" spans="2:8" x14ac:dyDescent="0.25">
      <c r="B25" s="433" t="s">
        <v>1010</v>
      </c>
      <c r="C25" s="524">
        <v>164</v>
      </c>
      <c r="D25" s="524">
        <v>405</v>
      </c>
      <c r="E25" s="526">
        <v>1168.3333333333335</v>
      </c>
      <c r="F25" s="526">
        <v>2025.3913043478262</v>
      </c>
      <c r="G25" s="526">
        <v>2456.1333333333332</v>
      </c>
      <c r="H25" s="526">
        <v>2456.1333333333332</v>
      </c>
    </row>
    <row r="26" spans="2:8" x14ac:dyDescent="0.25">
      <c r="B26" s="433" t="s">
        <v>302</v>
      </c>
      <c r="C26" s="524">
        <v>410</v>
      </c>
      <c r="D26" s="526">
        <v>1094</v>
      </c>
      <c r="E26" s="526">
        <v>3388.3333333333339</v>
      </c>
      <c r="F26" s="526">
        <v>6076.1739130434789</v>
      </c>
      <c r="G26" s="526">
        <v>7613.6666666666661</v>
      </c>
      <c r="H26" s="526">
        <v>7613.6666666666661</v>
      </c>
    </row>
    <row r="27" spans="2:8" ht="15.75" x14ac:dyDescent="0.25">
      <c r="B27" s="433" t="s">
        <v>1011</v>
      </c>
      <c r="C27" s="528">
        <v>0.48</v>
      </c>
      <c r="D27" s="528">
        <v>0.59</v>
      </c>
      <c r="E27" s="528">
        <v>0.74</v>
      </c>
      <c r="F27" s="528">
        <v>0.79</v>
      </c>
      <c r="G27" s="528">
        <v>0.79</v>
      </c>
      <c r="H27" s="528">
        <v>0.79</v>
      </c>
    </row>
    <row r="28" spans="2:8" ht="14.25" thickBot="1" x14ac:dyDescent="0.3">
      <c r="B28" s="529" t="s">
        <v>303</v>
      </c>
      <c r="C28" s="530"/>
      <c r="D28" s="530"/>
      <c r="E28" s="531">
        <v>0.67</v>
      </c>
      <c r="F28" s="531">
        <v>0.67</v>
      </c>
      <c r="G28" s="531">
        <v>0.67</v>
      </c>
      <c r="H28" s="531">
        <v>0.67</v>
      </c>
    </row>
    <row r="29" spans="2:8" ht="27" customHeight="1" x14ac:dyDescent="0.25">
      <c r="B29" s="99"/>
      <c r="C29" s="99"/>
      <c r="D29" s="99"/>
      <c r="E29" s="952" t="s">
        <v>304</v>
      </c>
      <c r="F29" s="952"/>
      <c r="G29" s="952"/>
      <c r="H29" s="952"/>
    </row>
    <row r="30" spans="2:8" x14ac:dyDescent="0.25">
      <c r="B30" s="949" t="s">
        <v>1436</v>
      </c>
      <c r="C30" s="949"/>
      <c r="D30" s="949"/>
    </row>
    <row r="31" spans="2:8" ht="46.5" customHeight="1" x14ac:dyDescent="0.25">
      <c r="B31" s="949"/>
      <c r="C31" s="949"/>
      <c r="D31" s="949"/>
    </row>
  </sheetData>
  <mergeCells count="6">
    <mergeCell ref="B30:D31"/>
    <mergeCell ref="B4:F4"/>
    <mergeCell ref="B18:F18"/>
    <mergeCell ref="B15:D16"/>
    <mergeCell ref="E15:H15"/>
    <mergeCell ref="E29:H2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B4:H18"/>
  <sheetViews>
    <sheetView showGridLines="0" zoomScale="90" zoomScaleNormal="90" workbookViewId="0">
      <selection activeCell="B12" sqref="B12"/>
    </sheetView>
  </sheetViews>
  <sheetFormatPr defaultColWidth="9.140625" defaultRowHeight="13.5" x14ac:dyDescent="0.25"/>
  <cols>
    <col min="1" max="1" width="9.140625" style="34"/>
    <col min="2" max="2" width="18.85546875" style="34" customWidth="1"/>
    <col min="3" max="16384" width="9.140625" style="34"/>
  </cols>
  <sheetData>
    <row r="4" spans="2:8" ht="14.25" thickBot="1" x14ac:dyDescent="0.3">
      <c r="B4" s="517" t="s">
        <v>881</v>
      </c>
      <c r="C4" s="517"/>
      <c r="D4" s="517"/>
      <c r="E4" s="517"/>
      <c r="F4" s="517"/>
    </row>
    <row r="5" spans="2:8" ht="14.25" thickBot="1" x14ac:dyDescent="0.3">
      <c r="B5" s="518"/>
      <c r="C5" s="519">
        <v>2016</v>
      </c>
      <c r="D5" s="519">
        <v>2017</v>
      </c>
      <c r="E5" s="519">
        <v>2018</v>
      </c>
      <c r="F5" s="519">
        <v>2019</v>
      </c>
      <c r="G5" s="519">
        <v>2020</v>
      </c>
      <c r="H5" s="519">
        <v>2021</v>
      </c>
    </row>
    <row r="6" spans="2:8" x14ac:dyDescent="0.25">
      <c r="B6" s="433" t="s">
        <v>207</v>
      </c>
      <c r="C6" s="129">
        <v>400</v>
      </c>
      <c r="D6" s="129">
        <v>400</v>
      </c>
      <c r="E6" s="520"/>
      <c r="F6" s="520"/>
      <c r="G6" s="520"/>
      <c r="H6" s="520"/>
    </row>
    <row r="7" spans="2:8" x14ac:dyDescent="0.25">
      <c r="B7" s="433" t="s">
        <v>171</v>
      </c>
      <c r="C7" s="105"/>
      <c r="D7" s="105">
        <v>100</v>
      </c>
      <c r="E7" s="521">
        <v>1000</v>
      </c>
      <c r="F7" s="521">
        <v>1600</v>
      </c>
      <c r="G7" s="521"/>
      <c r="H7" s="521"/>
    </row>
    <row r="8" spans="2:8" x14ac:dyDescent="0.25">
      <c r="B8" s="433" t="s">
        <v>172</v>
      </c>
      <c r="C8" s="520"/>
      <c r="D8" s="520">
        <v>5000</v>
      </c>
      <c r="E8" s="521">
        <v>50000</v>
      </c>
      <c r="F8" s="521">
        <v>80000</v>
      </c>
      <c r="G8" s="521"/>
      <c r="H8" s="521"/>
    </row>
    <row r="9" spans="2:8" ht="16.5" thickBot="1" x14ac:dyDescent="0.3">
      <c r="B9" s="433" t="s">
        <v>895</v>
      </c>
      <c r="C9" s="522">
        <v>0.48</v>
      </c>
      <c r="D9" s="522">
        <v>0.7</v>
      </c>
      <c r="E9" s="520"/>
      <c r="F9" s="520"/>
      <c r="G9" s="507"/>
      <c r="H9" s="507"/>
    </row>
    <row r="10" spans="2:8" ht="15" customHeight="1" x14ac:dyDescent="0.25">
      <c r="B10" s="953" t="s">
        <v>19</v>
      </c>
      <c r="C10" s="953"/>
      <c r="D10" s="953"/>
      <c r="E10" s="953"/>
      <c r="F10" s="953"/>
      <c r="G10" s="953"/>
      <c r="H10" s="953"/>
    </row>
    <row r="12" spans="2:8" ht="14.25" thickBot="1" x14ac:dyDescent="0.3">
      <c r="B12" s="517" t="s">
        <v>411</v>
      </c>
      <c r="C12" s="517"/>
      <c r="D12" s="517"/>
      <c r="E12" s="517"/>
      <c r="F12" s="517"/>
    </row>
    <row r="13" spans="2:8" ht="14.25" thickBot="1" x14ac:dyDescent="0.3">
      <c r="B13" s="518"/>
      <c r="C13" s="519">
        <v>2016</v>
      </c>
      <c r="D13" s="519">
        <v>2017</v>
      </c>
      <c r="E13" s="519">
        <v>2018</v>
      </c>
      <c r="F13" s="519">
        <v>2019</v>
      </c>
      <c r="G13" s="519">
        <v>2020</v>
      </c>
      <c r="H13" s="519">
        <v>2021</v>
      </c>
    </row>
    <row r="14" spans="2:8" x14ac:dyDescent="0.25">
      <c r="B14" s="433" t="s">
        <v>305</v>
      </c>
      <c r="C14" s="129">
        <v>400</v>
      </c>
      <c r="D14" s="129">
        <v>400</v>
      </c>
      <c r="E14" s="520"/>
      <c r="F14" s="520"/>
      <c r="G14" s="520"/>
      <c r="H14" s="520"/>
    </row>
    <row r="15" spans="2:8" x14ac:dyDescent="0.25">
      <c r="B15" s="433" t="s">
        <v>300</v>
      </c>
      <c r="C15" s="105"/>
      <c r="D15" s="105">
        <v>100</v>
      </c>
      <c r="E15" s="521">
        <v>1000</v>
      </c>
      <c r="F15" s="521">
        <v>1600</v>
      </c>
      <c r="G15" s="521"/>
      <c r="H15" s="521"/>
    </row>
    <row r="16" spans="2:8" x14ac:dyDescent="0.25">
      <c r="B16" s="433" t="s">
        <v>301</v>
      </c>
      <c r="C16" s="520"/>
      <c r="D16" s="520">
        <v>5000</v>
      </c>
      <c r="E16" s="521">
        <v>50000</v>
      </c>
      <c r="F16" s="521">
        <v>80000</v>
      </c>
      <c r="G16" s="521"/>
      <c r="H16" s="521"/>
    </row>
    <row r="17" spans="2:8" ht="16.5" thickBot="1" x14ac:dyDescent="0.3">
      <c r="B17" s="433" t="s">
        <v>896</v>
      </c>
      <c r="C17" s="522">
        <v>0.48</v>
      </c>
      <c r="D17" s="522">
        <v>0.7</v>
      </c>
      <c r="E17" s="520"/>
      <c r="F17" s="520"/>
      <c r="G17" s="507"/>
      <c r="H17" s="507"/>
    </row>
    <row r="18" spans="2:8" ht="15" customHeight="1" x14ac:dyDescent="0.25">
      <c r="B18" s="953" t="s">
        <v>235</v>
      </c>
      <c r="C18" s="953"/>
      <c r="D18" s="953"/>
      <c r="E18" s="953"/>
      <c r="F18" s="953"/>
      <c r="G18" s="953"/>
      <c r="H18" s="953"/>
    </row>
  </sheetData>
  <mergeCells count="2">
    <mergeCell ref="B10:H10"/>
    <mergeCell ref="B18:H1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B2:S33"/>
  <sheetViews>
    <sheetView showGridLines="0" zoomScale="90" zoomScaleNormal="90" workbookViewId="0">
      <selection activeCell="D17" sqref="D17:H17"/>
    </sheetView>
  </sheetViews>
  <sheetFormatPr defaultColWidth="9.140625" defaultRowHeight="13.5" x14ac:dyDescent="0.25"/>
  <cols>
    <col min="1" max="1" width="11.140625" style="34" customWidth="1"/>
    <col min="2" max="2" width="34.140625" style="34" customWidth="1"/>
    <col min="3" max="3" width="9.140625" style="34"/>
    <col min="4" max="4" width="14" style="34" customWidth="1"/>
    <col min="5" max="8" width="9.140625" style="34"/>
    <col min="9" max="10" width="10.5703125" style="34" customWidth="1"/>
    <col min="11" max="11" width="9.140625" style="34"/>
    <col min="12" max="12" width="12" style="34" bestFit="1" customWidth="1"/>
    <col min="13" max="16384" width="9.140625" style="34"/>
  </cols>
  <sheetData>
    <row r="2" spans="2:19" ht="27.75" customHeight="1" thickBot="1" x14ac:dyDescent="0.3">
      <c r="B2" s="495" t="s">
        <v>1437</v>
      </c>
      <c r="C2" s="514"/>
      <c r="D2" s="957" t="s">
        <v>429</v>
      </c>
      <c r="E2" s="957"/>
      <c r="F2" s="957"/>
      <c r="G2" s="957"/>
      <c r="H2" s="957"/>
      <c r="I2" s="957"/>
      <c r="J2" s="957"/>
    </row>
    <row r="3" spans="2:19" ht="14.25" thickBot="1" x14ac:dyDescent="0.3">
      <c r="B3" s="515"/>
      <c r="C3" s="9"/>
      <c r="D3" s="47"/>
      <c r="E3" s="47">
        <v>2016</v>
      </c>
      <c r="F3" s="47">
        <v>2017</v>
      </c>
      <c r="G3" s="47">
        <v>2018</v>
      </c>
      <c r="H3" s="47">
        <v>2019</v>
      </c>
      <c r="I3" s="47">
        <v>2020</v>
      </c>
      <c r="J3" s="47">
        <v>2021</v>
      </c>
      <c r="L3" s="119"/>
      <c r="M3" s="120">
        <v>2015</v>
      </c>
      <c r="N3" s="120">
        <v>2016</v>
      </c>
      <c r="O3" s="120">
        <v>2017</v>
      </c>
      <c r="P3" s="120">
        <v>2018</v>
      </c>
      <c r="Q3" s="120">
        <v>2019</v>
      </c>
      <c r="R3" s="120">
        <v>2020</v>
      </c>
      <c r="S3" s="120">
        <v>2021</v>
      </c>
    </row>
    <row r="4" spans="2:19" ht="15" customHeight="1" x14ac:dyDescent="0.25">
      <c r="B4" s="76"/>
      <c r="C4" s="77"/>
      <c r="D4" s="297"/>
      <c r="E4" s="954" t="s">
        <v>213</v>
      </c>
      <c r="F4" s="954"/>
      <c r="G4" s="954"/>
      <c r="H4" s="954"/>
      <c r="I4" s="954"/>
      <c r="J4" s="954"/>
      <c r="L4" s="113" t="s">
        <v>208</v>
      </c>
      <c r="M4" s="114">
        <v>3.8501006044002306</v>
      </c>
      <c r="N4" s="114">
        <v>3.3246952959640197</v>
      </c>
      <c r="O4" s="114">
        <v>3.4148380549375634</v>
      </c>
      <c r="P4" s="114">
        <v>4.2132237559521224</v>
      </c>
      <c r="Q4" s="114">
        <v>4.5082075300671542</v>
      </c>
      <c r="R4" s="114">
        <v>3.8741085149651688</v>
      </c>
      <c r="S4" s="114">
        <v>3.3915538796869038</v>
      </c>
    </row>
    <row r="5" spans="2:19" x14ac:dyDescent="0.25">
      <c r="D5" s="110" t="s">
        <v>115</v>
      </c>
      <c r="E5" s="43">
        <v>0.277821687844515</v>
      </c>
      <c r="F5" s="43">
        <v>2.6986179261780041</v>
      </c>
      <c r="G5" s="43">
        <v>0.54905011411789939</v>
      </c>
      <c r="H5" s="43">
        <v>-2.4061671513849081</v>
      </c>
      <c r="I5" s="43">
        <v>-0.96911344738914718</v>
      </c>
      <c r="J5" s="43">
        <v>-0.12360427326994262</v>
      </c>
      <c r="L5" s="113" t="s">
        <v>209</v>
      </c>
      <c r="M5" s="114">
        <v>3.8501006044002306</v>
      </c>
      <c r="N5" s="114">
        <v>3.2907466996929591</v>
      </c>
      <c r="O5" s="114">
        <v>3.1879010470308167</v>
      </c>
      <c r="P5" s="114">
        <v>4.2325554469376137</v>
      </c>
      <c r="Q5" s="114">
        <v>4.184442269010602</v>
      </c>
      <c r="R5" s="114">
        <v>3.4168603839367595</v>
      </c>
      <c r="S5" s="114">
        <v>2.9909003089109434</v>
      </c>
    </row>
    <row r="6" spans="2:19" x14ac:dyDescent="0.25">
      <c r="D6" s="110" t="s">
        <v>211</v>
      </c>
      <c r="G6" s="43">
        <v>0.12115317382321855</v>
      </c>
      <c r="H6" s="43">
        <v>1.2004046014195247</v>
      </c>
      <c r="I6" s="43">
        <v>1.1931900221578084</v>
      </c>
      <c r="J6" s="43">
        <v>1.0593332270718248</v>
      </c>
      <c r="L6" s="113" t="s">
        <v>210</v>
      </c>
      <c r="M6" s="114">
        <v>3.8501006044002306</v>
      </c>
      <c r="N6" s="114">
        <v>3.0191579295242743</v>
      </c>
      <c r="O6" s="114">
        <v>3.256667851834516</v>
      </c>
      <c r="P6" s="114">
        <v>3.9778837276498225</v>
      </c>
      <c r="Q6" s="114">
        <v>3.9525241050240023</v>
      </c>
      <c r="R6" s="114">
        <v>3.4168603839367595</v>
      </c>
      <c r="S6" s="114">
        <v>2.9909003089109434</v>
      </c>
    </row>
    <row r="7" spans="2:19" x14ac:dyDescent="0.25">
      <c r="D7" s="110" t="s">
        <v>212</v>
      </c>
      <c r="E7" s="35">
        <v>0.04</v>
      </c>
      <c r="F7" s="35">
        <v>0.05</v>
      </c>
      <c r="G7" s="35">
        <v>0.17</v>
      </c>
      <c r="H7" s="35">
        <v>0.22</v>
      </c>
      <c r="I7" s="35">
        <v>0.02</v>
      </c>
      <c r="J7" s="35"/>
    </row>
    <row r="8" spans="2:19" ht="14.25" thickBot="1" x14ac:dyDescent="0.3">
      <c r="D8" s="228" t="s">
        <v>99</v>
      </c>
      <c r="E8" s="635">
        <v>3.3948596271060616E-2</v>
      </c>
      <c r="F8" s="635">
        <v>0.22693700790674676</v>
      </c>
      <c r="G8" s="635">
        <v>-1.9331690985491257E-2</v>
      </c>
      <c r="H8" s="635">
        <v>0.32376526105655223</v>
      </c>
      <c r="I8" s="635">
        <v>0.45724813102840933</v>
      </c>
      <c r="J8" s="635">
        <v>0.40065357077596037</v>
      </c>
      <c r="L8" s="119"/>
      <c r="M8" s="120">
        <v>2015</v>
      </c>
      <c r="N8" s="120">
        <v>2016</v>
      </c>
      <c r="O8" s="120">
        <v>2017</v>
      </c>
      <c r="P8" s="120">
        <v>2018</v>
      </c>
      <c r="Q8" s="120">
        <v>2019</v>
      </c>
      <c r="R8" s="120">
        <v>2020</v>
      </c>
      <c r="S8" s="120">
        <v>2021</v>
      </c>
    </row>
    <row r="9" spans="2:19" x14ac:dyDescent="0.25">
      <c r="D9" s="516"/>
      <c r="E9" s="955" t="s">
        <v>214</v>
      </c>
      <c r="F9" s="955"/>
      <c r="G9" s="955"/>
      <c r="H9" s="955"/>
      <c r="I9" s="955"/>
      <c r="J9" s="955"/>
      <c r="L9" s="113" t="s">
        <v>306</v>
      </c>
      <c r="M9" s="114">
        <v>3.8501006044002306</v>
      </c>
      <c r="N9" s="114">
        <v>3.3246952959640197</v>
      </c>
      <c r="O9" s="114">
        <v>3.4148380549375634</v>
      </c>
      <c r="P9" s="114">
        <v>4.2132237559521224</v>
      </c>
      <c r="Q9" s="114">
        <v>4.5082075300671542</v>
      </c>
      <c r="R9" s="114">
        <v>3.8741085149651688</v>
      </c>
      <c r="S9" s="114">
        <v>3.3915538796869038</v>
      </c>
    </row>
    <row r="10" spans="2:19" x14ac:dyDescent="0.25">
      <c r="D10" s="110" t="s">
        <v>115</v>
      </c>
      <c r="E10" s="43">
        <v>2.2225735027561311</v>
      </c>
      <c r="F10" s="43">
        <v>-0.10268403964244222</v>
      </c>
      <c r="G10" s="43">
        <v>-2.389840956779099</v>
      </c>
      <c r="H10" s="43">
        <v>0</v>
      </c>
      <c r="I10" s="43"/>
      <c r="J10" s="43"/>
      <c r="L10" s="113" t="s">
        <v>307</v>
      </c>
      <c r="M10" s="114">
        <v>3.8501006044002306</v>
      </c>
      <c r="N10" s="114">
        <v>3.2907466996929591</v>
      </c>
      <c r="O10" s="114">
        <v>3.1879010470308167</v>
      </c>
      <c r="P10" s="114">
        <v>4.2325554469376137</v>
      </c>
      <c r="Q10" s="114">
        <v>4.184442269010602</v>
      </c>
      <c r="R10" s="114">
        <v>3.4168603839367595</v>
      </c>
      <c r="S10" s="114">
        <v>2.9909003089109434</v>
      </c>
    </row>
    <row r="11" spans="2:19" x14ac:dyDescent="0.25">
      <c r="D11" s="110" t="s">
        <v>211</v>
      </c>
      <c r="F11" s="43">
        <v>0.1287387151570174</v>
      </c>
      <c r="G11" s="43">
        <v>1.0779792370342545</v>
      </c>
      <c r="H11" s="43">
        <v>0.54765476342695241</v>
      </c>
      <c r="L11" s="113" t="s">
        <v>308</v>
      </c>
      <c r="M11" s="114">
        <v>3.8501006044002306</v>
      </c>
      <c r="N11" s="114">
        <v>3.0191579295242743</v>
      </c>
      <c r="O11" s="114">
        <v>3.256667851834516</v>
      </c>
      <c r="P11" s="114">
        <v>3.9778837276498225</v>
      </c>
      <c r="Q11" s="114">
        <v>3.9525241050240023</v>
      </c>
      <c r="R11" s="114">
        <v>3.4168603839367595</v>
      </c>
      <c r="S11" s="114">
        <v>2.9909003089109434</v>
      </c>
    </row>
    <row r="12" spans="2:19" x14ac:dyDescent="0.25">
      <c r="D12" s="110" t="s">
        <v>212</v>
      </c>
      <c r="E12" s="636">
        <v>0.02</v>
      </c>
      <c r="F12" s="636">
        <v>0.02</v>
      </c>
      <c r="G12" s="636">
        <v>0.12</v>
      </c>
      <c r="H12" s="637">
        <v>0.03</v>
      </c>
    </row>
    <row r="13" spans="2:19" ht="14.25" thickBot="1" x14ac:dyDescent="0.3">
      <c r="D13" s="47" t="s">
        <v>99</v>
      </c>
      <c r="E13" s="45">
        <v>0.27158877016868477</v>
      </c>
      <c r="F13" s="45">
        <v>-6.8766804803699344E-2</v>
      </c>
      <c r="G13" s="45">
        <v>0.2546717192877912</v>
      </c>
      <c r="H13" s="45">
        <v>0.2319181639865997</v>
      </c>
      <c r="I13" s="46"/>
      <c r="J13" s="46"/>
    </row>
    <row r="14" spans="2:19" x14ac:dyDescent="0.25">
      <c r="D14" s="379"/>
      <c r="E14" s="300"/>
      <c r="F14" s="300"/>
      <c r="G14" s="956" t="s">
        <v>19</v>
      </c>
      <c r="H14" s="956"/>
      <c r="I14" s="956"/>
      <c r="J14" s="956"/>
    </row>
    <row r="15" spans="2:19" x14ac:dyDescent="0.25">
      <c r="B15" s="948" t="s">
        <v>19</v>
      </c>
      <c r="C15" s="948"/>
      <c r="D15" s="379"/>
      <c r="E15" s="300"/>
      <c r="F15" s="300"/>
      <c r="G15" s="948"/>
      <c r="H15" s="948"/>
    </row>
    <row r="17" spans="2:15" ht="27.75" thickBot="1" x14ac:dyDescent="0.3">
      <c r="B17" s="495" t="s">
        <v>1438</v>
      </c>
      <c r="C17" s="514"/>
      <c r="D17" s="944" t="s">
        <v>446</v>
      </c>
      <c r="E17" s="944"/>
      <c r="F17" s="944"/>
      <c r="G17" s="944"/>
      <c r="H17" s="944"/>
    </row>
    <row r="18" spans="2:15" ht="14.25" thickBot="1" x14ac:dyDescent="0.3">
      <c r="B18" s="515"/>
      <c r="C18" s="9"/>
      <c r="D18" s="47"/>
      <c r="E18" s="47">
        <v>2016</v>
      </c>
      <c r="F18" s="47">
        <v>2017</v>
      </c>
      <c r="G18" s="47">
        <v>2018</v>
      </c>
      <c r="H18" s="47">
        <v>2019</v>
      </c>
      <c r="I18" s="47">
        <v>2020</v>
      </c>
      <c r="J18" s="47">
        <v>2021</v>
      </c>
    </row>
    <row r="19" spans="2:15" x14ac:dyDescent="0.25">
      <c r="B19" s="76"/>
      <c r="C19" s="77"/>
      <c r="D19" s="297"/>
      <c r="E19" s="954" t="s">
        <v>213</v>
      </c>
      <c r="F19" s="954"/>
      <c r="G19" s="954"/>
      <c r="H19" s="954"/>
      <c r="I19" s="954"/>
      <c r="J19" s="954"/>
    </row>
    <row r="20" spans="2:15" x14ac:dyDescent="0.25">
      <c r="D20" s="110" t="s">
        <v>262</v>
      </c>
      <c r="E20" s="43">
        <v>0.277821687844515</v>
      </c>
      <c r="F20" s="43">
        <v>2.6986179261780041</v>
      </c>
      <c r="G20" s="43">
        <v>0.54905011411789939</v>
      </c>
      <c r="H20" s="43">
        <v>-2.4061671513849081</v>
      </c>
      <c r="I20" s="43">
        <v>-0.96911344738914718</v>
      </c>
      <c r="J20" s="43">
        <v>-0.12360427326994262</v>
      </c>
    </row>
    <row r="21" spans="2:15" x14ac:dyDescent="0.25">
      <c r="D21" s="110" t="s">
        <v>211</v>
      </c>
      <c r="G21" s="43">
        <v>0.12115317382321855</v>
      </c>
      <c r="H21" s="43">
        <v>1.2004046014195247</v>
      </c>
      <c r="I21" s="43">
        <v>1.1931900221578084</v>
      </c>
      <c r="J21" s="43">
        <v>1.0593332270718248</v>
      </c>
    </row>
    <row r="22" spans="2:15" x14ac:dyDescent="0.25">
      <c r="D22" s="110" t="s">
        <v>309</v>
      </c>
      <c r="E22" s="35">
        <v>0.04</v>
      </c>
      <c r="F22" s="35">
        <v>0.05</v>
      </c>
      <c r="G22" s="35">
        <v>0.17</v>
      </c>
      <c r="H22" s="35">
        <v>0.22</v>
      </c>
      <c r="I22" s="35">
        <v>0.02</v>
      </c>
      <c r="J22" s="35"/>
      <c r="K22" s="300"/>
      <c r="L22" s="300"/>
      <c r="M22" s="300"/>
      <c r="N22" s="300"/>
    </row>
    <row r="23" spans="2:15" x14ac:dyDescent="0.25">
      <c r="D23" s="228" t="s">
        <v>230</v>
      </c>
      <c r="E23" s="635">
        <v>3.3948596271060616E-2</v>
      </c>
      <c r="F23" s="635">
        <v>0.22693700790674676</v>
      </c>
      <c r="G23" s="635">
        <v>-1.9331690985491257E-2</v>
      </c>
      <c r="H23" s="635">
        <v>0.32376526105655223</v>
      </c>
      <c r="I23" s="635">
        <v>0.45724813102840933</v>
      </c>
      <c r="J23" s="635">
        <v>0.40065357077596037</v>
      </c>
      <c r="K23" s="379"/>
      <c r="L23" s="379"/>
      <c r="M23" s="379"/>
      <c r="N23" s="379"/>
    </row>
    <row r="24" spans="2:15" x14ac:dyDescent="0.25">
      <c r="D24" s="516"/>
      <c r="E24" s="955" t="s">
        <v>214</v>
      </c>
      <c r="F24" s="955"/>
      <c r="G24" s="955"/>
      <c r="H24" s="955"/>
      <c r="I24" s="955"/>
      <c r="J24" s="955"/>
      <c r="K24" s="959"/>
      <c r="L24" s="959"/>
      <c r="M24" s="959"/>
      <c r="N24" s="959"/>
    </row>
    <row r="25" spans="2:15" x14ac:dyDescent="0.25">
      <c r="D25" s="110" t="s">
        <v>262</v>
      </c>
      <c r="E25" s="43">
        <v>2.2225735027561311</v>
      </c>
      <c r="F25" s="43">
        <v>-0.10268403964244222</v>
      </c>
      <c r="G25" s="43">
        <v>-2.389840956779099</v>
      </c>
      <c r="H25" s="43">
        <v>0</v>
      </c>
      <c r="I25" s="43"/>
      <c r="J25" s="43"/>
      <c r="K25" s="300"/>
      <c r="L25" s="300"/>
      <c r="M25" s="300"/>
      <c r="N25" s="300"/>
    </row>
    <row r="26" spans="2:15" x14ac:dyDescent="0.25">
      <c r="D26" s="110" t="s">
        <v>211</v>
      </c>
      <c r="F26" s="43">
        <v>0.1287387151570174</v>
      </c>
      <c r="G26" s="43">
        <v>1.0779792370342545</v>
      </c>
      <c r="H26" s="43">
        <v>0.54765476342695241</v>
      </c>
      <c r="K26" s="300"/>
      <c r="L26" s="300"/>
      <c r="M26" s="300"/>
      <c r="N26" s="300"/>
    </row>
    <row r="27" spans="2:15" x14ac:dyDescent="0.25">
      <c r="D27" s="110" t="s">
        <v>309</v>
      </c>
      <c r="E27" s="636">
        <v>0.02</v>
      </c>
      <c r="F27" s="636">
        <v>0.02</v>
      </c>
      <c r="G27" s="636">
        <v>0.12</v>
      </c>
      <c r="H27" s="637">
        <v>0.03</v>
      </c>
      <c r="K27" s="300"/>
      <c r="L27" s="300"/>
      <c r="M27" s="300"/>
      <c r="N27" s="300"/>
    </row>
    <row r="28" spans="2:15" ht="14.25" thickBot="1" x14ac:dyDescent="0.3">
      <c r="D28" s="47" t="s">
        <v>230</v>
      </c>
      <c r="E28" s="45">
        <v>0.27158877016868477</v>
      </c>
      <c r="F28" s="45">
        <v>-6.8766804803699344E-2</v>
      </c>
      <c r="G28" s="45">
        <v>0.2546717192877912</v>
      </c>
      <c r="H28" s="45">
        <v>0.2319181639865997</v>
      </c>
      <c r="I28" s="46"/>
      <c r="J28" s="46"/>
      <c r="K28" s="300"/>
      <c r="L28" s="300"/>
      <c r="M28" s="300"/>
      <c r="N28" s="300"/>
    </row>
    <row r="29" spans="2:15" x14ac:dyDescent="0.25">
      <c r="I29" s="379"/>
      <c r="J29" s="638" t="s">
        <v>235</v>
      </c>
      <c r="K29" s="959"/>
      <c r="L29" s="959"/>
      <c r="M29" s="959"/>
      <c r="N29" s="959"/>
      <c r="O29" s="300"/>
    </row>
    <row r="30" spans="2:15" x14ac:dyDescent="0.25">
      <c r="B30" s="948" t="s">
        <v>235</v>
      </c>
      <c r="C30" s="948"/>
      <c r="G30" s="948"/>
      <c r="H30" s="948"/>
      <c r="I30" s="379"/>
      <c r="J30" s="379"/>
      <c r="K30" s="300"/>
      <c r="L30" s="300"/>
      <c r="M30" s="300"/>
      <c r="N30" s="300"/>
      <c r="O30" s="300"/>
    </row>
    <row r="31" spans="2:15" x14ac:dyDescent="0.25">
      <c r="I31" s="958"/>
      <c r="J31" s="958"/>
      <c r="K31" s="958"/>
      <c r="L31" s="958"/>
      <c r="M31" s="958"/>
      <c r="N31" s="958"/>
      <c r="O31" s="300"/>
    </row>
    <row r="32" spans="2:15" x14ac:dyDescent="0.25">
      <c r="I32" s="379"/>
      <c r="J32" s="379"/>
      <c r="K32" s="300"/>
      <c r="L32" s="300"/>
      <c r="M32" s="300"/>
      <c r="N32" s="300"/>
      <c r="O32" s="300"/>
    </row>
    <row r="33" spans="9:15" x14ac:dyDescent="0.25">
      <c r="I33" s="379"/>
      <c r="J33" s="379"/>
      <c r="K33" s="300"/>
      <c r="L33" s="300"/>
      <c r="M33" s="300"/>
      <c r="N33" s="300"/>
      <c r="O33" s="300"/>
    </row>
  </sheetData>
  <mergeCells count="14">
    <mergeCell ref="E19:J19"/>
    <mergeCell ref="E24:J24"/>
    <mergeCell ref="D17:H17"/>
    <mergeCell ref="I31:N31"/>
    <mergeCell ref="B30:C30"/>
    <mergeCell ref="G30:H30"/>
    <mergeCell ref="K24:N24"/>
    <mergeCell ref="K29:N29"/>
    <mergeCell ref="E4:J4"/>
    <mergeCell ref="E9:J9"/>
    <mergeCell ref="G14:J14"/>
    <mergeCell ref="D2:J2"/>
    <mergeCell ref="B15:C15"/>
    <mergeCell ref="G15:H1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5"/>
  <dimension ref="B3:X28"/>
  <sheetViews>
    <sheetView showGridLines="0" zoomScale="90" zoomScaleNormal="90" workbookViewId="0">
      <selection activeCell="D18" sqref="D18:H18"/>
    </sheetView>
  </sheetViews>
  <sheetFormatPr defaultColWidth="9.140625" defaultRowHeight="13.5" x14ac:dyDescent="0.25"/>
  <cols>
    <col min="1" max="1" width="9.140625" style="34"/>
    <col min="2" max="2" width="47" style="34" customWidth="1"/>
    <col min="3" max="3" width="9.7109375" style="34" customWidth="1"/>
    <col min="4" max="10" width="9.140625" style="34"/>
    <col min="11" max="11" width="11.140625" style="105" bestFit="1" customWidth="1"/>
    <col min="12" max="23" width="9.140625" style="105"/>
    <col min="24" max="16384" width="9.140625" style="34"/>
  </cols>
  <sheetData>
    <row r="3" spans="2:24" ht="27.75" thickBot="1" x14ac:dyDescent="0.3">
      <c r="B3" s="787" t="s">
        <v>1439</v>
      </c>
      <c r="C3" s="810"/>
      <c r="D3" s="919" t="s">
        <v>1441</v>
      </c>
      <c r="E3" s="919"/>
      <c r="F3" s="919"/>
      <c r="G3" s="919"/>
      <c r="H3" s="919"/>
    </row>
    <row r="4" spans="2:24" ht="27.75" thickBot="1" x14ac:dyDescent="0.3">
      <c r="B4" s="961"/>
      <c r="C4" s="306"/>
      <c r="D4" s="18"/>
      <c r="E4" s="808" t="s">
        <v>181</v>
      </c>
      <c r="F4" s="82" t="s">
        <v>195</v>
      </c>
      <c r="G4" s="82" t="s">
        <v>182</v>
      </c>
      <c r="H4" s="82" t="s">
        <v>183</v>
      </c>
    </row>
    <row r="5" spans="2:24" ht="14.25" thickBot="1" x14ac:dyDescent="0.3">
      <c r="B5" s="962"/>
      <c r="C5" s="803"/>
      <c r="D5" s="129">
        <v>2013</v>
      </c>
      <c r="E5" s="131">
        <v>2.0094141515745179</v>
      </c>
      <c r="F5" s="499">
        <v>1.3818593710132046</v>
      </c>
      <c r="G5" s="499">
        <v>0.54890223481110978</v>
      </c>
      <c r="H5" s="500">
        <v>7.8652545750203681E-2</v>
      </c>
      <c r="K5" s="121"/>
      <c r="L5" s="122">
        <v>2009</v>
      </c>
      <c r="M5" s="122">
        <v>2010</v>
      </c>
      <c r="N5" s="122">
        <v>2011</v>
      </c>
      <c r="O5" s="122">
        <v>2012</v>
      </c>
      <c r="P5" s="122">
        <v>2013</v>
      </c>
      <c r="Q5" s="122">
        <v>2014</v>
      </c>
      <c r="R5" s="122">
        <v>2015</v>
      </c>
      <c r="S5" s="122">
        <v>2016</v>
      </c>
      <c r="T5" s="122">
        <v>2017</v>
      </c>
      <c r="U5" s="122" t="s">
        <v>178</v>
      </c>
      <c r="V5" s="122" t="s">
        <v>179</v>
      </c>
      <c r="W5" s="122" t="s">
        <v>470</v>
      </c>
      <c r="X5" s="122" t="s">
        <v>1012</v>
      </c>
    </row>
    <row r="6" spans="2:24" x14ac:dyDescent="0.25">
      <c r="B6" s="962"/>
      <c r="C6" s="803"/>
      <c r="D6" s="129">
        <v>2014</v>
      </c>
      <c r="E6" s="131">
        <v>2.4368698698561619</v>
      </c>
      <c r="F6" s="499">
        <v>1.5756978195875107</v>
      </c>
      <c r="G6" s="499">
        <v>0.51771339819015749</v>
      </c>
      <c r="H6" s="500">
        <v>0.34345865207849391</v>
      </c>
      <c r="K6" s="106" t="s">
        <v>186</v>
      </c>
      <c r="L6" s="111">
        <v>-0.19488672485750042</v>
      </c>
      <c r="M6" s="111">
        <v>-0.16978504516543391</v>
      </c>
      <c r="N6" s="111">
        <v>0.4313171103674342</v>
      </c>
      <c r="O6" s="111">
        <v>0.10007053575067715</v>
      </c>
      <c r="P6" s="111">
        <v>7.8652545750203681E-2</v>
      </c>
      <c r="Q6" s="111">
        <v>0.34345865207849391</v>
      </c>
      <c r="R6" s="111">
        <v>0.47980722941477588</v>
      </c>
      <c r="S6" s="111">
        <v>0.52665586863334868</v>
      </c>
      <c r="T6" s="111">
        <v>0.48329353722053497</v>
      </c>
      <c r="U6" s="111">
        <v>0.34911294706278972</v>
      </c>
      <c r="V6" s="111">
        <v>0.24762774979203303</v>
      </c>
      <c r="W6" s="111">
        <v>0.23427352068471663</v>
      </c>
      <c r="X6" s="111">
        <v>0.20796652270321123</v>
      </c>
    </row>
    <row r="7" spans="2:24" x14ac:dyDescent="0.25">
      <c r="B7" s="962"/>
      <c r="C7" s="803"/>
      <c r="D7" s="129">
        <v>2015</v>
      </c>
      <c r="E7" s="131">
        <v>3.1224024665520878</v>
      </c>
      <c r="F7" s="499">
        <v>1.850028536038234</v>
      </c>
      <c r="G7" s="499">
        <v>0.7925667010990779</v>
      </c>
      <c r="H7" s="500">
        <v>0.47980722941477588</v>
      </c>
      <c r="K7" s="106" t="s">
        <v>187</v>
      </c>
      <c r="L7" s="111">
        <v>1.0309052354103523</v>
      </c>
      <c r="M7" s="111">
        <v>0.76033496742830131</v>
      </c>
      <c r="N7" s="111">
        <v>0.9403789631506223</v>
      </c>
      <c r="O7" s="111">
        <v>0.8046742386444492</v>
      </c>
      <c r="P7" s="111">
        <v>0.54890223481110978</v>
      </c>
      <c r="Q7" s="111">
        <v>0.51771339819015749</v>
      </c>
      <c r="R7" s="111">
        <v>0.7925667010990779</v>
      </c>
      <c r="S7" s="111">
        <v>0.84689262266290555</v>
      </c>
      <c r="T7" s="111">
        <v>0.66272518439036321</v>
      </c>
      <c r="U7" s="111">
        <v>0.85065746042215573</v>
      </c>
      <c r="V7" s="111">
        <v>0.95805389219381765</v>
      </c>
      <c r="W7" s="111">
        <v>1.0395923305589356</v>
      </c>
      <c r="X7" s="111">
        <v>1.1156218917259666</v>
      </c>
    </row>
    <row r="8" spans="2:24" x14ac:dyDescent="0.25">
      <c r="B8" s="962"/>
      <c r="C8" s="803"/>
      <c r="D8" s="129">
        <v>2016</v>
      </c>
      <c r="E8" s="131">
        <v>2.9622947863849003</v>
      </c>
      <c r="F8" s="499">
        <v>1.588746295088646</v>
      </c>
      <c r="G8" s="499">
        <v>0.84689262266290555</v>
      </c>
      <c r="H8" s="500">
        <v>0.52665586863334868</v>
      </c>
      <c r="K8" s="106" t="s">
        <v>188</v>
      </c>
      <c r="L8" s="111">
        <v>0.47357573516034518</v>
      </c>
      <c r="M8" s="111">
        <v>0.55274815858842863</v>
      </c>
      <c r="N8" s="111">
        <v>1.0374698299807212</v>
      </c>
      <c r="O8" s="111">
        <v>1.3990485132244337</v>
      </c>
      <c r="P8" s="111">
        <v>1.3818593710132046</v>
      </c>
      <c r="Q8" s="111">
        <v>1.5756978195875107</v>
      </c>
      <c r="R8" s="111">
        <v>1.850028536038234</v>
      </c>
      <c r="S8" s="111">
        <v>1.588746295088646</v>
      </c>
      <c r="T8" s="111">
        <v>1.8213633736261827</v>
      </c>
      <c r="U8" s="111">
        <v>2.5109467337872564</v>
      </c>
      <c r="V8" s="111">
        <v>2.7557805822797823</v>
      </c>
      <c r="W8" s="111">
        <v>2.618783693953028</v>
      </c>
      <c r="X8" s="111">
        <v>2.3739475693793528</v>
      </c>
    </row>
    <row r="9" spans="2:24" ht="14.25" thickBot="1" x14ac:dyDescent="0.3">
      <c r="B9" s="962"/>
      <c r="C9" s="803"/>
      <c r="D9" s="497">
        <v>2017</v>
      </c>
      <c r="E9" s="205">
        <v>2.9673820952370811</v>
      </c>
      <c r="F9" s="501">
        <v>1.8213633736261827</v>
      </c>
      <c r="G9" s="501">
        <v>0.66272518439036321</v>
      </c>
      <c r="H9" s="502">
        <v>0.48329353722053497</v>
      </c>
      <c r="K9" s="106" t="s">
        <v>189</v>
      </c>
      <c r="L9" s="111">
        <v>1.309594245713197</v>
      </c>
      <c r="M9" s="111">
        <v>1.143298080851296</v>
      </c>
      <c r="N9" s="111">
        <v>2.4091659034987778</v>
      </c>
      <c r="O9" s="111">
        <v>2.3037932876195599</v>
      </c>
      <c r="P9" s="111">
        <v>2.0094141515745179</v>
      </c>
      <c r="Q9" s="111">
        <v>2.4368698698561619</v>
      </c>
      <c r="R9" s="111">
        <v>3.1224024665520878</v>
      </c>
      <c r="S9" s="111">
        <v>2.9622947863849003</v>
      </c>
      <c r="T9" s="111">
        <v>2.9673820952370811</v>
      </c>
      <c r="U9" s="111">
        <v>3.7107171412722018</v>
      </c>
      <c r="V9" s="111">
        <v>3.9614622242656328</v>
      </c>
      <c r="W9" s="111">
        <v>3.8926495451966803</v>
      </c>
      <c r="X9" s="111">
        <v>3.6975359838085309</v>
      </c>
    </row>
    <row r="10" spans="2:24" x14ac:dyDescent="0.25">
      <c r="B10" s="962"/>
      <c r="C10" s="803"/>
      <c r="D10" s="129" t="s">
        <v>178</v>
      </c>
      <c r="E10" s="131">
        <v>3.7107171412722018</v>
      </c>
      <c r="F10" s="499">
        <v>2.5109467337872564</v>
      </c>
      <c r="G10" s="499">
        <v>0.85065746042215573</v>
      </c>
      <c r="H10" s="500">
        <v>0.34911294706278972</v>
      </c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</row>
    <row r="11" spans="2:24" x14ac:dyDescent="0.25">
      <c r="B11" s="962"/>
      <c r="C11" s="803"/>
      <c r="D11" s="129" t="s">
        <v>179</v>
      </c>
      <c r="E11" s="131">
        <v>3.9614622242656328</v>
      </c>
      <c r="F11" s="499">
        <v>2.7557805822797823</v>
      </c>
      <c r="G11" s="499">
        <v>0.95805389219381765</v>
      </c>
      <c r="H11" s="500">
        <v>0.24762774979203303</v>
      </c>
    </row>
    <row r="12" spans="2:24" ht="14.25" thickBot="1" x14ac:dyDescent="0.3">
      <c r="B12" s="962"/>
      <c r="C12" s="803"/>
      <c r="D12" s="129" t="s">
        <v>470</v>
      </c>
      <c r="E12" s="131">
        <v>3.8926495451966803</v>
      </c>
      <c r="F12" s="499">
        <v>2.618783693953028</v>
      </c>
      <c r="G12" s="499">
        <v>1.0395923305589356</v>
      </c>
      <c r="H12" s="500">
        <v>0.23427352068471663</v>
      </c>
      <c r="K12" s="121"/>
      <c r="L12" s="122">
        <v>2009</v>
      </c>
      <c r="M12" s="122">
        <v>2010</v>
      </c>
      <c r="N12" s="122">
        <v>2011</v>
      </c>
      <c r="O12" s="122">
        <v>2012</v>
      </c>
      <c r="P12" s="122">
        <v>2013</v>
      </c>
      <c r="Q12" s="122">
        <v>2014</v>
      </c>
      <c r="R12" s="122">
        <v>2015</v>
      </c>
      <c r="S12" s="122">
        <v>2016</v>
      </c>
      <c r="T12" s="122">
        <v>2017</v>
      </c>
      <c r="U12" s="122" t="s">
        <v>178</v>
      </c>
      <c r="V12" s="122" t="s">
        <v>179</v>
      </c>
      <c r="W12" s="122" t="s">
        <v>470</v>
      </c>
      <c r="X12" s="122" t="s">
        <v>179</v>
      </c>
    </row>
    <row r="13" spans="2:24" ht="14.25" thickBot="1" x14ac:dyDescent="0.3">
      <c r="B13" s="963"/>
      <c r="C13" s="306"/>
      <c r="D13" s="497" t="s">
        <v>1012</v>
      </c>
      <c r="E13" s="205">
        <v>3.6975359838085309</v>
      </c>
      <c r="F13" s="501">
        <v>2.3739475693793528</v>
      </c>
      <c r="G13" s="501">
        <v>1.1156218917259666</v>
      </c>
      <c r="H13" s="502">
        <v>0.20796652270321123</v>
      </c>
      <c r="K13" s="106" t="s">
        <v>310</v>
      </c>
      <c r="L13" s="111">
        <v>-0.19488672485750042</v>
      </c>
      <c r="M13" s="111">
        <v>-0.16978504516543391</v>
      </c>
      <c r="N13" s="111">
        <v>0.4313171103674342</v>
      </c>
      <c r="O13" s="111">
        <v>0.10007053575067715</v>
      </c>
      <c r="P13" s="111">
        <v>7.8652545750203681E-2</v>
      </c>
      <c r="Q13" s="111">
        <v>0.34345865207849391</v>
      </c>
      <c r="R13" s="111">
        <v>0.47980722941477588</v>
      </c>
      <c r="S13" s="111">
        <v>0.52665586863334868</v>
      </c>
      <c r="T13" s="111">
        <v>0.48329353722053497</v>
      </c>
      <c r="U13" s="111">
        <v>0.34911294706278972</v>
      </c>
      <c r="V13" s="111">
        <v>0.24762774979203303</v>
      </c>
      <c r="W13" s="111">
        <v>0.23427352068471663</v>
      </c>
      <c r="X13" s="111">
        <v>0.20796652270321123</v>
      </c>
    </row>
    <row r="14" spans="2:24" x14ac:dyDescent="0.25">
      <c r="B14" s="79" t="s">
        <v>184</v>
      </c>
      <c r="C14" s="79"/>
      <c r="D14" s="960" t="s">
        <v>185</v>
      </c>
      <c r="E14" s="960"/>
      <c r="F14" s="960"/>
      <c r="G14" s="960"/>
      <c r="H14" s="960"/>
      <c r="K14" s="106" t="s">
        <v>311</v>
      </c>
      <c r="L14" s="111">
        <v>1.0309052354103523</v>
      </c>
      <c r="M14" s="111">
        <v>0.76033496742830131</v>
      </c>
      <c r="N14" s="111">
        <v>0.9403789631506223</v>
      </c>
      <c r="O14" s="111">
        <v>0.8046742386444492</v>
      </c>
      <c r="P14" s="111">
        <v>0.54890223481110978</v>
      </c>
      <c r="Q14" s="111">
        <v>0.51771339819015749</v>
      </c>
      <c r="R14" s="111">
        <v>0.7925667010990779</v>
      </c>
      <c r="S14" s="111">
        <v>0.84689262266290555</v>
      </c>
      <c r="T14" s="111">
        <v>0.66272518439036321</v>
      </c>
      <c r="U14" s="111">
        <v>0.85065746042215573</v>
      </c>
      <c r="V14" s="111">
        <v>0.95805389219381765</v>
      </c>
      <c r="W14" s="111">
        <v>1.0395923305589356</v>
      </c>
      <c r="X14" s="111">
        <v>1.1156218917259666</v>
      </c>
    </row>
    <row r="15" spans="2:24" x14ac:dyDescent="0.25">
      <c r="K15" s="106" t="s">
        <v>188</v>
      </c>
      <c r="L15" s="111">
        <v>0.47357573516034518</v>
      </c>
      <c r="M15" s="111">
        <v>0.55274815858842863</v>
      </c>
      <c r="N15" s="111">
        <v>1.0374698299807212</v>
      </c>
      <c r="O15" s="111">
        <v>1.3990485132244337</v>
      </c>
      <c r="P15" s="111">
        <v>1.3818593710132046</v>
      </c>
      <c r="Q15" s="111">
        <v>1.5756978195875107</v>
      </c>
      <c r="R15" s="111">
        <v>1.850028536038234</v>
      </c>
      <c r="S15" s="111">
        <v>1.588746295088646</v>
      </c>
      <c r="T15" s="111">
        <v>1.8213633736261827</v>
      </c>
      <c r="U15" s="111">
        <v>2.5109467337872564</v>
      </c>
      <c r="V15" s="111">
        <v>2.7557805822797823</v>
      </c>
      <c r="W15" s="111">
        <v>2.618783693953028</v>
      </c>
      <c r="X15" s="111">
        <v>2.3739475693793528</v>
      </c>
    </row>
    <row r="16" spans="2:24" x14ac:dyDescent="0.25">
      <c r="K16" s="106" t="s">
        <v>312</v>
      </c>
      <c r="L16" s="111">
        <v>1.309594245713197</v>
      </c>
      <c r="M16" s="111">
        <v>1.143298080851296</v>
      </c>
      <c r="N16" s="111">
        <v>2.4091659034987778</v>
      </c>
      <c r="O16" s="111">
        <v>2.3037932876195599</v>
      </c>
      <c r="P16" s="111">
        <v>2.0094141515745179</v>
      </c>
      <c r="Q16" s="111">
        <v>2.4368698698561619</v>
      </c>
      <c r="R16" s="111">
        <v>3.1224024665520878</v>
      </c>
      <c r="S16" s="111">
        <v>2.9622947863849003</v>
      </c>
      <c r="T16" s="111">
        <v>2.9673820952370811</v>
      </c>
      <c r="U16" s="111">
        <v>3.7107171412722018</v>
      </c>
      <c r="V16" s="111">
        <v>3.9614622242656328</v>
      </c>
      <c r="W16" s="111">
        <v>3.8926495451966803</v>
      </c>
      <c r="X16" s="111">
        <v>3.6975359838085309</v>
      </c>
    </row>
    <row r="17" spans="2:8" ht="27.75" thickBot="1" x14ac:dyDescent="0.3">
      <c r="B17" s="801" t="s">
        <v>1440</v>
      </c>
      <c r="C17" s="503"/>
      <c r="D17" s="920" t="s">
        <v>1442</v>
      </c>
      <c r="E17" s="920"/>
      <c r="F17" s="920"/>
      <c r="G17" s="920"/>
      <c r="H17" s="920"/>
    </row>
    <row r="18" spans="2:8" ht="27.75" thickBot="1" x14ac:dyDescent="0.3">
      <c r="B18" s="961"/>
      <c r="C18" s="306"/>
      <c r="D18" s="18"/>
      <c r="E18" s="504" t="s">
        <v>313</v>
      </c>
      <c r="F18" s="505" t="s">
        <v>195</v>
      </c>
      <c r="G18" s="506" t="s">
        <v>314</v>
      </c>
      <c r="H18" s="505" t="s">
        <v>315</v>
      </c>
    </row>
    <row r="19" spans="2:8" x14ac:dyDescent="0.25">
      <c r="B19" s="962"/>
      <c r="C19" s="803"/>
      <c r="D19" s="129">
        <v>2013</v>
      </c>
      <c r="E19" s="131">
        <v>2.0094141515745179</v>
      </c>
      <c r="F19" s="499">
        <v>1.3818593710132046</v>
      </c>
      <c r="G19" s="499">
        <v>0.54890223481110978</v>
      </c>
      <c r="H19" s="500">
        <v>7.8652545750203681E-2</v>
      </c>
    </row>
    <row r="20" spans="2:8" x14ac:dyDescent="0.25">
      <c r="B20" s="962"/>
      <c r="C20" s="803"/>
      <c r="D20" s="129">
        <v>2014</v>
      </c>
      <c r="E20" s="131">
        <v>2.4368698698561619</v>
      </c>
      <c r="F20" s="499">
        <v>1.5756978195875107</v>
      </c>
      <c r="G20" s="499">
        <v>0.51771339819015749</v>
      </c>
      <c r="H20" s="500">
        <v>0.34345865207849391</v>
      </c>
    </row>
    <row r="21" spans="2:8" x14ac:dyDescent="0.25">
      <c r="B21" s="962"/>
      <c r="C21" s="803"/>
      <c r="D21" s="129">
        <v>2015</v>
      </c>
      <c r="E21" s="131">
        <v>3.1224024665520878</v>
      </c>
      <c r="F21" s="499">
        <v>1.850028536038234</v>
      </c>
      <c r="G21" s="499">
        <v>0.7925667010990779</v>
      </c>
      <c r="H21" s="500">
        <v>0.47980722941477588</v>
      </c>
    </row>
    <row r="22" spans="2:8" x14ac:dyDescent="0.25">
      <c r="B22" s="962"/>
      <c r="C22" s="803"/>
      <c r="D22" s="129">
        <v>2016</v>
      </c>
      <c r="E22" s="131">
        <v>2.9622947863849003</v>
      </c>
      <c r="F22" s="499">
        <v>1.588746295088646</v>
      </c>
      <c r="G22" s="499">
        <v>0.84689262266290555</v>
      </c>
      <c r="H22" s="500">
        <v>0.52665586863334868</v>
      </c>
    </row>
    <row r="23" spans="2:8" ht="14.25" thickBot="1" x14ac:dyDescent="0.3">
      <c r="B23" s="962"/>
      <c r="C23" s="803"/>
      <c r="D23" s="497">
        <v>2017</v>
      </c>
      <c r="E23" s="205">
        <v>2.9673820952370811</v>
      </c>
      <c r="F23" s="501">
        <v>1.8213633736261827</v>
      </c>
      <c r="G23" s="501">
        <v>0.66272518439036321</v>
      </c>
      <c r="H23" s="502">
        <v>0.48329353722053497</v>
      </c>
    </row>
    <row r="24" spans="2:8" x14ac:dyDescent="0.25">
      <c r="B24" s="962"/>
      <c r="C24" s="803"/>
      <c r="D24" s="129" t="s">
        <v>178</v>
      </c>
      <c r="E24" s="131">
        <v>3.7107171412722018</v>
      </c>
      <c r="F24" s="499">
        <v>2.5109467337872564</v>
      </c>
      <c r="G24" s="499">
        <v>0.85065746042215573</v>
      </c>
      <c r="H24" s="500">
        <v>0.34911294706278972</v>
      </c>
    </row>
    <row r="25" spans="2:8" x14ac:dyDescent="0.25">
      <c r="B25" s="962"/>
      <c r="C25" s="803"/>
      <c r="D25" s="129" t="s">
        <v>179</v>
      </c>
      <c r="E25" s="131">
        <v>3.9614622242656328</v>
      </c>
      <c r="F25" s="499">
        <v>2.7557805822797823</v>
      </c>
      <c r="G25" s="499">
        <v>0.95805389219381765</v>
      </c>
      <c r="H25" s="500">
        <v>0.24762774979203303</v>
      </c>
    </row>
    <row r="26" spans="2:8" x14ac:dyDescent="0.25">
      <c r="B26" s="962"/>
      <c r="C26" s="803"/>
      <c r="D26" s="129" t="s">
        <v>470</v>
      </c>
      <c r="E26" s="131">
        <v>3.8926495451966803</v>
      </c>
      <c r="F26" s="499">
        <v>2.618783693953028</v>
      </c>
      <c r="G26" s="499">
        <v>1.0395923305589356</v>
      </c>
      <c r="H26" s="500">
        <v>0.23427352068471663</v>
      </c>
    </row>
    <row r="27" spans="2:8" ht="14.25" thickBot="1" x14ac:dyDescent="0.3">
      <c r="B27" s="963"/>
      <c r="C27" s="306"/>
      <c r="D27" s="497" t="s">
        <v>1012</v>
      </c>
      <c r="E27" s="205">
        <v>3.6975359838085309</v>
      </c>
      <c r="F27" s="501">
        <v>2.3739475693793528</v>
      </c>
      <c r="G27" s="501">
        <v>1.1156218917259666</v>
      </c>
      <c r="H27" s="502">
        <v>0.20796652270321123</v>
      </c>
    </row>
    <row r="28" spans="2:8" x14ac:dyDescent="0.25">
      <c r="B28" s="79" t="s">
        <v>1049</v>
      </c>
      <c r="C28" s="79"/>
      <c r="D28" s="960" t="s">
        <v>414</v>
      </c>
      <c r="E28" s="960"/>
      <c r="F28" s="960"/>
      <c r="G28" s="960"/>
      <c r="H28" s="960"/>
    </row>
  </sheetData>
  <mergeCells count="6">
    <mergeCell ref="D28:H28"/>
    <mergeCell ref="D3:H3"/>
    <mergeCell ref="B4:B13"/>
    <mergeCell ref="D14:H14"/>
    <mergeCell ref="D17:H17"/>
    <mergeCell ref="B18:B2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6"/>
  <dimension ref="B4:AB31"/>
  <sheetViews>
    <sheetView showGridLines="0" zoomScale="90" zoomScaleNormal="90" workbookViewId="0">
      <selection activeCell="D19" sqref="D19:G19"/>
    </sheetView>
  </sheetViews>
  <sheetFormatPr defaultColWidth="9.140625" defaultRowHeight="13.5" x14ac:dyDescent="0.25"/>
  <cols>
    <col min="1" max="1" width="9.140625" style="34"/>
    <col min="2" max="2" width="50.85546875" style="34" customWidth="1"/>
    <col min="3" max="3" width="9.7109375" style="300" customWidth="1"/>
    <col min="4" max="6" width="9.140625" style="34"/>
    <col min="7" max="7" width="11.28515625" style="34" customWidth="1"/>
    <col min="8" max="9" width="9.140625" style="34"/>
    <col min="10" max="10" width="14.140625" style="34" bestFit="1" customWidth="1"/>
    <col min="11" max="16384" width="9.140625" style="34"/>
  </cols>
  <sheetData>
    <row r="4" spans="2:28" ht="27.75" thickBot="1" x14ac:dyDescent="0.3">
      <c r="B4" s="787" t="s">
        <v>1443</v>
      </c>
      <c r="C4" s="810"/>
      <c r="D4" s="920" t="s">
        <v>1445</v>
      </c>
      <c r="E4" s="920"/>
      <c r="F4" s="920"/>
      <c r="G4" s="920"/>
    </row>
    <row r="5" spans="2:28" ht="14.25" thickBot="1" x14ac:dyDescent="0.3">
      <c r="B5" s="961"/>
      <c r="C5" s="306"/>
      <c r="D5" s="964"/>
      <c r="E5" s="807" t="s">
        <v>99</v>
      </c>
      <c r="F5" s="966" t="s">
        <v>181</v>
      </c>
      <c r="G5" s="80" t="s">
        <v>190</v>
      </c>
      <c r="J5" s="46"/>
      <c r="K5" s="47">
        <v>2004</v>
      </c>
      <c r="L5" s="47">
        <v>2005</v>
      </c>
      <c r="M5" s="47">
        <v>2006</v>
      </c>
      <c r="N5" s="47">
        <v>2007</v>
      </c>
      <c r="O5" s="47">
        <v>2008</v>
      </c>
      <c r="P5" s="47">
        <v>2009</v>
      </c>
      <c r="Q5" s="47">
        <v>2010</v>
      </c>
      <c r="R5" s="47">
        <v>2011</v>
      </c>
      <c r="S5" s="47">
        <v>2012</v>
      </c>
      <c r="T5" s="47">
        <v>2013</v>
      </c>
      <c r="U5" s="47">
        <v>2014</v>
      </c>
      <c r="V5" s="47">
        <v>2015</v>
      </c>
      <c r="W5" s="47">
        <v>2016</v>
      </c>
      <c r="X5" s="47">
        <v>2017</v>
      </c>
      <c r="Y5" s="47" t="s">
        <v>178</v>
      </c>
      <c r="Z5" s="47" t="s">
        <v>179</v>
      </c>
      <c r="AA5" s="47" t="s">
        <v>470</v>
      </c>
      <c r="AB5" s="47" t="s">
        <v>1012</v>
      </c>
    </row>
    <row r="6" spans="2:28" ht="27.75" thickBot="1" x14ac:dyDescent="0.3">
      <c r="B6" s="962"/>
      <c r="C6" s="306"/>
      <c r="D6" s="965"/>
      <c r="E6" s="808" t="s">
        <v>191</v>
      </c>
      <c r="F6" s="967"/>
      <c r="G6" s="81" t="s">
        <v>192</v>
      </c>
      <c r="J6" s="110" t="s">
        <v>194</v>
      </c>
      <c r="K6" s="35">
        <v>-1.2599594962723435</v>
      </c>
      <c r="L6" s="35">
        <v>-1.6871618725808581</v>
      </c>
      <c r="M6" s="35">
        <v>-1.0995755712041322</v>
      </c>
      <c r="N6" s="35">
        <v>2.0219789319028032</v>
      </c>
      <c r="O6" s="35">
        <v>2.161291054721739</v>
      </c>
      <c r="P6" s="35">
        <v>-4.6278839034769188</v>
      </c>
      <c r="Q6" s="35">
        <v>-0.95266945421412075</v>
      </c>
      <c r="R6" s="35">
        <v>-0.55736166962565337</v>
      </c>
      <c r="S6" s="35">
        <v>-1.1870720854364472</v>
      </c>
      <c r="T6" s="35">
        <v>-1.6901424650205326</v>
      </c>
      <c r="U6" s="35">
        <v>-1.3880480792584564</v>
      </c>
      <c r="V6" s="35">
        <v>-0.68730045660982964</v>
      </c>
      <c r="W6" s="35">
        <v>-0.32770656322884495</v>
      </c>
      <c r="X6" s="35">
        <v>9.2176087213173427E-2</v>
      </c>
      <c r="Y6" s="35">
        <v>0.56642343268447592</v>
      </c>
      <c r="Z6" s="35">
        <v>1.0994109254611752</v>
      </c>
      <c r="AA6" s="35">
        <v>1.0871002021800185</v>
      </c>
      <c r="AB6" s="35">
        <v>0.79466472355658557</v>
      </c>
    </row>
    <row r="7" spans="2:28" x14ac:dyDescent="0.25">
      <c r="B7" s="962"/>
      <c r="C7" s="306"/>
      <c r="D7" s="129">
        <v>2013</v>
      </c>
      <c r="E7" s="131">
        <v>1.4906464378200868</v>
      </c>
      <c r="F7" s="131">
        <v>2.0094141515745179</v>
      </c>
      <c r="G7" s="496">
        <v>-1.6901424650205326</v>
      </c>
      <c r="J7" s="110" t="s">
        <v>316</v>
      </c>
      <c r="K7" s="35">
        <v>-1.2599594962723435</v>
      </c>
      <c r="L7" s="35">
        <v>-1.6871618725808581</v>
      </c>
      <c r="M7" s="35">
        <v>-1.0995755712041322</v>
      </c>
      <c r="N7" s="35">
        <v>2.0219789319028032</v>
      </c>
      <c r="O7" s="35">
        <v>2.161291054721739</v>
      </c>
      <c r="P7" s="35">
        <v>-4.6278839034769188</v>
      </c>
      <c r="Q7" s="35">
        <v>-0.95266945421412075</v>
      </c>
      <c r="R7" s="35">
        <v>-0.55736166962565337</v>
      </c>
      <c r="S7" s="35">
        <v>-1.1870720854364472</v>
      </c>
      <c r="T7" s="35">
        <v>-1.6901424650205326</v>
      </c>
      <c r="U7" s="35">
        <v>-1.3880480792584564</v>
      </c>
      <c r="V7" s="35">
        <v>-0.68730045660982964</v>
      </c>
      <c r="W7" s="35">
        <v>-0.32770656322884495</v>
      </c>
      <c r="X7" s="35">
        <v>9.2176087213173427E-2</v>
      </c>
      <c r="Y7" s="35">
        <v>0.56642343268447592</v>
      </c>
      <c r="Z7" s="35">
        <v>1.0994109254611752</v>
      </c>
      <c r="AA7" s="35">
        <v>1.0871002021800185</v>
      </c>
      <c r="AB7" s="35">
        <v>0.79466472355658557</v>
      </c>
    </row>
    <row r="8" spans="2:28" x14ac:dyDescent="0.25">
      <c r="B8" s="962"/>
      <c r="C8" s="306"/>
      <c r="D8" s="129">
        <v>2014</v>
      </c>
      <c r="E8" s="131">
        <v>2.7503350168863516</v>
      </c>
      <c r="F8" s="131">
        <v>2.4368698698561619</v>
      </c>
      <c r="G8" s="496">
        <v>-1.3880480792584564</v>
      </c>
    </row>
    <row r="9" spans="2:28" x14ac:dyDescent="0.25">
      <c r="B9" s="962"/>
      <c r="C9" s="306"/>
      <c r="D9" s="129">
        <v>2015</v>
      </c>
      <c r="E9" s="131">
        <v>3.8501006044002306</v>
      </c>
      <c r="F9" s="131">
        <v>3.1224024665520878</v>
      </c>
      <c r="G9" s="496">
        <v>-0.68730045660982964</v>
      </c>
    </row>
    <row r="10" spans="2:28" x14ac:dyDescent="0.25">
      <c r="B10" s="962"/>
      <c r="C10" s="306"/>
      <c r="D10" s="129">
        <v>2016</v>
      </c>
      <c r="E10" s="131">
        <v>3.3246952959640197</v>
      </c>
      <c r="F10" s="131">
        <v>2.9622947863849003</v>
      </c>
      <c r="G10" s="496">
        <v>-0.32770656322884495</v>
      </c>
    </row>
    <row r="11" spans="2:28" ht="14.25" thickBot="1" x14ac:dyDescent="0.3">
      <c r="B11" s="962"/>
      <c r="C11" s="306"/>
      <c r="D11" s="497">
        <v>2017</v>
      </c>
      <c r="E11" s="205">
        <v>3.4001663110798441</v>
      </c>
      <c r="F11" s="205">
        <v>2.9673820952370811</v>
      </c>
      <c r="G11" s="498">
        <v>9.2176087213173427E-2</v>
      </c>
    </row>
    <row r="12" spans="2:28" x14ac:dyDescent="0.25">
      <c r="B12" s="962"/>
      <c r="C12" s="306"/>
      <c r="D12" s="129" t="s">
        <v>178</v>
      </c>
      <c r="E12" s="131">
        <v>4.1791525746795566</v>
      </c>
      <c r="F12" s="131">
        <v>3.7107171412722018</v>
      </c>
      <c r="G12" s="496">
        <v>0.56642343268447592</v>
      </c>
    </row>
    <row r="13" spans="2:28" x14ac:dyDescent="0.25">
      <c r="B13" s="962"/>
      <c r="C13" s="306"/>
      <c r="D13" s="129" t="s">
        <v>179</v>
      </c>
      <c r="E13" s="131">
        <v>4.5124429313940118</v>
      </c>
      <c r="F13" s="131">
        <v>3.9614622242656328</v>
      </c>
      <c r="G13" s="496">
        <v>1.0994109254611752</v>
      </c>
    </row>
    <row r="14" spans="2:28" x14ac:dyDescent="0.25">
      <c r="B14" s="962"/>
      <c r="C14" s="306"/>
      <c r="D14" s="129" t="s">
        <v>470</v>
      </c>
      <c r="E14" s="131">
        <v>3.8799986934479946</v>
      </c>
      <c r="F14" s="131">
        <v>3.8926495451966803</v>
      </c>
      <c r="G14" s="496">
        <v>1.0871002021800185</v>
      </c>
    </row>
    <row r="15" spans="2:28" ht="14.25" thickBot="1" x14ac:dyDescent="0.3">
      <c r="B15" s="963"/>
      <c r="C15" s="306"/>
      <c r="D15" s="497" t="s">
        <v>1012</v>
      </c>
      <c r="E15" s="205">
        <v>3.3975487598517207</v>
      </c>
      <c r="F15" s="205">
        <v>3.6975359838085309</v>
      </c>
      <c r="G15" s="498">
        <v>0.79466472355658557</v>
      </c>
    </row>
    <row r="16" spans="2:28" ht="15" customHeight="1" x14ac:dyDescent="0.25">
      <c r="B16" s="76" t="s">
        <v>412</v>
      </c>
      <c r="C16" s="325"/>
      <c r="D16" s="960" t="s">
        <v>193</v>
      </c>
      <c r="E16" s="960"/>
      <c r="F16" s="960"/>
      <c r="G16" s="960"/>
    </row>
    <row r="19" spans="2:7" ht="14.25" thickBot="1" x14ac:dyDescent="0.3">
      <c r="B19" s="787" t="s">
        <v>1444</v>
      </c>
      <c r="C19" s="810"/>
      <c r="D19" s="920" t="s">
        <v>1446</v>
      </c>
      <c r="E19" s="920"/>
      <c r="F19" s="920"/>
      <c r="G19" s="920"/>
    </row>
    <row r="20" spans="2:7" ht="15" customHeight="1" x14ac:dyDescent="0.25">
      <c r="B20" s="961"/>
      <c r="C20" s="306"/>
      <c r="D20" s="964"/>
      <c r="E20" s="807" t="s">
        <v>230</v>
      </c>
      <c r="F20" s="966" t="s">
        <v>313</v>
      </c>
      <c r="G20" s="80" t="s">
        <v>318</v>
      </c>
    </row>
    <row r="21" spans="2:7" ht="27.75" thickBot="1" x14ac:dyDescent="0.3">
      <c r="B21" s="962"/>
      <c r="C21" s="306"/>
      <c r="D21" s="965"/>
      <c r="E21" s="808" t="s">
        <v>317</v>
      </c>
      <c r="F21" s="967"/>
      <c r="G21" s="81" t="s">
        <v>319</v>
      </c>
    </row>
    <row r="22" spans="2:7" x14ac:dyDescent="0.25">
      <c r="B22" s="962"/>
      <c r="C22" s="306"/>
      <c r="D22" s="129">
        <v>2013</v>
      </c>
      <c r="E22" s="131">
        <v>1.4906464378200868</v>
      </c>
      <c r="F22" s="131">
        <v>2.0094141515745179</v>
      </c>
      <c r="G22" s="496">
        <v>-1.6901424650205326</v>
      </c>
    </row>
    <row r="23" spans="2:7" x14ac:dyDescent="0.25">
      <c r="B23" s="962"/>
      <c r="C23" s="306"/>
      <c r="D23" s="129">
        <v>2014</v>
      </c>
      <c r="E23" s="131">
        <v>2.7503350168863516</v>
      </c>
      <c r="F23" s="131">
        <v>2.4368698698561619</v>
      </c>
      <c r="G23" s="496">
        <v>-1.3880480792584564</v>
      </c>
    </row>
    <row r="24" spans="2:7" x14ac:dyDescent="0.25">
      <c r="B24" s="962"/>
      <c r="C24" s="306"/>
      <c r="D24" s="129">
        <v>2015</v>
      </c>
      <c r="E24" s="131">
        <v>3.8501006044002306</v>
      </c>
      <c r="F24" s="131">
        <v>3.1224024665520878</v>
      </c>
      <c r="G24" s="496">
        <v>-0.68730045660982964</v>
      </c>
    </row>
    <row r="25" spans="2:7" x14ac:dyDescent="0.25">
      <c r="B25" s="962"/>
      <c r="C25" s="306"/>
      <c r="D25" s="129">
        <v>2016</v>
      </c>
      <c r="E25" s="131">
        <v>3.3246952959640197</v>
      </c>
      <c r="F25" s="131">
        <v>2.9622947863849003</v>
      </c>
      <c r="G25" s="496">
        <v>-0.32770656322884495</v>
      </c>
    </row>
    <row r="26" spans="2:7" ht="14.25" thickBot="1" x14ac:dyDescent="0.3">
      <c r="B26" s="962"/>
      <c r="C26" s="306"/>
      <c r="D26" s="497">
        <v>2017</v>
      </c>
      <c r="E26" s="205">
        <v>3.4001663110798441</v>
      </c>
      <c r="F26" s="205">
        <v>2.9673820952370811</v>
      </c>
      <c r="G26" s="498">
        <v>9.2176087213173427E-2</v>
      </c>
    </row>
    <row r="27" spans="2:7" x14ac:dyDescent="0.25">
      <c r="B27" s="962"/>
      <c r="C27" s="306"/>
      <c r="D27" s="129" t="s">
        <v>178</v>
      </c>
      <c r="E27" s="131">
        <v>4.1791525746795566</v>
      </c>
      <c r="F27" s="131">
        <v>3.7107171412722018</v>
      </c>
      <c r="G27" s="496">
        <v>0.56642343268447592</v>
      </c>
    </row>
    <row r="28" spans="2:7" x14ac:dyDescent="0.25">
      <c r="B28" s="962"/>
      <c r="C28" s="306"/>
      <c r="D28" s="129" t="s">
        <v>179</v>
      </c>
      <c r="E28" s="131">
        <v>4.5124429313940118</v>
      </c>
      <c r="F28" s="131">
        <v>3.9614622242656328</v>
      </c>
      <c r="G28" s="496">
        <v>1.0994109254611752</v>
      </c>
    </row>
    <row r="29" spans="2:7" x14ac:dyDescent="0.25">
      <c r="B29" s="962"/>
      <c r="C29" s="306"/>
      <c r="D29" s="129" t="s">
        <v>470</v>
      </c>
      <c r="E29" s="131">
        <v>3.8799986934479946</v>
      </c>
      <c r="F29" s="131">
        <v>3.8926495451966803</v>
      </c>
      <c r="G29" s="496">
        <v>1.0871002021800185</v>
      </c>
    </row>
    <row r="30" spans="2:7" ht="14.25" thickBot="1" x14ac:dyDescent="0.3">
      <c r="B30" s="963"/>
      <c r="C30" s="306"/>
      <c r="D30" s="497" t="s">
        <v>1012</v>
      </c>
      <c r="E30" s="205">
        <v>3.3975487598517207</v>
      </c>
      <c r="F30" s="205">
        <v>3.6975359838085309</v>
      </c>
      <c r="G30" s="498">
        <v>0.79466472355658557</v>
      </c>
    </row>
    <row r="31" spans="2:7" x14ac:dyDescent="0.25">
      <c r="B31" s="76" t="s">
        <v>413</v>
      </c>
      <c r="C31" s="325"/>
      <c r="D31" s="960" t="s">
        <v>413</v>
      </c>
      <c r="E31" s="960"/>
      <c r="F31" s="960"/>
      <c r="G31" s="960"/>
    </row>
  </sheetData>
  <mergeCells count="10">
    <mergeCell ref="B20:B30"/>
    <mergeCell ref="D20:D21"/>
    <mergeCell ref="F20:F21"/>
    <mergeCell ref="D31:G31"/>
    <mergeCell ref="D4:G4"/>
    <mergeCell ref="B5:B15"/>
    <mergeCell ref="D5:D6"/>
    <mergeCell ref="F5:F6"/>
    <mergeCell ref="D16:G16"/>
    <mergeCell ref="D19:G19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4:D16"/>
  <sheetViews>
    <sheetView showGridLines="0" zoomScale="90" zoomScaleNormal="90" workbookViewId="0">
      <selection activeCell="A11" sqref="A11"/>
    </sheetView>
  </sheetViews>
  <sheetFormatPr defaultColWidth="9.140625" defaultRowHeight="13.5" x14ac:dyDescent="0.25"/>
  <cols>
    <col min="1" max="1" width="43" style="34" customWidth="1"/>
    <col min="2" max="4" width="8.85546875" style="34" customWidth="1"/>
    <col min="5" max="16384" width="9.140625" style="34"/>
  </cols>
  <sheetData>
    <row r="4" spans="1:4" x14ac:dyDescent="0.25">
      <c r="A4" s="653" t="s">
        <v>1447</v>
      </c>
      <c r="B4" s="838"/>
      <c r="C4" s="838"/>
      <c r="D4" s="838"/>
    </row>
    <row r="5" spans="1:4" x14ac:dyDescent="0.25">
      <c r="A5" s="222"/>
      <c r="B5" s="839">
        <v>2017</v>
      </c>
      <c r="C5" s="839">
        <v>2018</v>
      </c>
      <c r="D5" s="839">
        <v>2019</v>
      </c>
    </row>
    <row r="6" spans="1:4" x14ac:dyDescent="0.25">
      <c r="A6" s="315" t="s">
        <v>1094</v>
      </c>
      <c r="B6" s="840">
        <v>0</v>
      </c>
      <c r="C6" s="840">
        <v>0.5</v>
      </c>
      <c r="D6" s="840">
        <v>1</v>
      </c>
    </row>
    <row r="7" spans="1:4" x14ac:dyDescent="0.25">
      <c r="A7" s="308" t="s">
        <v>1095</v>
      </c>
      <c r="B7" s="841">
        <v>0.1</v>
      </c>
      <c r="C7" s="841">
        <v>0.6</v>
      </c>
      <c r="D7" s="841">
        <v>1.1000000000000001</v>
      </c>
    </row>
    <row r="8" spans="1:4" x14ac:dyDescent="0.25">
      <c r="A8" s="314" t="s">
        <v>1096</v>
      </c>
      <c r="B8" s="842">
        <v>-0.2</v>
      </c>
      <c r="C8" s="842">
        <v>0.6</v>
      </c>
      <c r="D8" s="842">
        <v>1.5</v>
      </c>
    </row>
    <row r="9" spans="1:4" x14ac:dyDescent="0.25">
      <c r="A9" s="5"/>
      <c r="B9" s="265"/>
      <c r="C9" s="968" t="s">
        <v>1097</v>
      </c>
      <c r="D9" s="968"/>
    </row>
    <row r="11" spans="1:4" x14ac:dyDescent="0.25">
      <c r="A11" s="653" t="s">
        <v>1448</v>
      </c>
      <c r="B11" s="838"/>
      <c r="C11" s="838"/>
      <c r="D11" s="838"/>
    </row>
    <row r="12" spans="1:4" x14ac:dyDescent="0.25">
      <c r="A12" s="222"/>
      <c r="B12" s="839">
        <v>2017</v>
      </c>
      <c r="C12" s="839">
        <v>2018</v>
      </c>
      <c r="D12" s="839">
        <v>2019</v>
      </c>
    </row>
    <row r="13" spans="1:4" x14ac:dyDescent="0.25">
      <c r="A13" s="315" t="s">
        <v>1098</v>
      </c>
      <c r="B13" s="840">
        <v>0</v>
      </c>
      <c r="C13" s="840">
        <v>0.5</v>
      </c>
      <c r="D13" s="840">
        <v>1</v>
      </c>
    </row>
    <row r="14" spans="1:4" x14ac:dyDescent="0.25">
      <c r="A14" s="308" t="s">
        <v>1099</v>
      </c>
      <c r="B14" s="841">
        <v>0.1</v>
      </c>
      <c r="C14" s="841">
        <v>0.6</v>
      </c>
      <c r="D14" s="841">
        <v>1.1000000000000001</v>
      </c>
    </row>
    <row r="15" spans="1:4" x14ac:dyDescent="0.25">
      <c r="A15" s="314" t="s">
        <v>1100</v>
      </c>
      <c r="B15" s="842">
        <v>-0.2</v>
      </c>
      <c r="C15" s="842">
        <v>0.6</v>
      </c>
      <c r="D15" s="842">
        <v>1.5</v>
      </c>
    </row>
    <row r="16" spans="1:4" x14ac:dyDescent="0.25">
      <c r="A16" s="5"/>
      <c r="B16" s="265"/>
      <c r="C16" s="968" t="s">
        <v>1097</v>
      </c>
      <c r="D16" s="968"/>
    </row>
  </sheetData>
  <mergeCells count="2">
    <mergeCell ref="C9:D9"/>
    <mergeCell ref="C16:D16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7"/>
  <dimension ref="A3:D52"/>
  <sheetViews>
    <sheetView showGridLines="0" zoomScale="80" zoomScaleNormal="80" workbookViewId="0">
      <selection activeCell="A29" sqref="A29:D29"/>
    </sheetView>
  </sheetViews>
  <sheetFormatPr defaultColWidth="9.140625" defaultRowHeight="13.5" x14ac:dyDescent="0.25"/>
  <cols>
    <col min="1" max="1" width="24.42578125" style="34" customWidth="1"/>
    <col min="2" max="4" width="12.85546875" style="34" customWidth="1"/>
    <col min="5" max="16384" width="9.140625" style="34"/>
  </cols>
  <sheetData>
    <row r="3" spans="1:4" ht="14.25" thickBot="1" x14ac:dyDescent="0.3">
      <c r="A3" s="919" t="s">
        <v>1449</v>
      </c>
      <c r="B3" s="919"/>
      <c r="C3" s="919"/>
      <c r="D3" s="919"/>
    </row>
    <row r="4" spans="1:4" ht="14.25" thickBot="1" x14ac:dyDescent="0.3">
      <c r="A4" s="487"/>
      <c r="B4" s="488">
        <v>2017</v>
      </c>
      <c r="C4" s="488">
        <v>2018</v>
      </c>
      <c r="D4" s="488">
        <v>2019</v>
      </c>
    </row>
    <row r="5" spans="1:4" ht="15.75" customHeight="1" thickBot="1" x14ac:dyDescent="0.3">
      <c r="A5" s="969" t="s">
        <v>41</v>
      </c>
      <c r="B5" s="969"/>
      <c r="C5" s="969"/>
      <c r="D5" s="969"/>
    </row>
    <row r="6" spans="1:4" ht="15.75" customHeight="1" x14ac:dyDescent="0.25">
      <c r="A6" s="489" t="s">
        <v>3</v>
      </c>
      <c r="B6" s="490">
        <v>3.4</v>
      </c>
      <c r="C6" s="490">
        <v>4.2</v>
      </c>
      <c r="D6" s="490">
        <v>4.5</v>
      </c>
    </row>
    <row r="7" spans="1:4" x14ac:dyDescent="0.25">
      <c r="A7" s="491" t="s">
        <v>42</v>
      </c>
      <c r="B7" s="492">
        <v>3.4</v>
      </c>
      <c r="C7" s="492">
        <v>3.9</v>
      </c>
      <c r="D7" s="492">
        <v>4.0999999999999996</v>
      </c>
    </row>
    <row r="8" spans="1:4" x14ac:dyDescent="0.25">
      <c r="A8" s="491" t="s">
        <v>43</v>
      </c>
      <c r="B8" s="492">
        <v>3.4</v>
      </c>
      <c r="C8" s="492">
        <v>4.3</v>
      </c>
      <c r="D8" s="492">
        <v>4.7</v>
      </c>
    </row>
    <row r="9" spans="1:4" x14ac:dyDescent="0.25">
      <c r="A9" s="491" t="s">
        <v>4</v>
      </c>
      <c r="B9" s="492">
        <v>3.4</v>
      </c>
      <c r="C9" s="492">
        <v>4</v>
      </c>
      <c r="D9" s="492">
        <v>4.2</v>
      </c>
    </row>
    <row r="10" spans="1:4" ht="25.5" customHeight="1" x14ac:dyDescent="0.25">
      <c r="A10" s="491" t="s">
        <v>44</v>
      </c>
      <c r="B10" s="492">
        <v>3.3</v>
      </c>
      <c r="C10" s="492">
        <v>4.0999999999999996</v>
      </c>
      <c r="D10" s="492">
        <v>4.3</v>
      </c>
    </row>
    <row r="11" spans="1:4" ht="14.25" thickBot="1" x14ac:dyDescent="0.3">
      <c r="A11" s="493" t="s">
        <v>45</v>
      </c>
      <c r="B11" s="494">
        <v>3.3</v>
      </c>
      <c r="C11" s="494">
        <v>3.7</v>
      </c>
      <c r="D11" s="494">
        <v>3.9</v>
      </c>
    </row>
    <row r="12" spans="1:4" ht="14.25" thickBot="1" x14ac:dyDescent="0.3">
      <c r="A12" s="970" t="s">
        <v>46</v>
      </c>
      <c r="B12" s="970"/>
      <c r="C12" s="970"/>
      <c r="D12" s="970"/>
    </row>
    <row r="13" spans="1:4" ht="15.75" customHeight="1" x14ac:dyDescent="0.25">
      <c r="A13" s="489" t="s">
        <v>3</v>
      </c>
      <c r="B13" s="490">
        <v>1.4</v>
      </c>
      <c r="C13" s="490">
        <v>2</v>
      </c>
      <c r="D13" s="490">
        <v>2</v>
      </c>
    </row>
    <row r="14" spans="1:4" x14ac:dyDescent="0.25">
      <c r="A14" s="491" t="s">
        <v>42</v>
      </c>
      <c r="B14" s="492">
        <v>1.4</v>
      </c>
      <c r="C14" s="492">
        <v>2</v>
      </c>
      <c r="D14" s="492">
        <v>2</v>
      </c>
    </row>
    <row r="15" spans="1:4" x14ac:dyDescent="0.25">
      <c r="A15" s="491" t="s">
        <v>43</v>
      </c>
      <c r="B15" s="492">
        <v>1.4</v>
      </c>
      <c r="C15" s="492">
        <v>2.4</v>
      </c>
      <c r="D15" s="492">
        <v>2.1</v>
      </c>
    </row>
    <row r="16" spans="1:4" x14ac:dyDescent="0.25">
      <c r="A16" s="491" t="s">
        <v>4</v>
      </c>
      <c r="B16" s="492">
        <v>1.4</v>
      </c>
      <c r="C16" s="492">
        <v>2.2000000000000002</v>
      </c>
      <c r="D16" s="492">
        <v>2</v>
      </c>
    </row>
    <row r="17" spans="1:4" ht="25.5" customHeight="1" x14ac:dyDescent="0.25">
      <c r="A17" s="491" t="s">
        <v>44</v>
      </c>
      <c r="B17" s="492">
        <v>1.3</v>
      </c>
      <c r="C17" s="492">
        <v>1.9</v>
      </c>
      <c r="D17" s="492">
        <v>2.2000000000000002</v>
      </c>
    </row>
    <row r="18" spans="1:4" ht="14.25" thickBot="1" x14ac:dyDescent="0.3">
      <c r="A18" s="493" t="s">
        <v>45</v>
      </c>
      <c r="B18" s="494">
        <v>1.2</v>
      </c>
      <c r="C18" s="494">
        <v>1.4</v>
      </c>
      <c r="D18" s="494">
        <v>1.7</v>
      </c>
    </row>
    <row r="19" spans="1:4" ht="15.75" customHeight="1" thickBot="1" x14ac:dyDescent="0.3">
      <c r="A19" s="970" t="s">
        <v>47</v>
      </c>
      <c r="B19" s="970"/>
      <c r="C19" s="970"/>
      <c r="D19" s="970"/>
    </row>
    <row r="20" spans="1:4" ht="15.75" customHeight="1" x14ac:dyDescent="0.25">
      <c r="A20" s="489" t="s">
        <v>3</v>
      </c>
      <c r="B20" s="490">
        <v>-1.8</v>
      </c>
      <c r="C20" s="490">
        <v>-1.6</v>
      </c>
      <c r="D20" s="490">
        <v>-0.7</v>
      </c>
    </row>
    <row r="21" spans="1:4" x14ac:dyDescent="0.25">
      <c r="A21" s="491" t="s">
        <v>42</v>
      </c>
      <c r="B21" s="492">
        <v>-1.8</v>
      </c>
      <c r="C21" s="492">
        <v>-1.4</v>
      </c>
      <c r="D21" s="492">
        <v>-0.3</v>
      </c>
    </row>
    <row r="22" spans="1:4" x14ac:dyDescent="0.25">
      <c r="A22" s="491" t="s">
        <v>43</v>
      </c>
      <c r="B22" s="492">
        <v>-1.9</v>
      </c>
      <c r="C22" s="492">
        <v>-2.4</v>
      </c>
      <c r="D22" s="492">
        <v>-1.2</v>
      </c>
    </row>
    <row r="23" spans="1:4" x14ac:dyDescent="0.25">
      <c r="A23" s="491" t="s">
        <v>4</v>
      </c>
      <c r="B23" s="492" t="s">
        <v>14</v>
      </c>
      <c r="C23" s="492" t="s">
        <v>14</v>
      </c>
      <c r="D23" s="492" t="s">
        <v>14</v>
      </c>
    </row>
    <row r="24" spans="1:4" ht="25.5" customHeight="1" x14ac:dyDescent="0.25">
      <c r="A24" s="491" t="s">
        <v>44</v>
      </c>
      <c r="B24" s="492">
        <v>-1.4</v>
      </c>
      <c r="C24" s="492">
        <v>-0.1</v>
      </c>
      <c r="D24" s="492">
        <v>0.8</v>
      </c>
    </row>
    <row r="25" spans="1:4" ht="14.25" thickBot="1" x14ac:dyDescent="0.3">
      <c r="A25" s="493" t="s">
        <v>45</v>
      </c>
      <c r="B25" s="494">
        <v>0.3</v>
      </c>
      <c r="C25" s="494">
        <v>0.2</v>
      </c>
      <c r="D25" s="494">
        <v>0.5</v>
      </c>
    </row>
    <row r="26" spans="1:4" x14ac:dyDescent="0.25">
      <c r="A26" s="971" t="s">
        <v>1451</v>
      </c>
      <c r="B26" s="971"/>
      <c r="C26" s="971"/>
      <c r="D26" s="971"/>
    </row>
    <row r="27" spans="1:4" ht="15" customHeight="1" x14ac:dyDescent="0.25"/>
    <row r="29" spans="1:4" ht="14.25" thickBot="1" x14ac:dyDescent="0.3">
      <c r="A29" s="919" t="s">
        <v>1450</v>
      </c>
      <c r="B29" s="919"/>
      <c r="C29" s="919"/>
      <c r="D29" s="919"/>
    </row>
    <row r="30" spans="1:4" ht="14.25" thickBot="1" x14ac:dyDescent="0.3">
      <c r="A30" s="487"/>
      <c r="B30" s="488">
        <v>2016</v>
      </c>
      <c r="C30" s="488">
        <v>2017</v>
      </c>
      <c r="D30" s="488">
        <v>2018</v>
      </c>
    </row>
    <row r="31" spans="1:4" ht="14.25" thickBot="1" x14ac:dyDescent="0.3">
      <c r="A31" s="969" t="s">
        <v>236</v>
      </c>
      <c r="B31" s="969"/>
      <c r="C31" s="969"/>
      <c r="D31" s="969"/>
    </row>
    <row r="32" spans="1:4" x14ac:dyDescent="0.25">
      <c r="A32" s="489" t="s">
        <v>3</v>
      </c>
      <c r="B32" s="490">
        <v>3.3</v>
      </c>
      <c r="C32" s="490">
        <v>3.3</v>
      </c>
      <c r="D32" s="490">
        <v>4</v>
      </c>
    </row>
    <row r="33" spans="1:4" x14ac:dyDescent="0.25">
      <c r="A33" s="491" t="s">
        <v>320</v>
      </c>
      <c r="B33" s="492">
        <v>3.3</v>
      </c>
      <c r="C33" s="492">
        <v>3.3</v>
      </c>
      <c r="D33" s="492">
        <v>3.9</v>
      </c>
    </row>
    <row r="34" spans="1:4" x14ac:dyDescent="0.25">
      <c r="A34" s="491" t="s">
        <v>43</v>
      </c>
      <c r="B34" s="492">
        <v>3.3</v>
      </c>
      <c r="C34" s="492">
        <v>3.1</v>
      </c>
      <c r="D34" s="492">
        <v>4.2</v>
      </c>
    </row>
    <row r="35" spans="1:4" x14ac:dyDescent="0.25">
      <c r="A35" s="491" t="s">
        <v>321</v>
      </c>
      <c r="B35" s="492">
        <v>3.3</v>
      </c>
      <c r="C35" s="492">
        <v>2.9</v>
      </c>
      <c r="D35" s="492">
        <v>3.6</v>
      </c>
    </row>
    <row r="36" spans="1:4" x14ac:dyDescent="0.25">
      <c r="A36" s="491" t="s">
        <v>44</v>
      </c>
      <c r="B36" s="492">
        <v>3.6</v>
      </c>
      <c r="C36" s="492">
        <v>3.4</v>
      </c>
      <c r="D36" s="492">
        <v>3.8</v>
      </c>
    </row>
    <row r="37" spans="1:4" ht="14.25" thickBot="1" x14ac:dyDescent="0.3">
      <c r="A37" s="493" t="s">
        <v>322</v>
      </c>
      <c r="B37" s="494">
        <v>3.4</v>
      </c>
      <c r="C37" s="494">
        <v>3.3</v>
      </c>
      <c r="D37" s="494">
        <v>3.7</v>
      </c>
    </row>
    <row r="38" spans="1:4" ht="14.25" thickBot="1" x14ac:dyDescent="0.3">
      <c r="A38" s="970" t="s">
        <v>46</v>
      </c>
      <c r="B38" s="970"/>
      <c r="C38" s="970"/>
      <c r="D38" s="970"/>
    </row>
    <row r="39" spans="1:4" x14ac:dyDescent="0.25">
      <c r="A39" s="489" t="s">
        <v>3</v>
      </c>
      <c r="B39" s="490">
        <v>-0.5</v>
      </c>
      <c r="C39" s="490">
        <v>1.1000000000000001</v>
      </c>
      <c r="D39" s="490">
        <v>1.7</v>
      </c>
    </row>
    <row r="40" spans="1:4" x14ac:dyDescent="0.25">
      <c r="A40" s="491" t="s">
        <v>320</v>
      </c>
      <c r="B40" s="492">
        <v>-0.5</v>
      </c>
      <c r="C40" s="492">
        <v>1.1000000000000001</v>
      </c>
      <c r="D40" s="492">
        <v>1.8</v>
      </c>
    </row>
    <row r="41" spans="1:4" x14ac:dyDescent="0.25">
      <c r="A41" s="491" t="s">
        <v>43</v>
      </c>
      <c r="B41" s="492">
        <v>-0.5</v>
      </c>
      <c r="C41" s="492">
        <v>1.2</v>
      </c>
      <c r="D41" s="492">
        <v>1.9</v>
      </c>
    </row>
    <row r="42" spans="1:4" x14ac:dyDescent="0.25">
      <c r="A42" s="491" t="s">
        <v>321</v>
      </c>
      <c r="B42" s="492">
        <v>-0.5</v>
      </c>
      <c r="C42" s="492">
        <v>0.9</v>
      </c>
      <c r="D42" s="492">
        <v>1.4</v>
      </c>
    </row>
    <row r="43" spans="1:4" x14ac:dyDescent="0.25">
      <c r="A43" s="491" t="s">
        <v>44</v>
      </c>
      <c r="B43" s="492">
        <v>-0.5</v>
      </c>
      <c r="C43" s="492">
        <v>0.8</v>
      </c>
      <c r="D43" s="492">
        <v>1.4</v>
      </c>
    </row>
    <row r="44" spans="1:4" ht="14.25" thickBot="1" x14ac:dyDescent="0.3">
      <c r="A44" s="493" t="s">
        <v>322</v>
      </c>
      <c r="B44" s="494">
        <v>-0.2</v>
      </c>
      <c r="C44" s="494">
        <v>1.1000000000000001</v>
      </c>
      <c r="D44" s="494">
        <v>2</v>
      </c>
    </row>
    <row r="45" spans="1:4" ht="14.25" thickBot="1" x14ac:dyDescent="0.3">
      <c r="A45" s="970" t="s">
        <v>323</v>
      </c>
      <c r="B45" s="970"/>
      <c r="C45" s="970"/>
      <c r="D45" s="970"/>
    </row>
    <row r="46" spans="1:4" x14ac:dyDescent="0.25">
      <c r="A46" s="489" t="s">
        <v>3</v>
      </c>
      <c r="B46" s="490">
        <v>0.2</v>
      </c>
      <c r="C46" s="490">
        <v>1.7</v>
      </c>
      <c r="D46" s="490">
        <v>2.4</v>
      </c>
    </row>
    <row r="47" spans="1:4" x14ac:dyDescent="0.25">
      <c r="A47" s="491" t="s">
        <v>320</v>
      </c>
      <c r="B47" s="492">
        <v>0.1</v>
      </c>
      <c r="C47" s="492">
        <v>0.2</v>
      </c>
      <c r="D47" s="492">
        <v>0.9</v>
      </c>
    </row>
    <row r="48" spans="1:4" x14ac:dyDescent="0.25">
      <c r="A48" s="491" t="s">
        <v>43</v>
      </c>
      <c r="B48" s="492">
        <v>1.1000000000000001</v>
      </c>
      <c r="C48" s="492">
        <v>1.1000000000000001</v>
      </c>
      <c r="D48" s="492">
        <v>1.6</v>
      </c>
    </row>
    <row r="49" spans="1:4" x14ac:dyDescent="0.25">
      <c r="A49" s="491" t="s">
        <v>321</v>
      </c>
      <c r="B49" s="492">
        <v>1.2</v>
      </c>
      <c r="C49" s="492">
        <v>1.2</v>
      </c>
      <c r="D49" s="492">
        <v>1.5</v>
      </c>
    </row>
    <row r="50" spans="1:4" x14ac:dyDescent="0.25">
      <c r="A50" s="491" t="s">
        <v>44</v>
      </c>
      <c r="B50" s="492">
        <v>-1.4</v>
      </c>
      <c r="C50" s="492">
        <v>-0.7</v>
      </c>
      <c r="D50" s="492">
        <v>0.3</v>
      </c>
    </row>
    <row r="51" spans="1:4" ht="14.25" thickBot="1" x14ac:dyDescent="0.3">
      <c r="A51" s="493" t="s">
        <v>322</v>
      </c>
      <c r="B51" s="494">
        <v>-1</v>
      </c>
      <c r="C51" s="494">
        <v>-0.6</v>
      </c>
      <c r="D51" s="494">
        <v>2.1</v>
      </c>
    </row>
    <row r="52" spans="1:4" x14ac:dyDescent="0.25">
      <c r="A52" s="971" t="s">
        <v>1452</v>
      </c>
      <c r="B52" s="971"/>
      <c r="C52" s="971"/>
      <c r="D52" s="971"/>
    </row>
  </sheetData>
  <mergeCells count="10">
    <mergeCell ref="A3:D3"/>
    <mergeCell ref="A5:D5"/>
    <mergeCell ref="A12:D12"/>
    <mergeCell ref="A19:D19"/>
    <mergeCell ref="A26:D26"/>
    <mergeCell ref="A29:D29"/>
    <mergeCell ref="A31:D31"/>
    <mergeCell ref="A38:D38"/>
    <mergeCell ref="A45:D45"/>
    <mergeCell ref="A52:D52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8"/>
  <dimension ref="A1:AA95"/>
  <sheetViews>
    <sheetView showGridLines="0" zoomScale="90" zoomScaleNormal="90" workbookViewId="0">
      <pane xSplit="3" ySplit="6" topLeftCell="P52" activePane="bottomRight" state="frozen"/>
      <selection pane="topRight" activeCell="D1" sqref="D1"/>
      <selection pane="bottomLeft" activeCell="A7" sqref="A7"/>
      <selection pane="bottomRight" activeCell="B78" sqref="B78"/>
    </sheetView>
  </sheetViews>
  <sheetFormatPr defaultColWidth="9.140625" defaultRowHeight="12" x14ac:dyDescent="0.2"/>
  <cols>
    <col min="1" max="1" width="40.85546875" style="237" customWidth="1"/>
    <col min="2" max="2" width="13.140625" style="237" customWidth="1"/>
    <col min="3" max="3" width="25.140625" style="237" customWidth="1"/>
    <col min="4" max="4" width="14.28515625" style="237" bestFit="1" customWidth="1"/>
    <col min="5" max="11" width="10.140625" style="237" bestFit="1" customWidth="1"/>
    <col min="12" max="12" width="10.140625" style="237" customWidth="1"/>
    <col min="13" max="14" width="10.140625" style="237" bestFit="1" customWidth="1"/>
    <col min="15" max="15" width="13" style="237" bestFit="1" customWidth="1"/>
    <col min="16" max="16" width="9.7109375" style="237" customWidth="1"/>
    <col min="17" max="17" width="8.42578125" style="237" bestFit="1" customWidth="1"/>
    <col min="18" max="18" width="9" style="237" bestFit="1" customWidth="1"/>
    <col min="19" max="19" width="10.42578125" style="237" customWidth="1"/>
    <col min="20" max="21" width="8.42578125" style="237" bestFit="1" customWidth="1"/>
    <col min="22" max="22" width="9" style="237" bestFit="1" customWidth="1"/>
    <col min="23" max="16384" width="9.140625" style="237"/>
  </cols>
  <sheetData>
    <row r="1" spans="1:27" s="569" customFormat="1" ht="15.75" customHeight="1" x14ac:dyDescent="0.25">
      <c r="A1" s="34"/>
      <c r="B1" s="34"/>
    </row>
    <row r="2" spans="1:27" ht="15.75" customHeight="1" x14ac:dyDescent="0.2"/>
    <row r="3" spans="1:27" ht="16.5" customHeight="1" x14ac:dyDescent="0.2">
      <c r="A3" s="570" t="s">
        <v>993</v>
      </c>
      <c r="B3" s="570"/>
      <c r="C3" s="570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T3" s="972" t="s">
        <v>899</v>
      </c>
      <c r="U3" s="973"/>
      <c r="V3" s="974"/>
    </row>
    <row r="4" spans="1:27" ht="16.5" customHeight="1" x14ac:dyDescent="0.2">
      <c r="A4" s="572"/>
      <c r="B4" s="572"/>
      <c r="C4" s="975" t="s">
        <v>960</v>
      </c>
      <c r="D4" s="576">
        <v>2008</v>
      </c>
      <c r="E4" s="576">
        <v>2009</v>
      </c>
      <c r="F4" s="576">
        <v>2010</v>
      </c>
      <c r="G4" s="577">
        <v>2011</v>
      </c>
      <c r="H4" s="627">
        <v>2012</v>
      </c>
      <c r="I4" s="627">
        <v>2013</v>
      </c>
      <c r="J4" s="627">
        <v>2014</v>
      </c>
      <c r="K4" s="627">
        <v>2015</v>
      </c>
      <c r="L4" s="627">
        <v>2016</v>
      </c>
      <c r="M4" s="627">
        <v>2017</v>
      </c>
      <c r="N4" s="627">
        <v>2018</v>
      </c>
      <c r="O4" s="627">
        <v>2018</v>
      </c>
      <c r="P4" s="627">
        <v>2019</v>
      </c>
      <c r="Q4" s="627">
        <v>2020</v>
      </c>
      <c r="R4" s="627">
        <v>2021</v>
      </c>
      <c r="T4" s="627">
        <v>2019</v>
      </c>
      <c r="U4" s="627">
        <v>2020</v>
      </c>
      <c r="V4" s="627">
        <v>2021</v>
      </c>
    </row>
    <row r="5" spans="1:27" ht="13.5" x14ac:dyDescent="0.2">
      <c r="A5" s="572"/>
      <c r="B5" s="572"/>
      <c r="C5" s="975"/>
      <c r="D5" s="573" t="s">
        <v>22</v>
      </c>
      <c r="E5" s="573" t="s">
        <v>22</v>
      </c>
      <c r="F5" s="573" t="s">
        <v>22</v>
      </c>
      <c r="G5" s="574" t="s">
        <v>22</v>
      </c>
      <c r="H5" s="574" t="s">
        <v>22</v>
      </c>
      <c r="I5" s="574" t="s">
        <v>22</v>
      </c>
      <c r="J5" s="574" t="s">
        <v>557</v>
      </c>
      <c r="K5" s="574" t="s">
        <v>557</v>
      </c>
      <c r="L5" s="574" t="s">
        <v>22</v>
      </c>
      <c r="M5" s="574" t="s">
        <v>22</v>
      </c>
      <c r="N5" s="574" t="s">
        <v>534</v>
      </c>
      <c r="O5" s="574" t="s">
        <v>52</v>
      </c>
      <c r="P5" s="574" t="s">
        <v>558</v>
      </c>
      <c r="Q5" s="574" t="s">
        <v>558</v>
      </c>
      <c r="R5" s="574" t="s">
        <v>558</v>
      </c>
      <c r="T5" s="574"/>
      <c r="U5" s="574"/>
      <c r="V5" s="574"/>
    </row>
    <row r="6" spans="1:27" ht="13.5" x14ac:dyDescent="0.2">
      <c r="A6" s="575"/>
      <c r="B6" s="575"/>
      <c r="C6" s="975"/>
      <c r="D6" s="576" t="s">
        <v>900</v>
      </c>
      <c r="E6" s="576" t="s">
        <v>900</v>
      </c>
      <c r="F6" s="576" t="s">
        <v>900</v>
      </c>
      <c r="G6" s="576" t="s">
        <v>900</v>
      </c>
      <c r="H6" s="576" t="s">
        <v>900</v>
      </c>
      <c r="I6" s="576" t="s">
        <v>900</v>
      </c>
      <c r="J6" s="577" t="s">
        <v>900</v>
      </c>
      <c r="K6" s="577" t="s">
        <v>900</v>
      </c>
      <c r="L6" s="577" t="s">
        <v>900</v>
      </c>
      <c r="M6" s="577" t="s">
        <v>900</v>
      </c>
      <c r="N6" s="577" t="s">
        <v>901</v>
      </c>
      <c r="O6" s="577" t="s">
        <v>1122</v>
      </c>
      <c r="P6" s="577" t="s">
        <v>901</v>
      </c>
      <c r="Q6" s="577" t="s">
        <v>901</v>
      </c>
      <c r="R6" s="577" t="s">
        <v>901</v>
      </c>
      <c r="T6" s="577" t="s">
        <v>902</v>
      </c>
      <c r="U6" s="577" t="s">
        <v>902</v>
      </c>
      <c r="V6" s="577" t="s">
        <v>902</v>
      </c>
    </row>
    <row r="7" spans="1:27" ht="16.5" customHeight="1" x14ac:dyDescent="0.2">
      <c r="A7" s="578" t="s">
        <v>535</v>
      </c>
      <c r="B7" s="578" t="s">
        <v>903</v>
      </c>
      <c r="C7" s="975"/>
      <c r="D7" s="580">
        <f t="shared" ref="D7:L7" si="0">D9+D24+D30+D37</f>
        <v>23636.485000000001</v>
      </c>
      <c r="E7" s="580">
        <f t="shared" si="0"/>
        <v>23227.662</v>
      </c>
      <c r="F7" s="580">
        <f t="shared" si="0"/>
        <v>23422.342000000001</v>
      </c>
      <c r="G7" s="580">
        <f t="shared" si="0"/>
        <v>25807.131000000001</v>
      </c>
      <c r="H7" s="580">
        <f t="shared" si="0"/>
        <v>26380.595999999998</v>
      </c>
      <c r="I7" s="580">
        <f t="shared" si="0"/>
        <v>28719.138999999996</v>
      </c>
      <c r="J7" s="580">
        <f t="shared" si="0"/>
        <v>29927.375000000004</v>
      </c>
      <c r="K7" s="580">
        <f t="shared" si="0"/>
        <v>33532.288</v>
      </c>
      <c r="L7" s="580">
        <f t="shared" si="0"/>
        <v>31910.171999999999</v>
      </c>
      <c r="M7" s="580">
        <f>M9+M24+M30+M37</f>
        <v>33466.120999999999</v>
      </c>
      <c r="N7" s="580">
        <f>N9+N24+N30+N37</f>
        <v>34432.272000000004</v>
      </c>
      <c r="O7" s="580">
        <f>O9+O24+O30+O37</f>
        <v>34482.932999999997</v>
      </c>
      <c r="P7" s="580">
        <f t="shared" ref="P7:R7" si="1">P9+P24+P30+P37</f>
        <v>36198.97</v>
      </c>
      <c r="Q7" s="580">
        <f t="shared" si="1"/>
        <v>38707.046999999999</v>
      </c>
      <c r="R7" s="580">
        <f t="shared" si="1"/>
        <v>40032.974000000002</v>
      </c>
      <c r="T7" s="580">
        <f t="shared" ref="T7:U7" si="2">T9+T24+T30+T37</f>
        <v>36204.176762431707</v>
      </c>
      <c r="U7" s="580">
        <f t="shared" si="2"/>
        <v>38729.003920537303</v>
      </c>
      <c r="V7" s="580">
        <f t="shared" ref="V7" si="3">V9+V24+V30+V37</f>
        <v>40034.020917230802</v>
      </c>
    </row>
    <row r="8" spans="1:27" ht="16.5" customHeight="1" x14ac:dyDescent="0.2">
      <c r="A8" s="581" t="s">
        <v>50</v>
      </c>
      <c r="B8" s="581" t="s">
        <v>914</v>
      </c>
      <c r="C8" s="976"/>
      <c r="D8" s="583">
        <f t="shared" ref="D8:F8" si="4">D7/D90</f>
        <v>0.34510049407518584</v>
      </c>
      <c r="E8" s="583">
        <f t="shared" si="4"/>
        <v>0.36280127016654928</v>
      </c>
      <c r="F8" s="583">
        <f t="shared" si="4"/>
        <v>0.34660073722980939</v>
      </c>
      <c r="G8" s="583">
        <f>G7/G90</f>
        <v>0.36539929620604411</v>
      </c>
      <c r="H8" s="583">
        <f t="shared" ref="H8:M8" si="5">H7/H90</f>
        <v>0.36285173730188247</v>
      </c>
      <c r="I8" s="583">
        <f t="shared" si="5"/>
        <v>0.38720760651700176</v>
      </c>
      <c r="J8" s="583">
        <f t="shared" si="5"/>
        <v>0.39332691083979326</v>
      </c>
      <c r="K8" s="583">
        <f t="shared" si="5"/>
        <v>0.42501647380985225</v>
      </c>
      <c r="L8" s="583">
        <f t="shared" si="5"/>
        <v>0.39320533022378718</v>
      </c>
      <c r="M8" s="583">
        <f t="shared" si="5"/>
        <v>0.3937876730336739</v>
      </c>
      <c r="N8" s="583">
        <f>N7/N90</f>
        <v>0.38473818087544098</v>
      </c>
      <c r="O8" s="583">
        <f>O7/O90</f>
        <v>0.38245817813556443</v>
      </c>
      <c r="P8" s="583">
        <f t="shared" ref="P8:R8" si="6">P7/P90</f>
        <v>0.37671106713267533</v>
      </c>
      <c r="Q8" s="583">
        <f t="shared" si="6"/>
        <v>0.37944181618901712</v>
      </c>
      <c r="R8" s="583">
        <f t="shared" si="6"/>
        <v>0.37100169181613052</v>
      </c>
      <c r="T8" s="583">
        <f t="shared" ref="T8:U8" si="7">T7/T90</f>
        <v>0.3767652522388249</v>
      </c>
      <c r="U8" s="583">
        <f t="shared" si="7"/>
        <v>0.37965705797190469</v>
      </c>
      <c r="V8" s="583">
        <f t="shared" ref="V8" si="8">V7/V90</f>
        <v>0.37101139401971445</v>
      </c>
    </row>
    <row r="9" spans="1:27" s="239" customFormat="1" ht="16.5" customHeight="1" x14ac:dyDescent="0.2">
      <c r="A9" s="584" t="s">
        <v>536</v>
      </c>
      <c r="B9" s="584" t="s">
        <v>540</v>
      </c>
      <c r="C9" s="585" t="s">
        <v>559</v>
      </c>
      <c r="D9" s="602">
        <f>D10+D15+D23</f>
        <v>11680.142000000002</v>
      </c>
      <c r="E9" s="602">
        <f t="shared" ref="E9:L9" si="9">E10+E15+E23</f>
        <v>10368.727999999999</v>
      </c>
      <c r="F9" s="602">
        <f t="shared" si="9"/>
        <v>10591.187</v>
      </c>
      <c r="G9" s="602">
        <f t="shared" si="9"/>
        <v>11431.008</v>
      </c>
      <c r="H9" s="602">
        <f t="shared" si="9"/>
        <v>11391.065000000001</v>
      </c>
      <c r="I9" s="602">
        <f t="shared" si="9"/>
        <v>12346.803999999998</v>
      </c>
      <c r="J9" s="602">
        <f t="shared" si="9"/>
        <v>13251.973000000002</v>
      </c>
      <c r="K9" s="602">
        <f t="shared" si="9"/>
        <v>14301.679</v>
      </c>
      <c r="L9" s="602">
        <f t="shared" si="9"/>
        <v>14577.630000000001</v>
      </c>
      <c r="M9" s="602">
        <f>M10+M15+M23</f>
        <v>15344.189</v>
      </c>
      <c r="N9" s="602">
        <f t="shared" ref="N9:R9" si="10">N10+N15+N23</f>
        <v>16223.173000000001</v>
      </c>
      <c r="O9" s="602">
        <f t="shared" si="10"/>
        <v>16124.308000000001</v>
      </c>
      <c r="P9" s="602">
        <f t="shared" si="10"/>
        <v>17139.024000000001</v>
      </c>
      <c r="Q9" s="602">
        <f t="shared" si="10"/>
        <v>17899.453000000001</v>
      </c>
      <c r="R9" s="602">
        <f t="shared" si="10"/>
        <v>18562.940000000002</v>
      </c>
      <c r="S9" s="238"/>
      <c r="T9" s="602">
        <f t="shared" ref="T9:V9" si="11">T10+T15+T23</f>
        <v>17028.042986321001</v>
      </c>
      <c r="U9" s="602">
        <f t="shared" si="11"/>
        <v>17848.506990681999</v>
      </c>
      <c r="V9" s="602">
        <f t="shared" si="11"/>
        <v>18512.239661756001</v>
      </c>
      <c r="W9" s="238"/>
      <c r="X9" s="238"/>
      <c r="Y9" s="238"/>
      <c r="Z9" s="238"/>
      <c r="AA9" s="238"/>
    </row>
    <row r="10" spans="1:27" s="240" customFormat="1" ht="16.5" customHeight="1" x14ac:dyDescent="0.2">
      <c r="A10" s="622" t="s">
        <v>560</v>
      </c>
      <c r="B10" s="622" t="s">
        <v>961</v>
      </c>
      <c r="C10" s="586" t="s">
        <v>561</v>
      </c>
      <c r="D10" s="603">
        <v>7078.8890000000001</v>
      </c>
      <c r="E10" s="603">
        <v>6630.0069999999996</v>
      </c>
      <c r="F10" s="603">
        <v>6779.116</v>
      </c>
      <c r="G10" s="603">
        <v>7377.5659999999998</v>
      </c>
      <c r="H10" s="603">
        <v>7163.223</v>
      </c>
      <c r="I10" s="603">
        <v>7632.2809999999999</v>
      </c>
      <c r="J10" s="604">
        <v>8045.2539999999999</v>
      </c>
      <c r="K10" s="604">
        <v>8505.7839999999997</v>
      </c>
      <c r="L10" s="604">
        <v>8620.7759999999998</v>
      </c>
      <c r="M10" s="604">
        <v>9291.9590000000007</v>
      </c>
      <c r="N10" s="604">
        <v>9831.2980000000007</v>
      </c>
      <c r="O10" s="604">
        <v>9762.6329999999998</v>
      </c>
      <c r="P10" s="604">
        <v>10409.322</v>
      </c>
      <c r="Q10" s="604">
        <v>10762.092000000001</v>
      </c>
      <c r="R10" s="604">
        <v>11010.415000000001</v>
      </c>
      <c r="S10" s="238"/>
      <c r="T10" s="604">
        <v>10263.630999999999</v>
      </c>
      <c r="U10" s="604">
        <v>10676.401</v>
      </c>
      <c r="V10" s="604">
        <v>10924.724</v>
      </c>
      <c r="W10" s="238"/>
      <c r="X10" s="238"/>
      <c r="Y10" s="238"/>
      <c r="Z10" s="238"/>
      <c r="AA10" s="238"/>
    </row>
    <row r="11" spans="1:27" s="240" customFormat="1" ht="16.5" customHeight="1" x14ac:dyDescent="0.2">
      <c r="A11" s="624" t="s">
        <v>562</v>
      </c>
      <c r="B11" s="624" t="s">
        <v>962</v>
      </c>
      <c r="C11" s="587" t="s">
        <v>563</v>
      </c>
      <c r="D11" s="603">
        <v>4621.424</v>
      </c>
      <c r="E11" s="603">
        <v>4221.2879999999996</v>
      </c>
      <c r="F11" s="603">
        <v>4182.1009999999997</v>
      </c>
      <c r="G11" s="603">
        <v>4710.9139999999998</v>
      </c>
      <c r="H11" s="603">
        <v>4327.7020000000002</v>
      </c>
      <c r="I11" s="603">
        <v>4696.12</v>
      </c>
      <c r="J11" s="604">
        <v>5021.1310000000003</v>
      </c>
      <c r="K11" s="604">
        <v>5420.1729999999998</v>
      </c>
      <c r="L11" s="604">
        <v>5419.65</v>
      </c>
      <c r="M11" s="604">
        <v>5957.8890000000001</v>
      </c>
      <c r="N11" s="604">
        <v>6104.4170000000004</v>
      </c>
      <c r="O11" s="604">
        <v>6149.835</v>
      </c>
      <c r="P11" s="604">
        <v>6519.41</v>
      </c>
      <c r="Q11" s="604">
        <v>6840.1559999999999</v>
      </c>
      <c r="R11" s="604">
        <v>7160.3409999999994</v>
      </c>
      <c r="S11" s="238"/>
      <c r="T11" s="604">
        <v>6519.41</v>
      </c>
      <c r="U11" s="604">
        <v>6840.1559999999999</v>
      </c>
      <c r="V11" s="604">
        <v>7160.3409999999994</v>
      </c>
      <c r="W11" s="238"/>
      <c r="X11" s="238"/>
      <c r="Y11" s="238"/>
      <c r="Z11" s="238"/>
      <c r="AA11" s="238"/>
    </row>
    <row r="12" spans="1:27" s="240" customFormat="1" ht="16.5" customHeight="1" x14ac:dyDescent="0.2">
      <c r="A12" s="625" t="s">
        <v>564</v>
      </c>
      <c r="B12" s="625" t="s">
        <v>963</v>
      </c>
      <c r="C12" s="587" t="s">
        <v>565</v>
      </c>
      <c r="D12" s="603">
        <f>0+1809.268</f>
        <v>1809.268</v>
      </c>
      <c r="E12" s="603">
        <f>0+1761.719</f>
        <v>1761.7190000000001</v>
      </c>
      <c r="F12" s="603">
        <f>0+1930.806</f>
        <v>1930.806</v>
      </c>
      <c r="G12" s="603">
        <f>0+1999.131</f>
        <v>1999.1310000000001</v>
      </c>
      <c r="H12" s="603">
        <f>0+1973.341</f>
        <v>1973.3409999999999</v>
      </c>
      <c r="I12" s="603">
        <f>0+1984.783</f>
        <v>1984.7829999999999</v>
      </c>
      <c r="J12" s="603">
        <f>0+2014.994</f>
        <v>2014.9939999999999</v>
      </c>
      <c r="K12" s="603">
        <f>0+2108.224</f>
        <v>2108.2240000000002</v>
      </c>
      <c r="L12" s="603">
        <f>0+2173.884</f>
        <v>2173.884</v>
      </c>
      <c r="M12" s="603">
        <v>2250.89</v>
      </c>
      <c r="N12" s="603">
        <v>2341.1289999999999</v>
      </c>
      <c r="O12" s="603">
        <v>2336.7339999999999</v>
      </c>
      <c r="P12" s="603">
        <v>2439.0419999999999</v>
      </c>
      <c r="Q12" s="603">
        <v>2503.4520000000002</v>
      </c>
      <c r="R12" s="603">
        <v>2559.9920000000002</v>
      </c>
      <c r="S12" s="238"/>
      <c r="T12" s="603">
        <v>2439.0419999999999</v>
      </c>
      <c r="U12" s="603">
        <v>2503.4520000000002</v>
      </c>
      <c r="V12" s="603">
        <v>2559.9920000000002</v>
      </c>
      <c r="W12" s="238"/>
      <c r="X12" s="238"/>
      <c r="Y12" s="238"/>
      <c r="Z12" s="238"/>
      <c r="AA12" s="238"/>
    </row>
    <row r="13" spans="1:27" s="240" customFormat="1" ht="16.5" customHeight="1" x14ac:dyDescent="0.2">
      <c r="A13" s="624" t="s">
        <v>566</v>
      </c>
      <c r="B13" s="624" t="s">
        <v>964</v>
      </c>
      <c r="C13" s="587" t="s">
        <v>567</v>
      </c>
      <c r="D13" s="603">
        <v>3.3000000000000002E-2</v>
      </c>
      <c r="E13" s="603">
        <v>2.1999999999999999E-2</v>
      </c>
      <c r="F13" s="603">
        <v>1.9E-2</v>
      </c>
      <c r="G13" s="603">
        <v>5.5E-2</v>
      </c>
      <c r="H13" s="603">
        <v>8.3000000000000004E-2</v>
      </c>
      <c r="I13" s="603">
        <v>5.8000000000000003E-2</v>
      </c>
      <c r="J13" s="604">
        <v>-7.0000000000000001E-3</v>
      </c>
      <c r="K13" s="604">
        <v>0.02</v>
      </c>
      <c r="L13" s="604">
        <v>3.9E-2</v>
      </c>
      <c r="M13" s="604">
        <v>8.0000000000000002E-3</v>
      </c>
      <c r="N13" s="604">
        <v>0</v>
      </c>
      <c r="O13" s="604">
        <v>0</v>
      </c>
      <c r="P13" s="604">
        <v>0</v>
      </c>
      <c r="Q13" s="604">
        <v>0</v>
      </c>
      <c r="R13" s="604">
        <v>0</v>
      </c>
      <c r="S13" s="238"/>
      <c r="T13" s="604">
        <v>0</v>
      </c>
      <c r="U13" s="604">
        <v>0</v>
      </c>
      <c r="V13" s="604">
        <v>0</v>
      </c>
      <c r="W13" s="238"/>
      <c r="X13" s="238"/>
      <c r="Y13" s="238"/>
      <c r="Z13" s="238"/>
      <c r="AA13" s="238"/>
    </row>
    <row r="14" spans="1:27" s="240" customFormat="1" ht="16.5" customHeight="1" x14ac:dyDescent="0.2">
      <c r="A14" s="625" t="s">
        <v>568</v>
      </c>
      <c r="B14" s="625" t="s">
        <v>965</v>
      </c>
      <c r="C14" s="587" t="s">
        <v>569</v>
      </c>
      <c r="D14" s="603">
        <v>171.512</v>
      </c>
      <c r="E14" s="603">
        <v>182.28200000000001</v>
      </c>
      <c r="F14" s="603">
        <v>188.87</v>
      </c>
      <c r="G14" s="603">
        <v>195.32599999999999</v>
      </c>
      <c r="H14" s="603">
        <v>215.346</v>
      </c>
      <c r="I14" s="603">
        <v>222.65199999999999</v>
      </c>
      <c r="J14" s="604">
        <v>224.87299999999999</v>
      </c>
      <c r="K14" s="604">
        <v>228.214</v>
      </c>
      <c r="L14" s="604">
        <v>236.89500000000001</v>
      </c>
      <c r="M14" s="604">
        <v>245.89400000000001</v>
      </c>
      <c r="N14" s="604">
        <v>261.26</v>
      </c>
      <c r="O14" s="604">
        <v>261.26</v>
      </c>
      <c r="P14" s="604">
        <v>267.09699999999998</v>
      </c>
      <c r="Q14" s="604">
        <v>273.15499999999997</v>
      </c>
      <c r="R14" s="604">
        <v>278.14499999999998</v>
      </c>
      <c r="S14" s="238"/>
      <c r="T14" s="604">
        <v>267.09699999999998</v>
      </c>
      <c r="U14" s="604">
        <v>273.15499999999997</v>
      </c>
      <c r="V14" s="604">
        <v>278.14499999999998</v>
      </c>
      <c r="W14" s="238"/>
      <c r="X14" s="238"/>
      <c r="Y14" s="238"/>
      <c r="Z14" s="238"/>
      <c r="AA14" s="238"/>
    </row>
    <row r="15" spans="1:27" ht="16.5" customHeight="1" x14ac:dyDescent="0.2">
      <c r="A15" s="626" t="s">
        <v>570</v>
      </c>
      <c r="B15" s="626" t="s">
        <v>966</v>
      </c>
      <c r="C15" s="586" t="s">
        <v>571</v>
      </c>
      <c r="D15" s="603">
        <v>4601.1530000000002</v>
      </c>
      <c r="E15" s="605">
        <v>3738.6759999999999</v>
      </c>
      <c r="F15" s="605">
        <v>3812.0509999999999</v>
      </c>
      <c r="G15" s="605">
        <v>4053.4290000000001</v>
      </c>
      <c r="H15" s="605">
        <v>4227.83</v>
      </c>
      <c r="I15" s="603">
        <v>4714.5159999999996</v>
      </c>
      <c r="J15" s="604">
        <v>5206.7150000000001</v>
      </c>
      <c r="K15" s="604">
        <v>5795.9009999999998</v>
      </c>
      <c r="L15" s="604">
        <v>5956.85</v>
      </c>
      <c r="M15" s="604">
        <v>6052.23</v>
      </c>
      <c r="N15" s="604">
        <v>6391.875</v>
      </c>
      <c r="O15" s="604">
        <v>6361.6750000000002</v>
      </c>
      <c r="P15" s="604">
        <v>6729.7020000000002</v>
      </c>
      <c r="Q15" s="604">
        <v>7137.3609999999999</v>
      </c>
      <c r="R15" s="604">
        <v>7552.5249999999996</v>
      </c>
      <c r="S15" s="238"/>
      <c r="T15" s="604">
        <v>6764.4119863209999</v>
      </c>
      <c r="U15" s="604">
        <v>7172.1059906820001</v>
      </c>
      <c r="V15" s="604">
        <v>7587.5156617559996</v>
      </c>
      <c r="W15" s="238"/>
      <c r="X15" s="238"/>
      <c r="Y15" s="238"/>
      <c r="Z15" s="238"/>
      <c r="AA15" s="238"/>
    </row>
    <row r="16" spans="1:27" ht="16.5" customHeight="1" x14ac:dyDescent="0.2">
      <c r="A16" s="624" t="s">
        <v>572</v>
      </c>
      <c r="B16" s="624" t="s">
        <v>967</v>
      </c>
      <c r="C16" s="587" t="s">
        <v>573</v>
      </c>
      <c r="D16" s="603">
        <v>2095.1779999999999</v>
      </c>
      <c r="E16" s="605">
        <v>1793.693</v>
      </c>
      <c r="F16" s="605">
        <v>1789.5650000000001</v>
      </c>
      <c r="G16" s="605">
        <v>1999.8820000000001</v>
      </c>
      <c r="H16" s="605">
        <v>2122.7759999999998</v>
      </c>
      <c r="I16" s="603">
        <v>2175.0250000000001</v>
      </c>
      <c r="J16" s="604">
        <v>2275.1170000000002</v>
      </c>
      <c r="K16" s="604">
        <v>2464.4140000000002</v>
      </c>
      <c r="L16" s="604">
        <v>2682.069</v>
      </c>
      <c r="M16" s="604">
        <v>2876.8449999999998</v>
      </c>
      <c r="N16" s="604">
        <f t="shared" ref="N16" si="12">N17+N18</f>
        <v>3077.0920000000001</v>
      </c>
      <c r="O16" s="604">
        <v>3098.6510000000003</v>
      </c>
      <c r="P16" s="604">
        <f t="shared" ref="P16:R16" si="13">P17+P18</f>
        <v>3307.8330000000001</v>
      </c>
      <c r="Q16" s="604">
        <f t="shared" si="13"/>
        <v>3553.1689999999999</v>
      </c>
      <c r="R16" s="604">
        <f t="shared" si="13"/>
        <v>3793.413</v>
      </c>
      <c r="S16" s="238"/>
      <c r="T16" s="604">
        <f t="shared" ref="T16:V16" si="14">T17+T18</f>
        <v>3344.9676233750001</v>
      </c>
      <c r="U16" s="604">
        <f t="shared" si="14"/>
        <v>3590.3402359060001</v>
      </c>
      <c r="V16" s="604">
        <f t="shared" si="14"/>
        <v>3833.3974912980002</v>
      </c>
      <c r="W16" s="238"/>
      <c r="X16" s="238"/>
      <c r="Y16" s="238"/>
      <c r="Z16" s="238"/>
      <c r="AA16" s="238"/>
    </row>
    <row r="17" spans="1:27" ht="16.5" customHeight="1" x14ac:dyDescent="0.2">
      <c r="A17" s="614" t="s">
        <v>574</v>
      </c>
      <c r="B17" s="614" t="s">
        <v>968</v>
      </c>
      <c r="C17" s="587"/>
      <c r="D17" s="604">
        <f>0+1639.776</f>
        <v>1639.7760000000001</v>
      </c>
      <c r="E17" s="606">
        <v>1468.115</v>
      </c>
      <c r="F17" s="606">
        <v>1431.1880000000001</v>
      </c>
      <c r="G17" s="606">
        <v>1638.58</v>
      </c>
      <c r="H17" s="606">
        <v>1763.433</v>
      </c>
      <c r="I17" s="604">
        <v>1788.0440000000001</v>
      </c>
      <c r="J17" s="604">
        <v>1903.7840000000001</v>
      </c>
      <c r="K17" s="604">
        <f>2082.0493+0.007</f>
        <v>2082.0563000000002</v>
      </c>
      <c r="L17" s="604">
        <f>2291.785</f>
        <v>2291.7849999999999</v>
      </c>
      <c r="M17" s="604">
        <v>2512.1080000000002</v>
      </c>
      <c r="N17" s="604">
        <v>2938.9360000000001</v>
      </c>
      <c r="O17" s="604">
        <v>2962.7620000000002</v>
      </c>
      <c r="P17" s="604">
        <v>3166.31</v>
      </c>
      <c r="Q17" s="604">
        <v>3409.5529999999999</v>
      </c>
      <c r="R17" s="604">
        <v>3642.9879999999998</v>
      </c>
      <c r="S17" s="238"/>
      <c r="T17" s="604">
        <v>3203.444623375</v>
      </c>
      <c r="U17" s="604">
        <v>3446.7242359060001</v>
      </c>
      <c r="V17" s="604">
        <v>3682.972491298</v>
      </c>
      <c r="W17" s="238"/>
      <c r="X17" s="238"/>
      <c r="Y17" s="238"/>
      <c r="Z17" s="238"/>
      <c r="AA17" s="238"/>
    </row>
    <row r="18" spans="1:27" ht="16.5" customHeight="1" x14ac:dyDescent="0.2">
      <c r="A18" s="614" t="s">
        <v>575</v>
      </c>
      <c r="B18" s="614" t="s">
        <v>969</v>
      </c>
      <c r="C18" s="587"/>
      <c r="D18" s="604">
        <f>0+202.365</f>
        <v>202.36500000000001</v>
      </c>
      <c r="E18" s="606">
        <v>188.64599999999999</v>
      </c>
      <c r="F18" s="606">
        <v>47.405999999999999</v>
      </c>
      <c r="G18" s="606">
        <v>59.451999999999998</v>
      </c>
      <c r="H18" s="606">
        <v>85.807000000000002</v>
      </c>
      <c r="I18" s="604">
        <v>79.712000000000003</v>
      </c>
      <c r="J18" s="604">
        <v>82.671000000000006</v>
      </c>
      <c r="K18" s="604">
        <v>100.68899999999999</v>
      </c>
      <c r="L18" s="604">
        <v>111.893</v>
      </c>
      <c r="M18" s="604">
        <v>92.941999999999993</v>
      </c>
      <c r="N18" s="604">
        <v>138.15600000000001</v>
      </c>
      <c r="O18" s="604">
        <v>135.88899999999998</v>
      </c>
      <c r="P18" s="604">
        <v>141.52300000000002</v>
      </c>
      <c r="Q18" s="604">
        <v>143.61600000000001</v>
      </c>
      <c r="R18" s="604">
        <v>150.42500000000001</v>
      </c>
      <c r="S18" s="238"/>
      <c r="T18" s="604">
        <v>141.52300000000002</v>
      </c>
      <c r="U18" s="604">
        <v>143.61600000000001</v>
      </c>
      <c r="V18" s="604">
        <v>150.42500000000001</v>
      </c>
      <c r="W18" s="238"/>
      <c r="X18" s="238"/>
      <c r="Y18" s="238"/>
      <c r="Z18" s="238"/>
      <c r="AA18" s="238"/>
    </row>
    <row r="19" spans="1:27" ht="16.5" customHeight="1" x14ac:dyDescent="0.2">
      <c r="A19" s="616" t="s">
        <v>576</v>
      </c>
      <c r="B19" s="616" t="s">
        <v>970</v>
      </c>
      <c r="C19" s="587" t="s">
        <v>577</v>
      </c>
      <c r="D19" s="604">
        <v>2087.4659999999999</v>
      </c>
      <c r="E19" s="606">
        <v>1576.972</v>
      </c>
      <c r="F19" s="606">
        <v>1659.23</v>
      </c>
      <c r="G19" s="606">
        <v>1699.1869999999999</v>
      </c>
      <c r="H19" s="606">
        <v>1714.779</v>
      </c>
      <c r="I19" s="604">
        <v>2117.8330000000001</v>
      </c>
      <c r="J19" s="604">
        <v>2504.402</v>
      </c>
      <c r="K19" s="604">
        <v>2945.3249999999998</v>
      </c>
      <c r="L19" s="604">
        <v>2829.047</v>
      </c>
      <c r="M19" s="604">
        <v>2726.201</v>
      </c>
      <c r="N19" s="604">
        <v>2794.125</v>
      </c>
      <c r="O19" s="604">
        <v>2753.1849999999999</v>
      </c>
      <c r="P19" s="604">
        <v>2903.125</v>
      </c>
      <c r="Q19" s="604">
        <v>3066.32</v>
      </c>
      <c r="R19" s="604">
        <v>3228.7860000000001</v>
      </c>
      <c r="S19" s="238"/>
      <c r="T19" s="604">
        <v>2900.700362946</v>
      </c>
      <c r="U19" s="604">
        <v>3063.8937547760002</v>
      </c>
      <c r="V19" s="604">
        <v>3223.7921704579999</v>
      </c>
      <c r="W19" s="238"/>
      <c r="X19" s="238"/>
      <c r="Y19" s="238"/>
      <c r="Z19" s="238"/>
      <c r="AA19" s="238"/>
    </row>
    <row r="20" spans="1:27" ht="16.5" customHeight="1" x14ac:dyDescent="0.2">
      <c r="A20" s="612" t="s">
        <v>578</v>
      </c>
      <c r="B20" s="612" t="s">
        <v>971</v>
      </c>
      <c r="C20" s="587" t="s">
        <v>579</v>
      </c>
      <c r="D20" s="604">
        <v>205.96799999999999</v>
      </c>
      <c r="E20" s="606">
        <v>155.755</v>
      </c>
      <c r="F20" s="606">
        <v>152.33199999999999</v>
      </c>
      <c r="G20" s="606">
        <v>143.19999999999999</v>
      </c>
      <c r="H20" s="606">
        <v>167.14400000000001</v>
      </c>
      <c r="I20" s="604">
        <v>177.78399999999999</v>
      </c>
      <c r="J20" s="604">
        <v>175.06100000000001</v>
      </c>
      <c r="K20" s="604">
        <v>162.006</v>
      </c>
      <c r="L20" s="604">
        <v>172.21199999999999</v>
      </c>
      <c r="M20" s="604">
        <v>178.43100000000001</v>
      </c>
      <c r="N20" s="604">
        <v>242.63800000000001</v>
      </c>
      <c r="O20" s="604">
        <v>231.81900000000002</v>
      </c>
      <c r="P20" s="604">
        <v>238.11799999999999</v>
      </c>
      <c r="Q20" s="604">
        <v>234.62200000000001</v>
      </c>
      <c r="R20" s="604">
        <v>240.00900000000001</v>
      </c>
      <c r="S20" s="238"/>
      <c r="T20" s="604">
        <v>238.11799999999999</v>
      </c>
      <c r="U20" s="604">
        <v>234.62200000000001</v>
      </c>
      <c r="V20" s="604">
        <v>240.00900000000001</v>
      </c>
      <c r="W20" s="238"/>
      <c r="X20" s="238"/>
      <c r="Y20" s="238"/>
      <c r="Z20" s="238"/>
      <c r="AA20" s="238"/>
    </row>
    <row r="21" spans="1:27" s="240" customFormat="1" ht="16.5" customHeight="1" x14ac:dyDescent="0.2">
      <c r="A21" s="612" t="s">
        <v>580</v>
      </c>
      <c r="B21" s="612" t="s">
        <v>972</v>
      </c>
      <c r="C21" s="587" t="s">
        <v>579</v>
      </c>
      <c r="D21" s="604">
        <v>0</v>
      </c>
      <c r="E21" s="604">
        <v>0</v>
      </c>
      <c r="F21" s="604">
        <v>0</v>
      </c>
      <c r="G21" s="604">
        <v>0</v>
      </c>
      <c r="H21" s="604">
        <f>10.028-10.028</f>
        <v>0</v>
      </c>
      <c r="I21" s="604">
        <f>0.012-0.012</f>
        <v>0</v>
      </c>
      <c r="J21" s="604">
        <f>0.006-0.006</f>
        <v>0</v>
      </c>
      <c r="K21" s="604">
        <v>0</v>
      </c>
      <c r="L21" s="604">
        <v>0</v>
      </c>
      <c r="M21" s="604">
        <v>0</v>
      </c>
      <c r="N21" s="604">
        <v>0</v>
      </c>
      <c r="O21" s="604">
        <v>0</v>
      </c>
      <c r="P21" s="604">
        <v>0</v>
      </c>
      <c r="Q21" s="604">
        <v>0</v>
      </c>
      <c r="R21" s="604">
        <v>0</v>
      </c>
      <c r="S21" s="238"/>
      <c r="T21" s="604">
        <v>0</v>
      </c>
      <c r="U21" s="604">
        <v>0</v>
      </c>
      <c r="V21" s="604">
        <v>0</v>
      </c>
      <c r="W21" s="238"/>
      <c r="X21" s="238"/>
      <c r="Y21" s="238"/>
      <c r="Z21" s="238"/>
      <c r="AA21" s="238"/>
    </row>
    <row r="22" spans="1:27" ht="16.5" customHeight="1" x14ac:dyDescent="0.2">
      <c r="A22" s="616" t="s">
        <v>568</v>
      </c>
      <c r="B22" s="616" t="s">
        <v>973</v>
      </c>
      <c r="C22" s="587" t="s">
        <v>581</v>
      </c>
      <c r="D22" s="604">
        <v>78.835999999999999</v>
      </c>
      <c r="E22" s="604">
        <v>84.311999999999998</v>
      </c>
      <c r="F22" s="604">
        <v>87.986999999999995</v>
      </c>
      <c r="G22" s="604">
        <v>90.650999999999996</v>
      </c>
      <c r="H22" s="604">
        <v>100.535</v>
      </c>
      <c r="I22" s="604">
        <v>104.57899999999999</v>
      </c>
      <c r="J22" s="604">
        <v>105.777</v>
      </c>
      <c r="K22" s="604">
        <v>106.937</v>
      </c>
      <c r="L22" s="604">
        <v>111.006</v>
      </c>
      <c r="M22" s="604">
        <v>114.813</v>
      </c>
      <c r="N22" s="604">
        <v>120.506</v>
      </c>
      <c r="O22" s="604">
        <v>120.506</v>
      </c>
      <c r="P22" s="604">
        <v>122.795</v>
      </c>
      <c r="Q22" s="604">
        <v>125.251</v>
      </c>
      <c r="R22" s="604">
        <v>127.74600000000001</v>
      </c>
      <c r="S22" s="238"/>
      <c r="T22" s="604">
        <v>122.795</v>
      </c>
      <c r="U22" s="604">
        <v>125.251</v>
      </c>
      <c r="V22" s="604">
        <v>127.74600000000001</v>
      </c>
      <c r="W22" s="238"/>
      <c r="X22" s="238"/>
      <c r="Y22" s="238"/>
      <c r="Z22" s="238"/>
      <c r="AA22" s="238"/>
    </row>
    <row r="23" spans="1:27" ht="16.5" customHeight="1" x14ac:dyDescent="0.2">
      <c r="A23" s="620" t="s">
        <v>582</v>
      </c>
      <c r="B23" s="620" t="s">
        <v>974</v>
      </c>
      <c r="C23" s="586" t="s">
        <v>583</v>
      </c>
      <c r="D23" s="603">
        <v>0.1</v>
      </c>
      <c r="E23" s="604">
        <v>4.4999999999999998E-2</v>
      </c>
      <c r="F23" s="604">
        <v>0.02</v>
      </c>
      <c r="G23" s="604">
        <v>1.2999999999999999E-2</v>
      </c>
      <c r="H23" s="604">
        <v>1.2E-2</v>
      </c>
      <c r="I23" s="604">
        <v>7.0000000000000001E-3</v>
      </c>
      <c r="J23" s="604">
        <v>4.0000000000000001E-3</v>
      </c>
      <c r="K23" s="604">
        <v>-6.0000000000000001E-3</v>
      </c>
      <c r="L23" s="604">
        <v>4.0000000000000001E-3</v>
      </c>
      <c r="M23" s="604">
        <v>0</v>
      </c>
      <c r="N23" s="604">
        <v>0</v>
      </c>
      <c r="O23" s="604">
        <v>0</v>
      </c>
      <c r="P23" s="604">
        <v>0</v>
      </c>
      <c r="Q23" s="604">
        <v>0</v>
      </c>
      <c r="R23" s="604">
        <v>0</v>
      </c>
      <c r="S23" s="238"/>
      <c r="T23" s="604">
        <v>0</v>
      </c>
      <c r="U23" s="604">
        <v>0</v>
      </c>
      <c r="V23" s="604">
        <v>0</v>
      </c>
      <c r="W23" s="238"/>
      <c r="X23" s="238"/>
      <c r="Y23" s="238"/>
      <c r="Z23" s="238"/>
      <c r="AA23" s="238"/>
    </row>
    <row r="24" spans="1:27" s="239" customFormat="1" ht="16.5" customHeight="1" x14ac:dyDescent="0.2">
      <c r="A24" s="619" t="s">
        <v>584</v>
      </c>
      <c r="B24" s="619" t="s">
        <v>975</v>
      </c>
      <c r="C24" s="585" t="s">
        <v>585</v>
      </c>
      <c r="D24" s="602">
        <f t="shared" ref="D24:K24" si="15">D25+D29</f>
        <v>8081.1660000000002</v>
      </c>
      <c r="E24" s="602">
        <f t="shared" si="15"/>
        <v>8042.8820000000005</v>
      </c>
      <c r="F24" s="602">
        <f t="shared" si="15"/>
        <v>8323.8810000000012</v>
      </c>
      <c r="G24" s="602">
        <f t="shared" si="15"/>
        <v>8721.9049999999988</v>
      </c>
      <c r="H24" s="602">
        <f t="shared" si="15"/>
        <v>9107.7000000000007</v>
      </c>
      <c r="I24" s="602">
        <f t="shared" si="15"/>
        <v>10006.788</v>
      </c>
      <c r="J24" s="602">
        <f t="shared" si="15"/>
        <v>10360.110999999999</v>
      </c>
      <c r="K24" s="602">
        <f t="shared" si="15"/>
        <v>11042.304000000002</v>
      </c>
      <c r="L24" s="602">
        <f>L25+L29</f>
        <v>11617.093000000001</v>
      </c>
      <c r="M24" s="602">
        <f>M25+M29</f>
        <v>12533.631000000001</v>
      </c>
      <c r="N24" s="602">
        <f>N25+N29</f>
        <v>13107.877</v>
      </c>
      <c r="O24" s="602">
        <f t="shared" ref="O24" si="16">O25+O29</f>
        <v>13224.442000000001</v>
      </c>
      <c r="P24" s="602">
        <f t="shared" ref="P24:R24" si="17">P25+P29</f>
        <v>13776.970000000001</v>
      </c>
      <c r="Q24" s="602">
        <f t="shared" si="17"/>
        <v>14403.329000000002</v>
      </c>
      <c r="R24" s="602">
        <f t="shared" si="17"/>
        <v>14950.798999999999</v>
      </c>
      <c r="S24" s="238"/>
      <c r="T24" s="602">
        <f t="shared" ref="T24:U24" si="18">T25+T29</f>
        <v>13824.154192110702</v>
      </c>
      <c r="U24" s="602">
        <f t="shared" si="18"/>
        <v>14450.5484655113</v>
      </c>
      <c r="V24" s="602">
        <f t="shared" ref="V24" si="19">V25+V29</f>
        <v>15050.8654505903</v>
      </c>
      <c r="W24" s="238"/>
      <c r="X24" s="238"/>
      <c r="Y24" s="238"/>
      <c r="Z24" s="238"/>
      <c r="AA24" s="238"/>
    </row>
    <row r="25" spans="1:27" ht="22.5" customHeight="1" x14ac:dyDescent="0.2">
      <c r="A25" s="622" t="s">
        <v>586</v>
      </c>
      <c r="B25" s="622" t="s">
        <v>987</v>
      </c>
      <c r="C25" s="586" t="s">
        <v>587</v>
      </c>
      <c r="D25" s="603">
        <f t="shared" ref="D25:K25" si="20">D26+D27+D28</f>
        <v>7994.9760000000006</v>
      </c>
      <c r="E25" s="603">
        <f t="shared" si="20"/>
        <v>7947.0910000000003</v>
      </c>
      <c r="F25" s="603">
        <f t="shared" si="20"/>
        <v>8185.0930000000008</v>
      </c>
      <c r="G25" s="603">
        <f t="shared" si="20"/>
        <v>8573.57</v>
      </c>
      <c r="H25" s="603">
        <f t="shared" si="20"/>
        <v>8987.6020000000008</v>
      </c>
      <c r="I25" s="603">
        <f t="shared" si="20"/>
        <v>9864.496000000001</v>
      </c>
      <c r="J25" s="603">
        <f t="shared" si="20"/>
        <v>10206.748</v>
      </c>
      <c r="K25" s="603">
        <f t="shared" si="20"/>
        <v>10871.448000000002</v>
      </c>
      <c r="L25" s="603">
        <f>6467.179+4969.279</f>
        <v>11436.458000000001</v>
      </c>
      <c r="M25" s="603">
        <f>7206.571+5137.824</f>
        <v>12344.395</v>
      </c>
      <c r="N25" s="603">
        <f>SUM(N26:N27)</f>
        <v>12941.491</v>
      </c>
      <c r="O25" s="603">
        <v>13058.056</v>
      </c>
      <c r="P25" s="603">
        <f t="shared" ref="P25:R25" si="21">SUM(P26:P27)</f>
        <v>13607.880000000001</v>
      </c>
      <c r="Q25" s="603">
        <f t="shared" si="21"/>
        <v>14230.664000000001</v>
      </c>
      <c r="R25" s="603">
        <f t="shared" si="21"/>
        <v>14778.362999999999</v>
      </c>
      <c r="S25" s="238"/>
      <c r="T25" s="603">
        <f t="shared" ref="T25:U25" si="22">SUM(T26:T27)</f>
        <v>13655.064192110702</v>
      </c>
      <c r="U25" s="603">
        <f t="shared" si="22"/>
        <v>14277.883465511299</v>
      </c>
      <c r="V25" s="603">
        <f t="shared" ref="V25" si="23">SUM(V26:V27)</f>
        <v>14878.4294505903</v>
      </c>
      <c r="W25" s="238"/>
      <c r="X25" s="238"/>
      <c r="Y25" s="238"/>
      <c r="Z25" s="238"/>
      <c r="AA25" s="238"/>
    </row>
    <row r="26" spans="1:27" ht="16.5" customHeight="1" x14ac:dyDescent="0.2">
      <c r="A26" s="612" t="s">
        <v>588</v>
      </c>
      <c r="B26" s="612" t="s">
        <v>988</v>
      </c>
      <c r="C26" s="587" t="s">
        <v>589</v>
      </c>
      <c r="D26" s="603">
        <f>1817.308+2647.291</f>
        <v>4464.5990000000002</v>
      </c>
      <c r="E26" s="603">
        <f>1747.634+2558.815</f>
        <v>4306.4490000000005</v>
      </c>
      <c r="F26" s="603">
        <f>1783.901+2795.29</f>
        <v>4579.1909999999998</v>
      </c>
      <c r="G26" s="603">
        <f>1907.943+2742.951</f>
        <v>4650.8940000000002</v>
      </c>
      <c r="H26" s="603">
        <f>2067.599+2801.073</f>
        <v>4868.6720000000005</v>
      </c>
      <c r="I26" s="603">
        <f>2530.574+3024.958</f>
        <v>5555.5320000000002</v>
      </c>
      <c r="J26" s="603">
        <f>2650.909+3180.657</f>
        <v>5831.5660000000007</v>
      </c>
      <c r="K26" s="603">
        <f>2923.897+3358.847</f>
        <v>6282.7440000000006</v>
      </c>
      <c r="L26" s="603">
        <f>2994.504+3472.675</f>
        <v>6467.1790000000001</v>
      </c>
      <c r="M26" s="603">
        <v>7206.5709999999999</v>
      </c>
      <c r="N26" s="603">
        <v>7300.9409999999998</v>
      </c>
      <c r="O26" s="603">
        <v>7365.5559999999996</v>
      </c>
      <c r="P26" s="603">
        <v>7681.1150000000007</v>
      </c>
      <c r="Q26" s="603">
        <v>8030.4039999999995</v>
      </c>
      <c r="R26" s="603">
        <v>8339.387999999999</v>
      </c>
      <c r="S26" s="238"/>
      <c r="T26" s="603">
        <v>7728.2991921107005</v>
      </c>
      <c r="U26" s="603">
        <v>8077.6234655112994</v>
      </c>
      <c r="V26" s="603">
        <v>8439.4544505902995</v>
      </c>
      <c r="W26" s="238"/>
      <c r="X26" s="238"/>
      <c r="Y26" s="238"/>
      <c r="Z26" s="238"/>
      <c r="AA26" s="238"/>
    </row>
    <row r="27" spans="1:27" ht="16.5" customHeight="1" x14ac:dyDescent="0.2">
      <c r="A27" s="612" t="s">
        <v>590</v>
      </c>
      <c r="B27" s="612" t="s">
        <v>989</v>
      </c>
      <c r="C27" s="587" t="s">
        <v>591</v>
      </c>
      <c r="D27" s="603">
        <v>1982.5840000000001</v>
      </c>
      <c r="E27" s="603">
        <v>1911.952</v>
      </c>
      <c r="F27" s="603">
        <v>2108.2130000000002</v>
      </c>
      <c r="G27" s="603">
        <v>2050.326</v>
      </c>
      <c r="H27" s="603">
        <v>2159.192</v>
      </c>
      <c r="I27" s="603">
        <f>2254.846</f>
        <v>2254.846</v>
      </c>
      <c r="J27" s="603">
        <v>2292.3809999999999</v>
      </c>
      <c r="K27" s="603">
        <v>2477.6559999999999</v>
      </c>
      <c r="L27" s="603">
        <v>2632.7469999999998</v>
      </c>
      <c r="M27" s="603"/>
      <c r="N27" s="603">
        <v>5640.55</v>
      </c>
      <c r="O27" s="603">
        <v>5692.5</v>
      </c>
      <c r="P27" s="603">
        <v>5926.7650000000003</v>
      </c>
      <c r="Q27" s="603">
        <v>6200.26</v>
      </c>
      <c r="R27" s="603">
        <v>6438.9750000000004</v>
      </c>
      <c r="S27" s="238"/>
      <c r="T27" s="603">
        <v>5926.7650000000003</v>
      </c>
      <c r="U27" s="603">
        <v>6200.26</v>
      </c>
      <c r="V27" s="603">
        <v>6438.9750000000004</v>
      </c>
      <c r="W27" s="238"/>
      <c r="X27" s="238"/>
      <c r="Y27" s="238"/>
      <c r="Z27" s="238"/>
      <c r="AA27" s="238"/>
    </row>
    <row r="28" spans="1:27" ht="16.5" customHeight="1" x14ac:dyDescent="0.2">
      <c r="A28" s="612" t="s">
        <v>592</v>
      </c>
      <c r="B28" s="612" t="s">
        <v>990</v>
      </c>
      <c r="C28" s="587" t="s">
        <v>593</v>
      </c>
      <c r="D28" s="603">
        <f>0.066+1547.727+0</f>
        <v>1547.7930000000001</v>
      </c>
      <c r="E28" s="603">
        <f>0.026+1728.664+0</f>
        <v>1728.69</v>
      </c>
      <c r="F28" s="603">
        <f>0.029+1497.66+0</f>
        <v>1497.6890000000001</v>
      </c>
      <c r="G28" s="603">
        <f>0.014+1872.336+0</f>
        <v>1872.35</v>
      </c>
      <c r="H28" s="603">
        <f>0.108+1959.63+0</f>
        <v>1959.7380000000001</v>
      </c>
      <c r="I28" s="603">
        <f>0.214+2053.904+0</f>
        <v>2054.1179999999999</v>
      </c>
      <c r="J28" s="603">
        <f>0.244+2082.557+0</f>
        <v>2082.8009999999999</v>
      </c>
      <c r="K28" s="603">
        <f>0.295+2110.753</f>
        <v>2111.0480000000002</v>
      </c>
      <c r="L28" s="603">
        <f>14.534+2321.998+0</f>
        <v>2336.5320000000002</v>
      </c>
      <c r="M28" s="603"/>
      <c r="N28" s="603"/>
      <c r="O28" s="603"/>
      <c r="P28" s="603"/>
      <c r="Q28" s="603"/>
      <c r="R28" s="603"/>
      <c r="S28" s="238"/>
      <c r="T28" s="603" t="s">
        <v>14</v>
      </c>
      <c r="U28" s="603" t="s">
        <v>14</v>
      </c>
      <c r="V28" s="603" t="s">
        <v>14</v>
      </c>
      <c r="W28" s="238"/>
      <c r="X28" s="238"/>
      <c r="Y28" s="238"/>
      <c r="Z28" s="238"/>
      <c r="AA28" s="238"/>
    </row>
    <row r="29" spans="1:27" ht="16.5" customHeight="1" x14ac:dyDescent="0.2">
      <c r="A29" s="622" t="s">
        <v>594</v>
      </c>
      <c r="B29" s="622" t="s">
        <v>991</v>
      </c>
      <c r="C29" s="586" t="s">
        <v>595</v>
      </c>
      <c r="D29" s="603">
        <v>86.19</v>
      </c>
      <c r="E29" s="603">
        <v>95.790999999999997</v>
      </c>
      <c r="F29" s="603">
        <v>138.78800000000001</v>
      </c>
      <c r="G29" s="603">
        <v>148.33500000000001</v>
      </c>
      <c r="H29" s="603">
        <v>120.098</v>
      </c>
      <c r="I29" s="603">
        <v>142.292</v>
      </c>
      <c r="J29" s="603">
        <v>153.363</v>
      </c>
      <c r="K29" s="603">
        <v>170.85599999999999</v>
      </c>
      <c r="L29" s="603">
        <v>180.63499999999999</v>
      </c>
      <c r="M29" s="603">
        <v>189.23599999999999</v>
      </c>
      <c r="N29" s="603">
        <v>166.386</v>
      </c>
      <c r="O29" s="603">
        <v>166.386</v>
      </c>
      <c r="P29" s="603">
        <v>169.08999999999997</v>
      </c>
      <c r="Q29" s="603">
        <v>172.66499999999999</v>
      </c>
      <c r="R29" s="603">
        <v>172.43599999999998</v>
      </c>
      <c r="S29" s="238"/>
      <c r="T29" s="603">
        <v>169.08999999999997</v>
      </c>
      <c r="U29" s="603">
        <v>172.66499999999999</v>
      </c>
      <c r="V29" s="603">
        <v>172.43599999999998</v>
      </c>
      <c r="W29" s="238"/>
      <c r="X29" s="238"/>
      <c r="Y29" s="238"/>
      <c r="Z29" s="238"/>
      <c r="AA29" s="238"/>
    </row>
    <row r="30" spans="1:27" s="241" customFormat="1" ht="16.5" customHeight="1" x14ac:dyDescent="0.2">
      <c r="A30" s="588" t="s">
        <v>596</v>
      </c>
      <c r="B30" s="588" t="s">
        <v>976</v>
      </c>
      <c r="C30" s="585" t="s">
        <v>906</v>
      </c>
      <c r="D30" s="602">
        <f>D31+D34</f>
        <v>2557.1579999999999</v>
      </c>
      <c r="E30" s="602">
        <f t="shared" ref="E30:L30" si="24">E31+E34</f>
        <v>2910.665</v>
      </c>
      <c r="F30" s="602">
        <f t="shared" si="24"/>
        <v>2843.1269999999995</v>
      </c>
      <c r="G30" s="602">
        <f t="shared" si="24"/>
        <v>3189.625</v>
      </c>
      <c r="H30" s="602">
        <f t="shared" si="24"/>
        <v>3755.8669999999997</v>
      </c>
      <c r="I30" s="602">
        <f t="shared" si="24"/>
        <v>3902.5699999999997</v>
      </c>
      <c r="J30" s="602">
        <f t="shared" si="24"/>
        <v>3842.3780000000002</v>
      </c>
      <c r="K30" s="602">
        <f t="shared" si="24"/>
        <v>4115.3609999999999</v>
      </c>
      <c r="L30" s="602">
        <f t="shared" si="24"/>
        <v>4172.8279999999995</v>
      </c>
      <c r="M30" s="602">
        <f>M31+M34</f>
        <v>4254.2079999999996</v>
      </c>
      <c r="N30" s="602">
        <f t="shared" ref="N30:R30" si="25">N31+N34</f>
        <v>4161.8379999999997</v>
      </c>
      <c r="O30" s="602">
        <f t="shared" si="25"/>
        <v>4174.8209999999999</v>
      </c>
      <c r="P30" s="602">
        <f t="shared" si="25"/>
        <v>4320.0169999999998</v>
      </c>
      <c r="Q30" s="602">
        <f t="shared" si="25"/>
        <v>4442.5439999999999</v>
      </c>
      <c r="R30" s="602">
        <f t="shared" si="25"/>
        <v>4571.2649999999994</v>
      </c>
      <c r="S30" s="238"/>
      <c r="T30" s="602">
        <f t="shared" ref="T30:U30" si="26">T31+T34</f>
        <v>4336.9498319999993</v>
      </c>
      <c r="U30" s="602">
        <f t="shared" si="26"/>
        <v>4408.5327547320003</v>
      </c>
      <c r="V30" s="602">
        <f t="shared" ref="V30" si="27">V31+V34</f>
        <v>4457.285081294136</v>
      </c>
      <c r="W30" s="238"/>
      <c r="X30" s="238"/>
      <c r="Y30" s="238"/>
      <c r="Z30" s="238"/>
      <c r="AA30" s="238"/>
    </row>
    <row r="31" spans="1:27" ht="16.5" customHeight="1" x14ac:dyDescent="0.2">
      <c r="A31" s="620" t="s">
        <v>597</v>
      </c>
      <c r="B31" s="620" t="s">
        <v>977</v>
      </c>
      <c r="C31" s="586" t="s">
        <v>904</v>
      </c>
      <c r="D31" s="604">
        <f>D32+D33</f>
        <v>1705.797</v>
      </c>
      <c r="E31" s="604">
        <f t="shared" ref="E31:M31" si="28">E32+E33</f>
        <v>2050.0650000000001</v>
      </c>
      <c r="F31" s="604">
        <f t="shared" si="28"/>
        <v>2201.9249999999997</v>
      </c>
      <c r="G31" s="604">
        <f t="shared" si="28"/>
        <v>2526.605</v>
      </c>
      <c r="H31" s="604">
        <f t="shared" si="28"/>
        <v>2929.5279999999998</v>
      </c>
      <c r="I31" s="604">
        <f t="shared" si="28"/>
        <v>3233.4449999999997</v>
      </c>
      <c r="J31" s="604">
        <f t="shared" si="28"/>
        <v>3290.152</v>
      </c>
      <c r="K31" s="604">
        <f t="shared" si="28"/>
        <v>3482.3019999999997</v>
      </c>
      <c r="L31" s="604">
        <f t="shared" si="28"/>
        <v>3555.663</v>
      </c>
      <c r="M31" s="604">
        <f t="shared" si="28"/>
        <v>3597.7389999999996</v>
      </c>
      <c r="N31" s="604">
        <f t="shared" ref="N31" si="29">N32+N33</f>
        <v>3600.5410000000002</v>
      </c>
      <c r="O31" s="604">
        <v>3673.74</v>
      </c>
      <c r="P31" s="604">
        <f t="shared" ref="P31:R31" si="30">P32+P33</f>
        <v>3748.0989999999997</v>
      </c>
      <c r="Q31" s="604">
        <f t="shared" si="30"/>
        <v>3874.6869999999999</v>
      </c>
      <c r="R31" s="604">
        <f t="shared" si="30"/>
        <v>3989.5259999999998</v>
      </c>
      <c r="S31" s="238"/>
      <c r="T31" s="604">
        <f t="shared" ref="T31:U31" si="31">T32+T33</f>
        <v>3765.0318319999997</v>
      </c>
      <c r="U31" s="604">
        <f t="shared" si="31"/>
        <v>3840.6757547319999</v>
      </c>
      <c r="V31" s="604">
        <f t="shared" ref="V31" si="32">V32+V33</f>
        <v>3875.546081294136</v>
      </c>
      <c r="W31" s="238"/>
      <c r="X31" s="238"/>
      <c r="Y31" s="238"/>
      <c r="Z31" s="238"/>
      <c r="AA31" s="238"/>
    </row>
    <row r="32" spans="1:27" ht="16.5" customHeight="1" x14ac:dyDescent="0.2">
      <c r="A32" s="612" t="s">
        <v>598</v>
      </c>
      <c r="B32" s="612" t="s">
        <v>978</v>
      </c>
      <c r="C32" s="586" t="s">
        <v>599</v>
      </c>
      <c r="D32" s="603">
        <v>1586.164</v>
      </c>
      <c r="E32" s="604">
        <v>1932.933</v>
      </c>
      <c r="F32" s="604">
        <v>2082.9319999999998</v>
      </c>
      <c r="G32" s="604">
        <v>2401.89</v>
      </c>
      <c r="H32" s="603">
        <v>2768.491</v>
      </c>
      <c r="I32" s="603">
        <v>3069.4859999999999</v>
      </c>
      <c r="J32" s="604">
        <v>3126.9369999999999</v>
      </c>
      <c r="K32" s="604">
        <v>3336.1329999999998</v>
      </c>
      <c r="L32" s="604">
        <v>3411.4720000000002</v>
      </c>
      <c r="M32" s="604">
        <v>3452.9409999999998</v>
      </c>
      <c r="N32" s="604">
        <f>3565.089</f>
        <v>3565.0889999999999</v>
      </c>
      <c r="O32" s="604">
        <v>3638.288</v>
      </c>
      <c r="P32" s="604">
        <v>3712.62</v>
      </c>
      <c r="Q32" s="604">
        <v>3839.1790000000001</v>
      </c>
      <c r="R32" s="604">
        <v>3954.018</v>
      </c>
      <c r="S32" s="238"/>
      <c r="T32" s="604">
        <v>3729.5528319999999</v>
      </c>
      <c r="U32" s="604">
        <v>3805.167754732</v>
      </c>
      <c r="V32" s="604">
        <v>3840.0380812941362</v>
      </c>
      <c r="W32" s="238"/>
      <c r="X32" s="238"/>
      <c r="Y32" s="238"/>
      <c r="Z32" s="238"/>
      <c r="AA32" s="238"/>
    </row>
    <row r="33" spans="1:27" ht="16.5" customHeight="1" x14ac:dyDescent="0.2">
      <c r="A33" s="612" t="s">
        <v>600</v>
      </c>
      <c r="B33" s="612" t="s">
        <v>979</v>
      </c>
      <c r="C33" s="586" t="s">
        <v>601</v>
      </c>
      <c r="D33" s="604">
        <v>119.633</v>
      </c>
      <c r="E33" s="606">
        <v>117.13200000000001</v>
      </c>
      <c r="F33" s="606">
        <v>118.99299999999999</v>
      </c>
      <c r="G33" s="606">
        <v>124.715</v>
      </c>
      <c r="H33" s="605">
        <v>161.03700000000001</v>
      </c>
      <c r="I33" s="603">
        <v>163.959</v>
      </c>
      <c r="J33" s="604">
        <v>163.215</v>
      </c>
      <c r="K33" s="604">
        <v>146.16900000000001</v>
      </c>
      <c r="L33" s="604">
        <v>144.191</v>
      </c>
      <c r="M33" s="604">
        <v>144.798</v>
      </c>
      <c r="N33" s="604">
        <v>35.451999999999998</v>
      </c>
      <c r="O33" s="604">
        <v>35.451999999999998</v>
      </c>
      <c r="P33" s="604">
        <v>35.478999999999999</v>
      </c>
      <c r="Q33" s="604">
        <v>35.508000000000003</v>
      </c>
      <c r="R33" s="604">
        <v>35.508000000000003</v>
      </c>
      <c r="S33" s="238"/>
      <c r="T33" s="604">
        <v>35.478999999999999</v>
      </c>
      <c r="U33" s="604">
        <v>35.508000000000003</v>
      </c>
      <c r="V33" s="604">
        <v>35.508000000000003</v>
      </c>
      <c r="W33" s="238"/>
      <c r="X33" s="238"/>
      <c r="Y33" s="238"/>
      <c r="Z33" s="238"/>
      <c r="AA33" s="238"/>
    </row>
    <row r="34" spans="1:27" ht="16.5" customHeight="1" x14ac:dyDescent="0.2">
      <c r="A34" s="622" t="s">
        <v>602</v>
      </c>
      <c r="B34" s="622" t="s">
        <v>980</v>
      </c>
      <c r="C34" s="586" t="s">
        <v>603</v>
      </c>
      <c r="D34" s="604">
        <v>851.36099999999999</v>
      </c>
      <c r="E34" s="606">
        <v>860.6</v>
      </c>
      <c r="F34" s="606">
        <v>641.202</v>
      </c>
      <c r="G34" s="606">
        <v>663.02</v>
      </c>
      <c r="H34" s="605">
        <v>826.33900000000006</v>
      </c>
      <c r="I34" s="603">
        <v>669.125</v>
      </c>
      <c r="J34" s="604">
        <v>552.226</v>
      </c>
      <c r="K34" s="604">
        <v>633.05899999999997</v>
      </c>
      <c r="L34" s="604">
        <v>617.16499999999996</v>
      </c>
      <c r="M34" s="604">
        <v>656.46900000000005</v>
      </c>
      <c r="N34" s="604">
        <v>561.29700000000003</v>
      </c>
      <c r="O34" s="604">
        <v>501.08100000000007</v>
      </c>
      <c r="P34" s="604">
        <v>571.91800000000001</v>
      </c>
      <c r="Q34" s="604">
        <v>567.85700000000008</v>
      </c>
      <c r="R34" s="604">
        <v>581.73900000000003</v>
      </c>
      <c r="S34" s="238"/>
      <c r="T34" s="604">
        <v>571.91800000000001</v>
      </c>
      <c r="U34" s="604">
        <v>567.85700000000008</v>
      </c>
      <c r="V34" s="604">
        <v>581.73900000000003</v>
      </c>
      <c r="W34" s="238"/>
      <c r="X34" s="238"/>
      <c r="Y34" s="238"/>
      <c r="Z34" s="238"/>
      <c r="AA34" s="238"/>
    </row>
    <row r="35" spans="1:27" ht="16.5" customHeight="1" x14ac:dyDescent="0.25">
      <c r="A35" s="612" t="s">
        <v>604</v>
      </c>
      <c r="B35" s="612" t="s">
        <v>981</v>
      </c>
      <c r="C35" s="589" t="s">
        <v>905</v>
      </c>
      <c r="D35" s="603">
        <v>506.34</v>
      </c>
      <c r="E35" s="606">
        <v>590.29999999999995</v>
      </c>
      <c r="F35" s="606">
        <v>445.36599999999999</v>
      </c>
      <c r="G35" s="606">
        <v>476.6</v>
      </c>
      <c r="H35" s="606">
        <v>634.42200000000003</v>
      </c>
      <c r="I35" s="604">
        <v>460.00900000000001</v>
      </c>
      <c r="J35" s="604">
        <f>396.975-396.975+304.096</f>
        <v>304.096</v>
      </c>
      <c r="K35" s="604">
        <f>444.674-444.674+349.759</f>
        <v>349.75900000000001</v>
      </c>
      <c r="L35" s="604">
        <v>334.64800000000002</v>
      </c>
      <c r="M35" s="604">
        <v>407.40499999999997</v>
      </c>
      <c r="N35" s="604">
        <v>475.04199999999997</v>
      </c>
      <c r="O35" s="604">
        <v>406.20799999999997</v>
      </c>
      <c r="P35" s="604">
        <v>481.75900000000001</v>
      </c>
      <c r="Q35" s="604">
        <v>482.779</v>
      </c>
      <c r="R35" s="604">
        <v>482.83299999999997</v>
      </c>
      <c r="S35" s="238"/>
      <c r="T35" s="604">
        <v>481.75900000000001</v>
      </c>
      <c r="U35" s="604">
        <v>482.779</v>
      </c>
      <c r="V35" s="604">
        <v>482.83299999999997</v>
      </c>
      <c r="W35" s="238"/>
      <c r="X35" s="238"/>
      <c r="Y35" s="238"/>
      <c r="Z35" s="238"/>
      <c r="AA35" s="238"/>
    </row>
    <row r="36" spans="1:27" ht="16.5" customHeight="1" x14ac:dyDescent="0.25">
      <c r="A36" s="612" t="s">
        <v>605</v>
      </c>
      <c r="B36" s="612" t="s">
        <v>933</v>
      </c>
      <c r="C36" s="589" t="s">
        <v>606</v>
      </c>
      <c r="D36" s="604">
        <v>293.72500000000002</v>
      </c>
      <c r="E36" s="606">
        <v>225.732</v>
      </c>
      <c r="F36" s="606">
        <v>120.059</v>
      </c>
      <c r="G36" s="606">
        <v>137.69900000000001</v>
      </c>
      <c r="H36" s="606">
        <v>143.86600000000001</v>
      </c>
      <c r="I36" s="604">
        <v>155.85499999999999</v>
      </c>
      <c r="J36" s="604">
        <v>191.41</v>
      </c>
      <c r="K36" s="604">
        <v>226.809</v>
      </c>
      <c r="L36" s="604">
        <v>226.09399999999999</v>
      </c>
      <c r="M36" s="604">
        <v>189.404</v>
      </c>
      <c r="N36" s="604">
        <v>37.524999999999999</v>
      </c>
      <c r="O36" s="604">
        <v>37.491</v>
      </c>
      <c r="P36" s="604">
        <v>36.782000000000004</v>
      </c>
      <c r="Q36" s="604">
        <v>36.347999999999999</v>
      </c>
      <c r="R36" s="604">
        <v>40.709000000000003</v>
      </c>
      <c r="S36" s="238"/>
      <c r="T36" s="604">
        <v>36.782000000000004</v>
      </c>
      <c r="U36" s="604">
        <v>36.347999999999999</v>
      </c>
      <c r="V36" s="604">
        <v>40.709000000000003</v>
      </c>
      <c r="W36" s="238"/>
      <c r="X36" s="238"/>
      <c r="Y36" s="238"/>
      <c r="Z36" s="238"/>
      <c r="AA36" s="238"/>
    </row>
    <row r="37" spans="1:27" s="241" customFormat="1" ht="16.5" customHeight="1" x14ac:dyDescent="0.2">
      <c r="A37" s="619" t="s">
        <v>607</v>
      </c>
      <c r="B37" s="619" t="s">
        <v>982</v>
      </c>
      <c r="C37" s="585" t="s">
        <v>608</v>
      </c>
      <c r="D37" s="602">
        <f>D39+D40+D41</f>
        <v>1318.019</v>
      </c>
      <c r="E37" s="602">
        <f t="shared" ref="E37:L37" si="33">E39+E40+E41</f>
        <v>1905.3870000000002</v>
      </c>
      <c r="F37" s="602">
        <f t="shared" si="33"/>
        <v>1664.1469999999999</v>
      </c>
      <c r="G37" s="602">
        <f t="shared" si="33"/>
        <v>2464.5929999999998</v>
      </c>
      <c r="H37" s="602">
        <f t="shared" si="33"/>
        <v>2125.9639999999999</v>
      </c>
      <c r="I37" s="602">
        <f t="shared" si="33"/>
        <v>2462.9769999999999</v>
      </c>
      <c r="J37" s="602">
        <f>J39+J40+J41</f>
        <v>2472.913</v>
      </c>
      <c r="K37" s="602">
        <f t="shared" si="33"/>
        <v>4072.9440000000004</v>
      </c>
      <c r="L37" s="602">
        <f t="shared" si="33"/>
        <v>1542.6210000000001</v>
      </c>
      <c r="M37" s="602">
        <f>M39+M40+M41</f>
        <v>1334.0929999999998</v>
      </c>
      <c r="N37" s="602">
        <f t="shared" ref="N37:R37" si="34">N39+N40+N41</f>
        <v>939.38400000000001</v>
      </c>
      <c r="O37" s="602">
        <f t="shared" si="34"/>
        <v>959.36199999999997</v>
      </c>
      <c r="P37" s="602">
        <f t="shared" si="34"/>
        <v>962.95900000000006</v>
      </c>
      <c r="Q37" s="602">
        <f t="shared" si="34"/>
        <v>1961.721</v>
      </c>
      <c r="R37" s="602">
        <f t="shared" si="34"/>
        <v>1947.97</v>
      </c>
      <c r="S37" s="238"/>
      <c r="T37" s="602">
        <f t="shared" ref="T37:V37" si="35">T39+T40+T41</f>
        <v>1015.0297520000018</v>
      </c>
      <c r="U37" s="602">
        <f t="shared" si="35"/>
        <v>2021.4157096120016</v>
      </c>
      <c r="V37" s="602">
        <f t="shared" si="35"/>
        <v>2013.6307235903737</v>
      </c>
      <c r="W37" s="238"/>
      <c r="X37" s="238"/>
      <c r="Y37" s="238"/>
      <c r="Z37" s="238"/>
      <c r="AA37" s="238"/>
    </row>
    <row r="38" spans="1:27" ht="16.5" customHeight="1" x14ac:dyDescent="0.25">
      <c r="A38" s="618" t="s">
        <v>609</v>
      </c>
      <c r="B38" s="618" t="s">
        <v>983</v>
      </c>
      <c r="C38" s="590"/>
      <c r="D38" s="604">
        <f>863.316-664.004+(82.62)</f>
        <v>281.93200000000002</v>
      </c>
      <c r="E38" s="604">
        <f>1111.48-809.95+(-7.137)</f>
        <v>294.39299999999997</v>
      </c>
      <c r="F38" s="604">
        <f>1663.755-1239.247+(225.936)</f>
        <v>650.44400000000007</v>
      </c>
      <c r="G38" s="604">
        <f>2031.344-1297.937+(60.035)</f>
        <v>793.44200000000012</v>
      </c>
      <c r="H38" s="603">
        <f>2127.345-1208.845+(-113.094)</f>
        <v>805.40599999999972</v>
      </c>
      <c r="I38" s="603">
        <f>2174.997-1218.111+(-148.212)</f>
        <v>808.67399999999975</v>
      </c>
      <c r="J38" s="604">
        <f>1257.505-818.843+(756.009)</f>
        <v>1194.6710000000003</v>
      </c>
      <c r="K38" s="604">
        <f>(4296.74+0.703)-1522.199+22.795-198.509+1522.199-1333.354</f>
        <v>2788.375</v>
      </c>
      <c r="L38" s="604">
        <f>(1954.551)-956.938-209.81</f>
        <v>787.80299999999988</v>
      </c>
      <c r="M38" s="604">
        <v>661.40300000000002</v>
      </c>
      <c r="N38" s="604">
        <v>346.04300000000001</v>
      </c>
      <c r="O38" s="604">
        <v>346.04300000000001</v>
      </c>
      <c r="P38" s="604">
        <v>312.04300000000001</v>
      </c>
      <c r="Q38" s="604">
        <v>1261.1889999999999</v>
      </c>
      <c r="R38" s="604">
        <v>1251.8609999999999</v>
      </c>
      <c r="S38" s="238"/>
      <c r="T38" s="604">
        <v>1249.8610000000001</v>
      </c>
      <c r="U38" s="604">
        <v>1250.8610000000001</v>
      </c>
      <c r="V38" s="604">
        <v>1251.8609999999999</v>
      </c>
      <c r="W38" s="238"/>
      <c r="X38" s="238"/>
      <c r="Y38" s="238"/>
      <c r="Z38" s="238"/>
      <c r="AA38" s="238"/>
    </row>
    <row r="39" spans="1:27" ht="16.5" customHeight="1" x14ac:dyDescent="0.2">
      <c r="A39" s="620" t="s">
        <v>610</v>
      </c>
      <c r="B39" s="620" t="s">
        <v>984</v>
      </c>
      <c r="C39" s="586" t="s">
        <v>611</v>
      </c>
      <c r="D39" s="604">
        <v>0</v>
      </c>
      <c r="E39" s="604">
        <v>0</v>
      </c>
      <c r="F39" s="604">
        <v>0</v>
      </c>
      <c r="G39" s="604">
        <v>0</v>
      </c>
      <c r="H39" s="603">
        <v>0</v>
      </c>
      <c r="I39" s="603">
        <v>0</v>
      </c>
      <c r="J39" s="604">
        <v>0</v>
      </c>
      <c r="K39" s="604">
        <v>0</v>
      </c>
      <c r="L39" s="604">
        <v>0</v>
      </c>
      <c r="M39" s="604">
        <v>0</v>
      </c>
      <c r="N39" s="604">
        <v>0</v>
      </c>
      <c r="O39" s="604">
        <v>0</v>
      </c>
      <c r="P39" s="604"/>
      <c r="Q39" s="604"/>
      <c r="R39" s="604"/>
      <c r="S39" s="238"/>
      <c r="T39" s="604">
        <v>0</v>
      </c>
      <c r="U39" s="604">
        <v>0</v>
      </c>
      <c r="V39" s="604">
        <v>0</v>
      </c>
      <c r="W39" s="238"/>
      <c r="X39" s="238"/>
      <c r="Y39" s="238"/>
      <c r="Z39" s="238"/>
      <c r="AA39" s="238"/>
    </row>
    <row r="40" spans="1:27" ht="16.5" customHeight="1" x14ac:dyDescent="0.2">
      <c r="A40" s="622" t="s">
        <v>612</v>
      </c>
      <c r="B40" s="622" t="s">
        <v>985</v>
      </c>
      <c r="C40" s="586" t="s">
        <v>613</v>
      </c>
      <c r="D40" s="603">
        <v>1155.759</v>
      </c>
      <c r="E40" s="603">
        <v>1274.8440000000001</v>
      </c>
      <c r="F40" s="604">
        <v>1027.778</v>
      </c>
      <c r="G40" s="604">
        <v>1583.7190000000001</v>
      </c>
      <c r="H40" s="603">
        <v>1347.222</v>
      </c>
      <c r="I40" s="603">
        <v>1477.7139999999999</v>
      </c>
      <c r="J40" s="604">
        <f>1438.031-1438.031+1510.906</f>
        <v>1510.9059999999999</v>
      </c>
      <c r="K40" s="604">
        <v>2157.163</v>
      </c>
      <c r="L40" s="604">
        <v>988.197</v>
      </c>
      <c r="M40" s="604">
        <v>1034.7739999999999</v>
      </c>
      <c r="N40" s="604">
        <v>905.57100000000003</v>
      </c>
      <c r="O40" s="604">
        <v>944.24099999999999</v>
      </c>
      <c r="P40" s="604">
        <v>856.23900000000003</v>
      </c>
      <c r="Q40" s="604">
        <v>1811.713</v>
      </c>
      <c r="R40" s="604">
        <v>1797.961</v>
      </c>
      <c r="S40" s="238"/>
      <c r="T40" s="604">
        <v>908.30975200000182</v>
      </c>
      <c r="U40" s="604">
        <v>1871.4077096120016</v>
      </c>
      <c r="V40" s="604">
        <v>1863.6217235903737</v>
      </c>
      <c r="W40" s="238"/>
      <c r="X40" s="238"/>
      <c r="Y40" s="238"/>
      <c r="Z40" s="238"/>
      <c r="AA40" s="238"/>
    </row>
    <row r="41" spans="1:27" ht="16.5" customHeight="1" x14ac:dyDescent="0.2">
      <c r="A41" s="623" t="s">
        <v>614</v>
      </c>
      <c r="B41" s="623" t="s">
        <v>986</v>
      </c>
      <c r="C41" s="591" t="s">
        <v>615</v>
      </c>
      <c r="D41" s="604">
        <f>162.36-D23</f>
        <v>162.26000000000002</v>
      </c>
      <c r="E41" s="604">
        <f>630.588-E23</f>
        <v>630.54300000000001</v>
      </c>
      <c r="F41" s="604">
        <v>636.36900000000003</v>
      </c>
      <c r="G41" s="604">
        <f>880.887-G23</f>
        <v>880.87399999999991</v>
      </c>
      <c r="H41" s="603">
        <f>778.754-H23</f>
        <v>778.74200000000008</v>
      </c>
      <c r="I41" s="603">
        <f>985.27-I23</f>
        <v>985.26300000000003</v>
      </c>
      <c r="J41" s="604">
        <f>962.011-J23</f>
        <v>962.00699999999995</v>
      </c>
      <c r="K41" s="604">
        <f>2074.316-2074.316+1915.775-K23</f>
        <v>1915.7810000000002</v>
      </c>
      <c r="L41" s="604">
        <f>554.428-L23</f>
        <v>554.42399999999998</v>
      </c>
      <c r="M41" s="604">
        <f>299.319-M23</f>
        <v>299.31900000000002</v>
      </c>
      <c r="N41" s="604">
        <v>33.813000000000002</v>
      </c>
      <c r="O41" s="604">
        <v>15.120999999999995</v>
      </c>
      <c r="P41" s="604">
        <v>106.72</v>
      </c>
      <c r="Q41" s="604">
        <v>150.00799999999998</v>
      </c>
      <c r="R41" s="604">
        <v>150.00899999999999</v>
      </c>
      <c r="S41" s="238"/>
      <c r="T41" s="604">
        <v>106.72</v>
      </c>
      <c r="U41" s="604">
        <v>150.00799999999998</v>
      </c>
      <c r="V41" s="604">
        <v>150.00899999999999</v>
      </c>
      <c r="W41" s="238"/>
      <c r="X41" s="238"/>
      <c r="Y41" s="238"/>
      <c r="Z41" s="238"/>
      <c r="AA41" s="238"/>
    </row>
    <row r="42" spans="1:27" ht="16.5" customHeight="1" x14ac:dyDescent="0.2">
      <c r="A42" s="578" t="s">
        <v>616</v>
      </c>
      <c r="B42" s="578" t="s">
        <v>915</v>
      </c>
      <c r="C42" s="579" t="s">
        <v>617</v>
      </c>
      <c r="D42" s="607">
        <f>D44+D81</f>
        <v>25299.29</v>
      </c>
      <c r="E42" s="607">
        <f t="shared" ref="E42:L42" si="36">E44+E81</f>
        <v>28224.154999999999</v>
      </c>
      <c r="F42" s="607">
        <f t="shared" si="36"/>
        <v>28480.449000000001</v>
      </c>
      <c r="G42" s="607">
        <f t="shared" si="36"/>
        <v>28827.822</v>
      </c>
      <c r="H42" s="607">
        <f t="shared" si="36"/>
        <v>29539.480999999996</v>
      </c>
      <c r="I42" s="607">
        <f t="shared" si="36"/>
        <v>30736.550999999996</v>
      </c>
      <c r="J42" s="607">
        <f t="shared" si="36"/>
        <v>31983.491000000002</v>
      </c>
      <c r="K42" s="607">
        <f t="shared" si="36"/>
        <v>35691.877999999997</v>
      </c>
      <c r="L42" s="607">
        <f t="shared" si="36"/>
        <v>33684.084999999999</v>
      </c>
      <c r="M42" s="607">
        <f>M44+M81</f>
        <v>34350.584999999999</v>
      </c>
      <c r="N42" s="607">
        <f>N45+N48+N49+N52+N58+N61+N78+N81</f>
        <v>35175.083000000006</v>
      </c>
      <c r="O42" s="607">
        <f>O45+O48+O49+O52+O58+O61+O78+O81</f>
        <v>35203.413999999997</v>
      </c>
      <c r="P42" s="607">
        <f t="shared" ref="P42:R42" si="37">P45+P48+P49+P52+P58+P61+P78+P81</f>
        <v>36501.83</v>
      </c>
      <c r="Q42" s="607">
        <f t="shared" si="37"/>
        <v>38707.046999999999</v>
      </c>
      <c r="R42" s="607">
        <f t="shared" si="37"/>
        <v>40032.974000000002</v>
      </c>
      <c r="S42" s="238"/>
      <c r="T42" s="607">
        <f t="shared" ref="T42:U42" si="38">T45+T48+T49+T52+T58+T61+T78+T81</f>
        <v>35586.48135799999</v>
      </c>
      <c r="U42" s="607">
        <f t="shared" si="38"/>
        <v>37833.487919118001</v>
      </c>
      <c r="V42" s="607">
        <f t="shared" ref="V42" si="39">V45+V48+V49+V52+V58+V61+V78+V81</f>
        <v>38875.68785756432</v>
      </c>
      <c r="W42" s="238"/>
      <c r="X42" s="238"/>
      <c r="Y42" s="238"/>
      <c r="Z42" s="238"/>
      <c r="AA42" s="238"/>
    </row>
    <row r="43" spans="1:27" ht="16.5" customHeight="1" x14ac:dyDescent="0.2">
      <c r="A43" s="581" t="s">
        <v>50</v>
      </c>
      <c r="B43" s="581" t="s">
        <v>914</v>
      </c>
      <c r="C43" s="582"/>
      <c r="D43" s="608">
        <f>D42/D90</f>
        <v>0.36937799671784566</v>
      </c>
      <c r="E43" s="608">
        <f>E42/E90</f>
        <v>0.4408433049946035</v>
      </c>
      <c r="F43" s="608">
        <f t="shared" ref="F43" si="40">F42/F90</f>
        <v>0.42144993955070709</v>
      </c>
      <c r="G43" s="608">
        <f>G42/G90</f>
        <v>0.40816880690663038</v>
      </c>
      <c r="H43" s="608">
        <f t="shared" ref="H43:M43" si="41">H42/H90</f>
        <v>0.40630060063259932</v>
      </c>
      <c r="I43" s="608">
        <f t="shared" si="41"/>
        <v>0.41440749130040971</v>
      </c>
      <c r="J43" s="608">
        <f t="shared" si="41"/>
        <v>0.42034985403505415</v>
      </c>
      <c r="K43" s="608">
        <f t="shared" si="41"/>
        <v>0.45238893723003454</v>
      </c>
      <c r="L43" s="608">
        <f t="shared" si="41"/>
        <v>0.41506394154538301</v>
      </c>
      <c r="M43" s="608">
        <f t="shared" si="41"/>
        <v>0.40419494492640556</v>
      </c>
      <c r="N43" s="608">
        <f>N42/N90</f>
        <v>0.39303817783394168</v>
      </c>
      <c r="O43" s="608">
        <f>O42/O90</f>
        <v>0.39044919939356731</v>
      </c>
      <c r="P43" s="608">
        <f t="shared" ref="P43:R43" si="42">P42/P90</f>
        <v>0.37986283398658865</v>
      </c>
      <c r="Q43" s="608">
        <f t="shared" si="42"/>
        <v>0.37944181618901712</v>
      </c>
      <c r="R43" s="608">
        <f t="shared" si="42"/>
        <v>0.37100169181613052</v>
      </c>
      <c r="S43" s="238"/>
      <c r="T43" s="608">
        <f t="shared" ref="T43:U43" si="43">T42/T90</f>
        <v>0.37033709433912715</v>
      </c>
      <c r="U43" s="608">
        <f t="shared" si="43"/>
        <v>0.37087839247451176</v>
      </c>
      <c r="V43" s="608">
        <f t="shared" ref="V43" si="44">V42/V90</f>
        <v>0.36027665508118795</v>
      </c>
      <c r="W43" s="238"/>
      <c r="X43" s="238"/>
      <c r="Y43" s="238"/>
      <c r="Z43" s="238"/>
      <c r="AA43" s="238"/>
    </row>
    <row r="44" spans="1:27" s="239" customFormat="1" ht="16.5" customHeight="1" x14ac:dyDescent="0.25">
      <c r="A44" s="592" t="s">
        <v>618</v>
      </c>
      <c r="B44" s="592" t="s">
        <v>918</v>
      </c>
      <c r="C44" s="585" t="s">
        <v>912</v>
      </c>
      <c r="D44" s="602">
        <f>D45+D48+D49+D52+D58+D61+D78</f>
        <v>22436.556</v>
      </c>
      <c r="E44" s="602">
        <f t="shared" ref="E44:L44" si="45">E45+E48+E49+E52+E58+E61+E78</f>
        <v>24547.108</v>
      </c>
      <c r="F44" s="602">
        <f t="shared" si="45"/>
        <v>25435.564000000002</v>
      </c>
      <c r="G44" s="602">
        <f t="shared" si="45"/>
        <v>25656.080999999998</v>
      </c>
      <c r="H44" s="602">
        <f t="shared" si="45"/>
        <v>26646.898999999998</v>
      </c>
      <c r="I44" s="602">
        <f t="shared" si="45"/>
        <v>27803.979999999996</v>
      </c>
      <c r="J44" s="602">
        <f t="shared" si="45"/>
        <v>28756.422000000002</v>
      </c>
      <c r="K44" s="602">
        <f t="shared" si="45"/>
        <v>30076.887999999995</v>
      </c>
      <c r="L44" s="602">
        <f t="shared" si="45"/>
        <v>30534.166000000001</v>
      </c>
      <c r="M44" s="602">
        <f>M45+M48+M49+M52+M58+M61+M78</f>
        <v>31406.528999999999</v>
      </c>
      <c r="N44" s="602">
        <f>N45+N48+N49+N52+N58+N61+N78</f>
        <v>32807.440000000002</v>
      </c>
      <c r="O44" s="602">
        <f t="shared" ref="O44:R44" si="46">O45+O48+O49+O52+O58+O61+O78</f>
        <v>32730.563999999998</v>
      </c>
      <c r="P44" s="602">
        <f t="shared" si="46"/>
        <v>33701.491000000002</v>
      </c>
      <c r="Q44" s="602">
        <f t="shared" si="46"/>
        <v>35390.843000000001</v>
      </c>
      <c r="R44" s="602">
        <f t="shared" si="46"/>
        <v>36482.906999999999</v>
      </c>
      <c r="S44" s="238"/>
      <c r="T44" s="602">
        <f t="shared" ref="T44:V44" si="47">T45+T48+T49+T52+T58+T61+T78</f>
        <v>33255.69064999999</v>
      </c>
      <c r="U44" s="602">
        <f t="shared" si="47"/>
        <v>34918.89420101</v>
      </c>
      <c r="V44" s="602">
        <f t="shared" si="47"/>
        <v>35929.300952987134</v>
      </c>
      <c r="W44" s="238"/>
      <c r="X44" s="238"/>
      <c r="Y44" s="238"/>
      <c r="Z44" s="238"/>
      <c r="AA44" s="238"/>
    </row>
    <row r="45" spans="1:27" s="241" customFormat="1" ht="16.5" customHeight="1" x14ac:dyDescent="0.2">
      <c r="A45" s="617" t="s">
        <v>220</v>
      </c>
      <c r="B45" s="617" t="s">
        <v>919</v>
      </c>
      <c r="C45" s="593" t="s">
        <v>521</v>
      </c>
      <c r="D45" s="604">
        <v>5123.9579999999996</v>
      </c>
      <c r="E45" s="604">
        <v>5479.2550000000001</v>
      </c>
      <c r="F45" s="604">
        <v>5716.1260000000002</v>
      </c>
      <c r="G45" s="604">
        <v>5845.6589999999997</v>
      </c>
      <c r="H45" s="603">
        <v>5991.2939999999999</v>
      </c>
      <c r="I45" s="603">
        <v>6356.049</v>
      </c>
      <c r="J45" s="604">
        <v>6693.7380000000003</v>
      </c>
      <c r="K45" s="604">
        <v>7049.4970000000003</v>
      </c>
      <c r="L45" s="604">
        <v>7400.143</v>
      </c>
      <c r="M45" s="604">
        <v>7802.866</v>
      </c>
      <c r="N45" s="604">
        <f>8021.442+83.786</f>
        <v>8105.2280000000001</v>
      </c>
      <c r="O45" s="604">
        <v>8211.1859999999997</v>
      </c>
      <c r="P45" s="604">
        <v>8437.5310000000009</v>
      </c>
      <c r="Q45" s="604">
        <v>9039.8220000000001</v>
      </c>
      <c r="R45" s="604">
        <v>9295.9879999999994</v>
      </c>
      <c r="S45" s="238"/>
      <c r="T45" s="604">
        <v>8366.6832100000011</v>
      </c>
      <c r="U45" s="604">
        <v>9030.0498451300009</v>
      </c>
      <c r="V45" s="604">
        <v>9468.3780659218901</v>
      </c>
      <c r="W45" s="238"/>
      <c r="X45" s="238"/>
      <c r="Y45" s="238"/>
      <c r="Z45" s="238"/>
      <c r="AA45" s="238"/>
    </row>
    <row r="46" spans="1:27" s="241" customFormat="1" ht="16.5" customHeight="1" x14ac:dyDescent="0.2">
      <c r="A46" s="612" t="s">
        <v>619</v>
      </c>
      <c r="B46" s="612" t="s">
        <v>920</v>
      </c>
      <c r="C46" s="587" t="s">
        <v>620</v>
      </c>
      <c r="D46" s="603">
        <v>3882.7379999999998</v>
      </c>
      <c r="E46" s="603">
        <v>4068.3440000000001</v>
      </c>
      <c r="F46" s="603">
        <v>4241.7030000000004</v>
      </c>
      <c r="G46" s="603">
        <v>4259.3040000000001</v>
      </c>
      <c r="H46" s="603">
        <v>4439.4539999999997</v>
      </c>
      <c r="I46" s="603">
        <v>4666.4269999999997</v>
      </c>
      <c r="J46" s="603">
        <v>4894.2</v>
      </c>
      <c r="K46" s="603">
        <v>5141.5820000000003</v>
      </c>
      <c r="L46" s="603">
        <v>5412.2139999999999</v>
      </c>
      <c r="M46" s="603">
        <v>5705.9049999999997</v>
      </c>
      <c r="N46" s="603">
        <f>5871.86+61.102</f>
        <v>5932.9619999999995</v>
      </c>
      <c r="O46" s="603">
        <v>6008.9409999999998</v>
      </c>
      <c r="P46" s="603">
        <v>6151.6990000000005</v>
      </c>
      <c r="Q46" s="603">
        <v>6647.3649999999998</v>
      </c>
      <c r="R46" s="603">
        <v>6836.1170000000002</v>
      </c>
      <c r="S46" s="238"/>
      <c r="T46" s="603">
        <v>6093.0114150000018</v>
      </c>
      <c r="U46" s="603">
        <v>6632.4701429950001</v>
      </c>
      <c r="V46" s="603">
        <v>6953.9139305737353</v>
      </c>
      <c r="W46" s="238"/>
      <c r="X46" s="238"/>
      <c r="Y46" s="238"/>
      <c r="Z46" s="238"/>
      <c r="AA46" s="238"/>
    </row>
    <row r="47" spans="1:27" s="241" customFormat="1" ht="16.5" customHeight="1" x14ac:dyDescent="0.2">
      <c r="A47" s="612" t="s">
        <v>621</v>
      </c>
      <c r="B47" s="612" t="s">
        <v>921</v>
      </c>
      <c r="C47" s="587" t="s">
        <v>622</v>
      </c>
      <c r="D47" s="603">
        <v>1241.22</v>
      </c>
      <c r="E47" s="603">
        <v>1410.9110000000001</v>
      </c>
      <c r="F47" s="603">
        <v>1474.423</v>
      </c>
      <c r="G47" s="603">
        <v>1586.355</v>
      </c>
      <c r="H47" s="603">
        <v>1551.84</v>
      </c>
      <c r="I47" s="603">
        <v>1689.6220000000001</v>
      </c>
      <c r="J47" s="603">
        <v>1799.538</v>
      </c>
      <c r="K47" s="603">
        <v>1907.915</v>
      </c>
      <c r="L47" s="603">
        <v>1987.9290000000001</v>
      </c>
      <c r="M47" s="603">
        <v>2096.9609999999998</v>
      </c>
      <c r="N47" s="603">
        <f t="shared" ref="N47:R47" si="48">N45-N46</f>
        <v>2172.2660000000005</v>
      </c>
      <c r="O47" s="603">
        <f t="shared" si="48"/>
        <v>2202.2449999999999</v>
      </c>
      <c r="P47" s="603">
        <f t="shared" si="48"/>
        <v>2285.8320000000003</v>
      </c>
      <c r="Q47" s="603">
        <f t="shared" si="48"/>
        <v>2392.4570000000003</v>
      </c>
      <c r="R47" s="603">
        <f t="shared" si="48"/>
        <v>2459.8709999999992</v>
      </c>
      <c r="S47" s="238"/>
      <c r="T47" s="603">
        <f t="shared" ref="T47:V47" si="49">T45-T46</f>
        <v>2273.6717949999993</v>
      </c>
      <c r="U47" s="603">
        <f t="shared" si="49"/>
        <v>2397.5797021350008</v>
      </c>
      <c r="V47" s="603">
        <f t="shared" si="49"/>
        <v>2514.4641353481547</v>
      </c>
      <c r="W47" s="238"/>
      <c r="X47" s="238"/>
      <c r="Y47" s="238"/>
      <c r="Z47" s="238"/>
      <c r="AA47" s="238"/>
    </row>
    <row r="48" spans="1:27" s="241" customFormat="1" ht="16.5" customHeight="1" x14ac:dyDescent="0.2">
      <c r="A48" s="617" t="s">
        <v>623</v>
      </c>
      <c r="B48" s="617" t="s">
        <v>922</v>
      </c>
      <c r="C48" s="593" t="s">
        <v>114</v>
      </c>
      <c r="D48" s="604">
        <v>3313.989</v>
      </c>
      <c r="E48" s="604">
        <v>3898.5259999999998</v>
      </c>
      <c r="F48" s="604">
        <v>3871.6979999999999</v>
      </c>
      <c r="G48" s="604">
        <v>3985.3670000000002</v>
      </c>
      <c r="H48" s="603">
        <v>4006.7040000000002</v>
      </c>
      <c r="I48" s="603">
        <v>4101.7309999999998</v>
      </c>
      <c r="J48" s="604">
        <v>4266.165</v>
      </c>
      <c r="K48" s="604">
        <v>4654.8230000000003</v>
      </c>
      <c r="L48" s="604">
        <v>4459.0209999999997</v>
      </c>
      <c r="M48" s="604">
        <v>4790.5959999999995</v>
      </c>
      <c r="N48" s="604">
        <f>4895.969-8</f>
        <v>4887.9690000000001</v>
      </c>
      <c r="O48" s="604">
        <f>4854.579-20</f>
        <v>4834.5789999999997</v>
      </c>
      <c r="P48" s="604">
        <v>5103.6019999999999</v>
      </c>
      <c r="Q48" s="604">
        <v>5350.5250000000005</v>
      </c>
      <c r="R48" s="604">
        <v>5596.6090000000004</v>
      </c>
      <c r="S48" s="238"/>
      <c r="T48" s="604">
        <v>4869.8803999999982</v>
      </c>
      <c r="U48" s="604">
        <v>4981.3059187999988</v>
      </c>
      <c r="V48" s="604">
        <v>5201.4430109323994</v>
      </c>
      <c r="W48" s="238"/>
      <c r="X48" s="238"/>
      <c r="Y48" s="238"/>
      <c r="Z48" s="238"/>
      <c r="AA48" s="238"/>
    </row>
    <row r="49" spans="1:27" s="241" customFormat="1" ht="16.5" customHeight="1" x14ac:dyDescent="0.2">
      <c r="A49" s="618" t="s">
        <v>624</v>
      </c>
      <c r="B49" s="618" t="s">
        <v>923</v>
      </c>
      <c r="C49" s="593" t="s">
        <v>625</v>
      </c>
      <c r="D49" s="604">
        <f>D50+D51</f>
        <v>54.347999999999999</v>
      </c>
      <c r="E49" s="604">
        <f t="shared" ref="E49:M49" si="50">E50+E51</f>
        <v>43.553999999999995</v>
      </c>
      <c r="F49" s="604">
        <f t="shared" si="50"/>
        <v>59.741</v>
      </c>
      <c r="G49" s="604">
        <f t="shared" si="50"/>
        <v>68.228999999999999</v>
      </c>
      <c r="H49" s="603">
        <f t="shared" si="50"/>
        <v>78.296000000000006</v>
      </c>
      <c r="I49" s="603">
        <f t="shared" si="50"/>
        <v>81.658000000000001</v>
      </c>
      <c r="J49" s="604">
        <f t="shared" si="50"/>
        <v>68.736000000000004</v>
      </c>
      <c r="K49" s="604">
        <f t="shared" si="50"/>
        <v>71.3</v>
      </c>
      <c r="L49" s="604">
        <f t="shared" si="50"/>
        <v>68.677999999999997</v>
      </c>
      <c r="M49" s="604">
        <f t="shared" si="50"/>
        <v>90.670999999999992</v>
      </c>
      <c r="N49" s="604">
        <f t="shared" ref="N49:R49" si="51">N50+N51</f>
        <v>90.834000000000003</v>
      </c>
      <c r="O49" s="604">
        <f t="shared" si="51"/>
        <v>90.834000000000003</v>
      </c>
      <c r="P49" s="604">
        <f t="shared" si="51"/>
        <v>92.888999999999996</v>
      </c>
      <c r="Q49" s="604">
        <f t="shared" si="51"/>
        <v>99.093000000000004</v>
      </c>
      <c r="R49" s="604">
        <f t="shared" si="51"/>
        <v>99.093000000000004</v>
      </c>
      <c r="S49" s="238"/>
      <c r="T49" s="604">
        <f t="shared" ref="T49:V49" si="52">T50+T51</f>
        <v>92.888999999999996</v>
      </c>
      <c r="U49" s="604">
        <f t="shared" si="52"/>
        <v>99.093000000000004</v>
      </c>
      <c r="V49" s="604">
        <f t="shared" si="52"/>
        <v>99.093000000000004</v>
      </c>
      <c r="W49" s="238"/>
      <c r="X49" s="238"/>
      <c r="Y49" s="238"/>
      <c r="Z49" s="238"/>
      <c r="AA49" s="238"/>
    </row>
    <row r="50" spans="1:27" ht="16.5" customHeight="1" x14ac:dyDescent="0.2">
      <c r="A50" s="594" t="s">
        <v>626</v>
      </c>
      <c r="B50" s="594" t="s">
        <v>924</v>
      </c>
      <c r="C50" s="586" t="s">
        <v>627</v>
      </c>
      <c r="D50" s="604">
        <v>35.125</v>
      </c>
      <c r="E50" s="604">
        <v>35.180999999999997</v>
      </c>
      <c r="F50" s="604">
        <v>39.637</v>
      </c>
      <c r="G50" s="604">
        <v>49.838999999999999</v>
      </c>
      <c r="H50" s="603">
        <v>58.804000000000002</v>
      </c>
      <c r="I50" s="603">
        <v>56.468000000000004</v>
      </c>
      <c r="J50" s="604">
        <v>38.512</v>
      </c>
      <c r="K50" s="604">
        <v>60.713000000000001</v>
      </c>
      <c r="L50" s="604">
        <v>55.362000000000002</v>
      </c>
      <c r="M50" s="604">
        <v>67.394999999999996</v>
      </c>
      <c r="N50" s="604">
        <v>90.834000000000003</v>
      </c>
      <c r="O50" s="604">
        <v>90.834000000000003</v>
      </c>
      <c r="P50" s="604">
        <v>92.888999999999996</v>
      </c>
      <c r="Q50" s="604">
        <v>99.093000000000004</v>
      </c>
      <c r="R50" s="604">
        <v>99.093000000000004</v>
      </c>
      <c r="S50" s="238"/>
      <c r="T50" s="604">
        <v>92.888999999999996</v>
      </c>
      <c r="U50" s="604">
        <v>99.093000000000004</v>
      </c>
      <c r="V50" s="604">
        <v>99.093000000000004</v>
      </c>
      <c r="W50" s="238"/>
      <c r="X50" s="238"/>
      <c r="Y50" s="238"/>
      <c r="Z50" s="238"/>
      <c r="AA50" s="238"/>
    </row>
    <row r="51" spans="1:27" ht="16.5" customHeight="1" x14ac:dyDescent="0.2">
      <c r="A51" s="594" t="s">
        <v>628</v>
      </c>
      <c r="B51" s="594" t="s">
        <v>925</v>
      </c>
      <c r="C51" s="586" t="s">
        <v>571</v>
      </c>
      <c r="D51" s="604">
        <v>19.222999999999999</v>
      </c>
      <c r="E51" s="606">
        <v>8.3729999999999993</v>
      </c>
      <c r="F51" s="606">
        <v>20.103999999999999</v>
      </c>
      <c r="G51" s="606">
        <v>18.39</v>
      </c>
      <c r="H51" s="605">
        <v>19.492000000000001</v>
      </c>
      <c r="I51" s="603">
        <v>25.19</v>
      </c>
      <c r="J51" s="604">
        <v>30.224</v>
      </c>
      <c r="K51" s="604">
        <v>10.587</v>
      </c>
      <c r="L51" s="604">
        <v>13.316000000000001</v>
      </c>
      <c r="M51" s="604">
        <v>23.276</v>
      </c>
      <c r="N51" s="604">
        <v>0</v>
      </c>
      <c r="O51" s="604">
        <v>0</v>
      </c>
      <c r="P51" s="604">
        <v>0</v>
      </c>
      <c r="Q51" s="604">
        <v>0</v>
      </c>
      <c r="R51" s="604">
        <v>0</v>
      </c>
      <c r="S51" s="238"/>
      <c r="T51" s="604">
        <v>0</v>
      </c>
      <c r="U51" s="604">
        <v>0</v>
      </c>
      <c r="V51" s="604">
        <v>0</v>
      </c>
      <c r="W51" s="238"/>
      <c r="X51" s="238"/>
      <c r="Y51" s="238"/>
      <c r="Z51" s="238"/>
      <c r="AA51" s="238"/>
    </row>
    <row r="52" spans="1:27" s="241" customFormat="1" ht="16.5" customHeight="1" x14ac:dyDescent="0.2">
      <c r="A52" s="618" t="s">
        <v>629</v>
      </c>
      <c r="B52" s="618" t="s">
        <v>926</v>
      </c>
      <c r="C52" s="593" t="s">
        <v>630</v>
      </c>
      <c r="D52" s="604">
        <v>919.86900000000003</v>
      </c>
      <c r="E52" s="606">
        <v>734.25800000000004</v>
      </c>
      <c r="F52" s="606">
        <v>623.35900000000004</v>
      </c>
      <c r="G52" s="606">
        <v>498.55099999999999</v>
      </c>
      <c r="H52" s="605">
        <v>490.51600000000002</v>
      </c>
      <c r="I52" s="603">
        <v>574.00099999999998</v>
      </c>
      <c r="J52" s="604">
        <v>519.81799999999998</v>
      </c>
      <c r="K52" s="604">
        <v>463.73599999999999</v>
      </c>
      <c r="L52" s="604">
        <v>376.40100000000001</v>
      </c>
      <c r="M52" s="604">
        <v>362.66</v>
      </c>
      <c r="N52" s="604">
        <v>394.23599999999999</v>
      </c>
      <c r="O52" s="604">
        <v>395.16699999999997</v>
      </c>
      <c r="P52" s="604">
        <v>386.89099999999996</v>
      </c>
      <c r="Q52" s="604">
        <v>396.42399999999998</v>
      </c>
      <c r="R52" s="604">
        <v>290.79899999999998</v>
      </c>
      <c r="S52" s="238"/>
      <c r="T52" s="604">
        <v>383.91119999999995</v>
      </c>
      <c r="U52" s="604">
        <v>396.55567639999998</v>
      </c>
      <c r="V52" s="604">
        <v>293.19233595719999</v>
      </c>
      <c r="W52" s="238"/>
      <c r="X52" s="238"/>
      <c r="Y52" s="238"/>
      <c r="Z52" s="238"/>
      <c r="AA52" s="238"/>
    </row>
    <row r="53" spans="1:27" s="241" customFormat="1" ht="16.5" customHeight="1" x14ac:dyDescent="0.25">
      <c r="A53" s="612" t="s">
        <v>631</v>
      </c>
      <c r="B53" s="612" t="s">
        <v>927</v>
      </c>
      <c r="C53" s="589"/>
      <c r="D53" s="604">
        <f>0+325.997</f>
        <v>325.99700000000001</v>
      </c>
      <c r="E53" s="606">
        <f>0.009+210.503</f>
        <v>210.51199999999997</v>
      </c>
      <c r="F53" s="606">
        <f>0.061+196.916</f>
        <v>196.977</v>
      </c>
      <c r="G53" s="606">
        <f>0.068+151.421</f>
        <v>151.489</v>
      </c>
      <c r="H53" s="605">
        <f>0+120.155</f>
        <v>120.155</v>
      </c>
      <c r="I53" s="603">
        <f>0+138.037</f>
        <v>138.03700000000001</v>
      </c>
      <c r="J53" s="604">
        <f>0+469.54-469.54+91.73</f>
        <v>91.73</v>
      </c>
      <c r="K53" s="604">
        <v>68.584999999999994</v>
      </c>
      <c r="L53" s="604">
        <v>57.859000000000002</v>
      </c>
      <c r="M53" s="604">
        <f>92.41+0.01</f>
        <v>92.42</v>
      </c>
      <c r="N53" s="604">
        <v>128.53200000000001</v>
      </c>
      <c r="O53" s="604">
        <v>129.46300000000002</v>
      </c>
      <c r="P53" s="604">
        <v>124.71599999999999</v>
      </c>
      <c r="Q53" s="604">
        <v>131.822</v>
      </c>
      <c r="R53" s="604">
        <v>24.097000000000008</v>
      </c>
      <c r="S53" s="238"/>
      <c r="T53" s="604">
        <v>124.2962</v>
      </c>
      <c r="U53" s="604">
        <v>131.90542440000002</v>
      </c>
      <c r="V53" s="604">
        <v>24.718664161200007</v>
      </c>
      <c r="W53" s="238"/>
      <c r="X53" s="238"/>
      <c r="Y53" s="238"/>
      <c r="Z53" s="238"/>
      <c r="AA53" s="238"/>
    </row>
    <row r="54" spans="1:27" s="241" customFormat="1" ht="16.5" customHeight="1" x14ac:dyDescent="0.25">
      <c r="A54" s="612" t="s">
        <v>632</v>
      </c>
      <c r="B54" s="612" t="s">
        <v>928</v>
      </c>
      <c r="C54" s="589"/>
      <c r="D54" s="604">
        <f>93.014+488.784-29.897-165.97</f>
        <v>385.93099999999993</v>
      </c>
      <c r="E54" s="606">
        <f>96.421+436.378-29.068-270.339</f>
        <v>233.392</v>
      </c>
      <c r="F54" s="606">
        <f>94.731+485.316-42.054-228.114</f>
        <v>309.87900000000002</v>
      </c>
      <c r="G54" s="606">
        <f>93.573+547.911-28.816-199.498-105.301-67.516</f>
        <v>240.35299999999989</v>
      </c>
      <c r="H54" s="605">
        <f>94.782+891.384-28.334-345.988-174.99-199.342</f>
        <v>237.51200000000003</v>
      </c>
      <c r="I54" s="603">
        <f>103.597+695.788-40.446-333.753-197.559</f>
        <v>227.62699999999998</v>
      </c>
      <c r="J54" s="604">
        <f>106.32+413.45-83.331-197.559</f>
        <v>238.87999999999997</v>
      </c>
      <c r="K54" s="604">
        <f>360.958+110.061-209.559</f>
        <v>261.46000000000004</v>
      </c>
      <c r="L54" s="604">
        <f>87.187+155.134</f>
        <v>242.32099999999997</v>
      </c>
      <c r="M54" s="604">
        <v>164.51</v>
      </c>
      <c r="N54" s="604">
        <v>167.92099999999999</v>
      </c>
      <c r="O54" s="604">
        <v>167.92099999999999</v>
      </c>
      <c r="P54" s="604">
        <v>173.67099999999999</v>
      </c>
      <c r="Q54" s="604">
        <v>174.64100000000002</v>
      </c>
      <c r="R54" s="604">
        <v>176.74100000000001</v>
      </c>
      <c r="S54" s="238"/>
      <c r="T54" s="604">
        <v>171.11099999999999</v>
      </c>
      <c r="U54" s="604">
        <v>174.68925200000004</v>
      </c>
      <c r="V54" s="604">
        <v>178.51267179600003</v>
      </c>
      <c r="W54" s="238"/>
      <c r="X54" s="238"/>
      <c r="Y54" s="238"/>
      <c r="Z54" s="238"/>
      <c r="AA54" s="238"/>
    </row>
    <row r="55" spans="1:27" s="241" customFormat="1" ht="16.5" customHeight="1" x14ac:dyDescent="0.25">
      <c r="A55" s="614" t="s">
        <v>633</v>
      </c>
      <c r="B55" s="614" t="s">
        <v>929</v>
      </c>
      <c r="C55" s="589"/>
      <c r="D55" s="604">
        <f>0+381.232-165.97</f>
        <v>215.26200000000003</v>
      </c>
      <c r="E55" s="606">
        <f>0+315.342-270.339</f>
        <v>45.002999999999986</v>
      </c>
      <c r="F55" s="606">
        <f>0+337.519-228.114</f>
        <v>109.405</v>
      </c>
      <c r="G55" s="606">
        <f>0+404.903-199.498-105.301-67.516</f>
        <v>32.588000000000022</v>
      </c>
      <c r="H55" s="605">
        <f>0+736.51-345.988-174.99-199.342</f>
        <v>16.189999999999969</v>
      </c>
      <c r="I55" s="603">
        <f>0+538.753-333.753-197.559</f>
        <v>7.4410000000000593</v>
      </c>
      <c r="J55" s="603">
        <f>0+265.108-197.559</f>
        <v>67.549000000000007</v>
      </c>
      <c r="K55" s="603">
        <f>218.096-209.559</f>
        <v>8.5370000000000061</v>
      </c>
      <c r="L55" s="603">
        <f>9.633</f>
        <v>9.6329999999999991</v>
      </c>
      <c r="M55" s="603">
        <v>9.0510000000000002</v>
      </c>
      <c r="N55" s="603">
        <v>8.6210000000000004</v>
      </c>
      <c r="O55" s="603">
        <v>8.6210000000000004</v>
      </c>
      <c r="P55" s="603">
        <v>8.5410000000000004</v>
      </c>
      <c r="Q55" s="603">
        <v>8.5410000000000004</v>
      </c>
      <c r="R55" s="603">
        <v>8.5410000000000004</v>
      </c>
      <c r="S55" s="238"/>
      <c r="T55" s="603">
        <v>8.6150000000000002</v>
      </c>
      <c r="U55" s="603">
        <v>8.7710000000000008</v>
      </c>
      <c r="V55" s="603">
        <v>8.7989999999999995</v>
      </c>
      <c r="W55" s="238"/>
      <c r="X55" s="238"/>
      <c r="Y55" s="238"/>
      <c r="Z55" s="238"/>
      <c r="AA55" s="238"/>
    </row>
    <row r="56" spans="1:27" s="241" customFormat="1" ht="16.5" customHeight="1" x14ac:dyDescent="0.25">
      <c r="A56" s="614" t="s">
        <v>634</v>
      </c>
      <c r="B56" s="614" t="s">
        <v>930</v>
      </c>
      <c r="C56" s="589"/>
      <c r="D56" s="604">
        <f>93.014+102.14-29.897</f>
        <v>165.25700000000001</v>
      </c>
      <c r="E56" s="606">
        <f>96.421+115.062-29.068</f>
        <v>182.41499999999999</v>
      </c>
      <c r="F56" s="606">
        <f>94.731+141.166-42.054</f>
        <v>193.84299999999999</v>
      </c>
      <c r="G56" s="606">
        <f>93.573+135.374-28.816</f>
        <v>200.131</v>
      </c>
      <c r="H56" s="605">
        <f>94.782+147.742-28.334</f>
        <v>214.19</v>
      </c>
      <c r="I56" s="603">
        <f>103.597+151.037-40.446</f>
        <v>214.18800000000002</v>
      </c>
      <c r="J56" s="604">
        <f>106.32+140.792-83.331</f>
        <v>163.78100000000001</v>
      </c>
      <c r="K56" s="604">
        <f>136.694+110.061</f>
        <v>246.755</v>
      </c>
      <c r="L56" s="604">
        <f>87.187+141.503</f>
        <v>228.69</v>
      </c>
      <c r="M56" s="604">
        <f>146.643+23.134</f>
        <v>169.77699999999999</v>
      </c>
      <c r="N56" s="604">
        <v>158.30000000000001</v>
      </c>
      <c r="O56" s="604">
        <v>158.30000000000001</v>
      </c>
      <c r="P56" s="604">
        <v>164.13</v>
      </c>
      <c r="Q56" s="604">
        <v>165.1</v>
      </c>
      <c r="R56" s="604">
        <v>167.2</v>
      </c>
      <c r="S56" s="238"/>
      <c r="T56" s="604">
        <v>161.49599999999998</v>
      </c>
      <c r="U56" s="604">
        <v>164.91825200000005</v>
      </c>
      <c r="V56" s="604">
        <v>168.71367179600003</v>
      </c>
      <c r="W56" s="238"/>
      <c r="X56" s="238"/>
      <c r="Y56" s="238"/>
      <c r="Z56" s="238"/>
      <c r="AA56" s="238"/>
    </row>
    <row r="57" spans="1:27" s="241" customFormat="1" ht="16.5" customHeight="1" x14ac:dyDescent="0.25">
      <c r="A57" s="612" t="s">
        <v>635</v>
      </c>
      <c r="B57" s="612" t="s">
        <v>931</v>
      </c>
      <c r="C57" s="589"/>
      <c r="D57" s="604">
        <f>D52-D53-D54</f>
        <v>207.94100000000014</v>
      </c>
      <c r="E57" s="604">
        <f t="shared" ref="E57:L57" si="53">E52-E53-E54</f>
        <v>290.3540000000001</v>
      </c>
      <c r="F57" s="604">
        <f t="shared" si="53"/>
        <v>116.50300000000004</v>
      </c>
      <c r="G57" s="604">
        <f t="shared" si="53"/>
        <v>106.70900000000012</v>
      </c>
      <c r="H57" s="603">
        <f t="shared" si="53"/>
        <v>132.84899999999996</v>
      </c>
      <c r="I57" s="603">
        <f t="shared" si="53"/>
        <v>208.33699999999996</v>
      </c>
      <c r="J57" s="604">
        <f t="shared" si="53"/>
        <v>189.208</v>
      </c>
      <c r="K57" s="604">
        <f t="shared" si="53"/>
        <v>133.69099999999997</v>
      </c>
      <c r="L57" s="604">
        <f t="shared" si="53"/>
        <v>76.22100000000006</v>
      </c>
      <c r="M57" s="604">
        <f>M52-M53-M54</f>
        <v>105.73000000000002</v>
      </c>
      <c r="N57" s="604">
        <f t="shared" ref="N57" si="54">N52-N53-N54</f>
        <v>97.782999999999959</v>
      </c>
      <c r="O57" s="604">
        <f>O52-O53-O54</f>
        <v>97.782999999999959</v>
      </c>
      <c r="P57" s="604">
        <f t="shared" ref="P57:R57" si="55">P52-P53-P54</f>
        <v>88.503999999999962</v>
      </c>
      <c r="Q57" s="604">
        <f t="shared" si="55"/>
        <v>89.960999999999956</v>
      </c>
      <c r="R57" s="604">
        <f t="shared" si="55"/>
        <v>89.960999999999984</v>
      </c>
      <c r="S57" s="238"/>
      <c r="T57" s="604">
        <f t="shared" ref="T57:U57" si="56">T52-T53-T54</f>
        <v>88.503999999999962</v>
      </c>
      <c r="U57" s="604">
        <f t="shared" si="56"/>
        <v>89.960999999999927</v>
      </c>
      <c r="V57" s="604">
        <f t="shared" ref="V57" si="57">V52-V53-V54</f>
        <v>89.960999999999927</v>
      </c>
      <c r="W57" s="238"/>
      <c r="X57" s="238"/>
      <c r="Y57" s="238"/>
      <c r="Z57" s="238"/>
      <c r="AA57" s="238"/>
    </row>
    <row r="58" spans="1:27" s="241" customFormat="1" ht="18" customHeight="1" x14ac:dyDescent="0.2">
      <c r="A58" s="617" t="s">
        <v>636</v>
      </c>
      <c r="B58" s="617" t="s">
        <v>932</v>
      </c>
      <c r="C58" s="593" t="s">
        <v>603</v>
      </c>
      <c r="D58" s="604">
        <v>891.53700000000003</v>
      </c>
      <c r="E58" s="604">
        <v>916.245</v>
      </c>
      <c r="F58" s="606">
        <v>877.28399999999999</v>
      </c>
      <c r="G58" s="604">
        <v>1079.231</v>
      </c>
      <c r="H58" s="603">
        <v>1283.2670000000001</v>
      </c>
      <c r="I58" s="603">
        <v>1387.038</v>
      </c>
      <c r="J58" s="604">
        <v>1443.6010000000001</v>
      </c>
      <c r="K58" s="604">
        <v>1379.4069999999999</v>
      </c>
      <c r="L58" s="604">
        <v>1335.808</v>
      </c>
      <c r="M58" s="604">
        <v>1186.126</v>
      </c>
      <c r="N58" s="604">
        <f t="shared" ref="N58" si="58">N59+N60</f>
        <v>1135.847</v>
      </c>
      <c r="O58" s="604">
        <f>O59+O60</f>
        <v>1142.7829999999999</v>
      </c>
      <c r="P58" s="604">
        <f t="shared" ref="P58:R58" si="59">P59+P60</f>
        <v>1146.877</v>
      </c>
      <c r="Q58" s="604">
        <f t="shared" si="59"/>
        <v>1109.6689999999999</v>
      </c>
      <c r="R58" s="604">
        <f t="shared" si="59"/>
        <v>1143.2539999999999</v>
      </c>
      <c r="S58" s="238"/>
      <c r="T58" s="604">
        <f t="shared" ref="T58:U58" si="60">T59+T60</f>
        <v>1146.877</v>
      </c>
      <c r="U58" s="604">
        <f t="shared" si="60"/>
        <v>1109.6689999999999</v>
      </c>
      <c r="V58" s="604">
        <f t="shared" ref="V58" si="61">V59+V60</f>
        <v>1143.2539999999999</v>
      </c>
      <c r="W58" s="238"/>
      <c r="X58" s="238"/>
      <c r="Y58" s="238"/>
      <c r="Z58" s="238"/>
      <c r="AA58" s="238"/>
    </row>
    <row r="59" spans="1:27" s="241" customFormat="1" ht="16.5" customHeight="1" x14ac:dyDescent="0.2">
      <c r="A59" s="594" t="s">
        <v>637</v>
      </c>
      <c r="B59" s="594" t="s">
        <v>933</v>
      </c>
      <c r="C59" s="586" t="s">
        <v>606</v>
      </c>
      <c r="D59" s="604">
        <v>891.53700000000003</v>
      </c>
      <c r="E59" s="604">
        <v>916.245</v>
      </c>
      <c r="F59" s="606">
        <v>877.28399999999999</v>
      </c>
      <c r="G59" s="604">
        <v>1079.231</v>
      </c>
      <c r="H59" s="603">
        <v>1283.2670000000001</v>
      </c>
      <c r="I59" s="603">
        <v>1387.038</v>
      </c>
      <c r="J59" s="604">
        <v>1443.6010000000001</v>
      </c>
      <c r="K59" s="604">
        <v>1379.4069999999999</v>
      </c>
      <c r="L59" s="604">
        <v>1335.808</v>
      </c>
      <c r="M59" s="604">
        <v>1186.126</v>
      </c>
      <c r="N59" s="604">
        <v>1135.847</v>
      </c>
      <c r="O59" s="604">
        <v>1142.7829999999999</v>
      </c>
      <c r="P59" s="604">
        <v>1146.877</v>
      </c>
      <c r="Q59" s="604">
        <v>1109.6689999999999</v>
      </c>
      <c r="R59" s="604">
        <v>1143.2539999999999</v>
      </c>
      <c r="S59" s="762"/>
      <c r="T59" s="604">
        <v>1146.877</v>
      </c>
      <c r="U59" s="604">
        <v>1109.6689999999999</v>
      </c>
      <c r="V59" s="604">
        <v>1143.2539999999999</v>
      </c>
      <c r="W59" s="238"/>
      <c r="X59" s="238"/>
      <c r="Y59" s="238"/>
      <c r="Z59" s="238"/>
      <c r="AA59" s="238"/>
    </row>
    <row r="60" spans="1:27" s="241" customFormat="1" ht="16.5" customHeight="1" x14ac:dyDescent="0.2">
      <c r="A60" s="594" t="s">
        <v>638</v>
      </c>
      <c r="B60" s="594" t="s">
        <v>934</v>
      </c>
      <c r="C60" s="586" t="s">
        <v>907</v>
      </c>
      <c r="D60" s="604">
        <v>0</v>
      </c>
      <c r="E60" s="604">
        <v>0</v>
      </c>
      <c r="F60" s="604">
        <v>0</v>
      </c>
      <c r="G60" s="604">
        <v>0</v>
      </c>
      <c r="H60" s="603">
        <v>0</v>
      </c>
      <c r="I60" s="603">
        <v>0</v>
      </c>
      <c r="J60" s="603">
        <v>3.0000000000000001E-3</v>
      </c>
      <c r="K60" s="603">
        <v>0</v>
      </c>
      <c r="L60" s="603">
        <v>0</v>
      </c>
      <c r="M60" s="603">
        <v>0</v>
      </c>
      <c r="N60" s="603">
        <v>0</v>
      </c>
      <c r="O60" s="603">
        <v>0</v>
      </c>
      <c r="P60" s="603">
        <v>0</v>
      </c>
      <c r="Q60" s="603">
        <v>0</v>
      </c>
      <c r="R60" s="603">
        <v>0</v>
      </c>
      <c r="S60" s="238"/>
      <c r="T60" s="603">
        <v>0</v>
      </c>
      <c r="U60" s="603">
        <v>0</v>
      </c>
      <c r="V60" s="603">
        <v>0</v>
      </c>
      <c r="W60" s="238"/>
      <c r="X60" s="238"/>
      <c r="Y60" s="238"/>
      <c r="Z60" s="238"/>
      <c r="AA60" s="238"/>
    </row>
    <row r="61" spans="1:27" s="241" customFormat="1" ht="16.5" customHeight="1" x14ac:dyDescent="0.2">
      <c r="A61" s="617" t="s">
        <v>639</v>
      </c>
      <c r="B61" s="617" t="s">
        <v>935</v>
      </c>
      <c r="C61" s="593" t="s">
        <v>640</v>
      </c>
      <c r="D61" s="604">
        <v>11147.477999999999</v>
      </c>
      <c r="E61" s="604">
        <v>12334.675999999999</v>
      </c>
      <c r="F61" s="604">
        <v>13234.156000000001</v>
      </c>
      <c r="G61" s="604">
        <v>13213.632</v>
      </c>
      <c r="H61" s="603">
        <v>13743.612999999999</v>
      </c>
      <c r="I61" s="603">
        <v>14097.725</v>
      </c>
      <c r="J61" s="604">
        <v>14500.93</v>
      </c>
      <c r="K61" s="604">
        <v>14960.204</v>
      </c>
      <c r="L61" s="604">
        <v>15519.974</v>
      </c>
      <c r="M61" s="604">
        <v>15714.924999999999</v>
      </c>
      <c r="N61" s="604">
        <f t="shared" ref="N61:R61" si="62">N62+N77</f>
        <v>16402.777999999998</v>
      </c>
      <c r="O61" s="604">
        <f t="shared" si="62"/>
        <v>16350.71</v>
      </c>
      <c r="P61" s="604">
        <f t="shared" si="62"/>
        <v>16598.306</v>
      </c>
      <c r="Q61" s="604">
        <f t="shared" si="62"/>
        <v>17020.080999999998</v>
      </c>
      <c r="R61" s="604">
        <f t="shared" si="62"/>
        <v>17436.848000000002</v>
      </c>
      <c r="S61" s="238"/>
      <c r="T61" s="604">
        <f t="shared" ref="T61:V61" si="63">T62+T77</f>
        <v>16549.498</v>
      </c>
      <c r="U61" s="604">
        <f t="shared" si="63"/>
        <v>16981.967000000001</v>
      </c>
      <c r="V61" s="604">
        <f t="shared" si="63"/>
        <v>17384.317000000003</v>
      </c>
      <c r="W61" s="238"/>
      <c r="X61" s="238"/>
      <c r="Y61" s="238"/>
      <c r="Z61" s="238"/>
      <c r="AA61" s="238"/>
    </row>
    <row r="62" spans="1:27" ht="16.5" customHeight="1" x14ac:dyDescent="0.2">
      <c r="A62" s="612" t="s">
        <v>641</v>
      </c>
      <c r="B62" s="612" t="s">
        <v>936</v>
      </c>
      <c r="C62" s="586" t="s">
        <v>642</v>
      </c>
      <c r="D62" s="604">
        <v>7987.7820000000002</v>
      </c>
      <c r="E62" s="604">
        <v>9049.2180000000008</v>
      </c>
      <c r="F62" s="604">
        <v>9752.2469999999994</v>
      </c>
      <c r="G62" s="604">
        <v>9820.7620000000006</v>
      </c>
      <c r="H62" s="603">
        <v>10242.102999999999</v>
      </c>
      <c r="I62" s="603">
        <v>10433.272000000001</v>
      </c>
      <c r="J62" s="604">
        <v>10670.954</v>
      </c>
      <c r="K62" s="604">
        <v>10967.34</v>
      </c>
      <c r="L62" s="604">
        <v>11281.543</v>
      </c>
      <c r="M62" s="604">
        <v>11468.383</v>
      </c>
      <c r="N62" s="604">
        <v>11935.897999999999</v>
      </c>
      <c r="O62" s="604">
        <v>11877.666999999999</v>
      </c>
      <c r="P62" s="604">
        <v>12004.405000000001</v>
      </c>
      <c r="Q62" s="604">
        <v>12295.455</v>
      </c>
      <c r="R62" s="604">
        <v>12576.557000000001</v>
      </c>
      <c r="S62" s="238"/>
      <c r="T62" s="604">
        <v>12004.405000000001</v>
      </c>
      <c r="U62" s="604">
        <v>12295.455</v>
      </c>
      <c r="V62" s="604">
        <v>12576.557000000001</v>
      </c>
      <c r="W62" s="238"/>
      <c r="X62" s="238"/>
      <c r="Y62" s="238"/>
      <c r="Z62" s="238"/>
      <c r="AA62" s="238"/>
    </row>
    <row r="63" spans="1:27" ht="16.5" customHeight="1" x14ac:dyDescent="0.2">
      <c r="A63" s="613" t="s">
        <v>643</v>
      </c>
      <c r="B63" s="613" t="s">
        <v>937</v>
      </c>
      <c r="C63" s="587"/>
      <c r="D63" s="604">
        <v>70.034000000000006</v>
      </c>
      <c r="E63" s="604">
        <v>56.390999999999998</v>
      </c>
      <c r="F63" s="604">
        <v>104.119</v>
      </c>
      <c r="G63" s="604">
        <v>72.921000000000006</v>
      </c>
      <c r="H63" s="603">
        <v>57.134</v>
      </c>
      <c r="I63" s="603">
        <v>38.021999999999998</v>
      </c>
      <c r="J63" s="604">
        <v>50.674999999999997</v>
      </c>
      <c r="K63" s="604">
        <v>39.174999999999997</v>
      </c>
      <c r="L63" s="604">
        <v>69.275999999999996</v>
      </c>
      <c r="M63" s="604">
        <v>53.323</v>
      </c>
      <c r="N63" s="604">
        <v>58.652999999999999</v>
      </c>
      <c r="O63" s="604">
        <v>56.22</v>
      </c>
      <c r="P63" s="604">
        <v>51.126999999999995</v>
      </c>
      <c r="Q63" s="604">
        <v>68.145999999999987</v>
      </c>
      <c r="R63" s="604">
        <v>67.442999999999998</v>
      </c>
      <c r="S63" s="238"/>
      <c r="T63" s="604">
        <v>51.126999999999995</v>
      </c>
      <c r="U63" s="604">
        <v>68.145999999999987</v>
      </c>
      <c r="V63" s="604">
        <v>67.442999999999998</v>
      </c>
      <c r="W63" s="238"/>
      <c r="X63" s="238"/>
      <c r="Y63" s="238"/>
      <c r="Z63" s="238"/>
      <c r="AA63" s="238"/>
    </row>
    <row r="64" spans="1:27" ht="16.5" customHeight="1" x14ac:dyDescent="0.2">
      <c r="A64" s="613" t="s">
        <v>644</v>
      </c>
      <c r="B64" s="613" t="s">
        <v>938</v>
      </c>
      <c r="C64" s="587"/>
      <c r="D64" s="604">
        <v>246.61600000000001</v>
      </c>
      <c r="E64" s="604">
        <v>316.95999999999998</v>
      </c>
      <c r="F64" s="604">
        <v>338.78500000000003</v>
      </c>
      <c r="G64" s="604">
        <v>381.76400000000001</v>
      </c>
      <c r="H64" s="603">
        <v>428.45800000000003</v>
      </c>
      <c r="I64" s="603">
        <f>399.742+4.453</f>
        <v>404.19499999999999</v>
      </c>
      <c r="J64" s="604">
        <f>381.109+5.313</f>
        <v>386.42199999999997</v>
      </c>
      <c r="K64" s="604">
        <f>415.455+5.459</f>
        <v>420.91399999999999</v>
      </c>
      <c r="L64" s="604">
        <f>474.254+4.84</f>
        <v>479.09399999999999</v>
      </c>
      <c r="M64" s="604">
        <f>565.377+5.342</f>
        <v>570.71899999999994</v>
      </c>
      <c r="N64" s="604">
        <v>613.98400000000004</v>
      </c>
      <c r="O64" s="604">
        <v>610.74099999999999</v>
      </c>
      <c r="P64" s="604">
        <v>653.73400000000004</v>
      </c>
      <c r="Q64" s="604">
        <v>693.88699999999994</v>
      </c>
      <c r="R64" s="604">
        <v>736.77499999999998</v>
      </c>
      <c r="S64" s="238"/>
      <c r="T64" s="604">
        <v>653.73400000000004</v>
      </c>
      <c r="U64" s="604">
        <v>693.88699999999994</v>
      </c>
      <c r="V64" s="604">
        <v>736.77499999999998</v>
      </c>
      <c r="W64" s="238"/>
      <c r="X64" s="238"/>
      <c r="Y64" s="238"/>
      <c r="Z64" s="238"/>
      <c r="AA64" s="238"/>
    </row>
    <row r="65" spans="1:27" ht="16.5" customHeight="1" x14ac:dyDescent="0.2">
      <c r="A65" s="613" t="s">
        <v>645</v>
      </c>
      <c r="B65" s="613" t="s">
        <v>939</v>
      </c>
      <c r="C65" s="587"/>
      <c r="D65" s="604">
        <v>4531.942</v>
      </c>
      <c r="E65" s="604">
        <v>5034.7359999999999</v>
      </c>
      <c r="F65" s="604">
        <v>5244.51</v>
      </c>
      <c r="G65" s="604">
        <v>5390.7460000000001</v>
      </c>
      <c r="H65" s="603">
        <v>5639.5029999999997</v>
      </c>
      <c r="I65" s="603">
        <f>5893.823+157.393+1.815</f>
        <v>6053.0309999999999</v>
      </c>
      <c r="J65" s="604">
        <f>6240.862+173.728+1.904</f>
        <v>6416.4940000000006</v>
      </c>
      <c r="K65" s="604">
        <f>6414.203+182.59</f>
        <v>6596.7930000000006</v>
      </c>
      <c r="L65" s="604">
        <f>6485.127+344.68</f>
        <v>6829.8070000000007</v>
      </c>
      <c r="M65" s="604">
        <f>6765.925+362.527+0.368</f>
        <v>7128.8200000000006</v>
      </c>
      <c r="N65" s="604">
        <v>7432.8459999999995</v>
      </c>
      <c r="O65" s="604">
        <v>7434.62</v>
      </c>
      <c r="P65" s="604">
        <v>7690.5159999999996</v>
      </c>
      <c r="Q65" s="604">
        <v>7963.7420000000002</v>
      </c>
      <c r="R65" s="604">
        <v>8260.7109999999993</v>
      </c>
      <c r="S65" s="238"/>
      <c r="T65" s="604">
        <v>7690.5159999999996</v>
      </c>
      <c r="U65" s="604">
        <v>7963.7420000000002</v>
      </c>
      <c r="V65" s="604">
        <v>8260.7109999999993</v>
      </c>
      <c r="W65" s="238"/>
      <c r="X65" s="238"/>
      <c r="Y65" s="238"/>
      <c r="Z65" s="238"/>
      <c r="AA65" s="238"/>
    </row>
    <row r="66" spans="1:27" ht="16.5" customHeight="1" x14ac:dyDescent="0.2">
      <c r="A66" s="613" t="s">
        <v>646</v>
      </c>
      <c r="B66" s="613" t="s">
        <v>940</v>
      </c>
      <c r="C66" s="587"/>
      <c r="D66" s="604">
        <v>66.120999999999995</v>
      </c>
      <c r="E66" s="604">
        <v>172.43</v>
      </c>
      <c r="F66" s="604">
        <v>150.339</v>
      </c>
      <c r="G66" s="604">
        <v>163.334</v>
      </c>
      <c r="H66" s="604">
        <v>175.773</v>
      </c>
      <c r="I66" s="604">
        <v>174.30799999999999</v>
      </c>
      <c r="J66" s="604">
        <v>154.721</v>
      </c>
      <c r="K66" s="604">
        <v>158.624</v>
      </c>
      <c r="L66" s="604">
        <v>171.63</v>
      </c>
      <c r="M66" s="604">
        <v>167.655</v>
      </c>
      <c r="N66" s="604">
        <v>162.90100000000001</v>
      </c>
      <c r="O66" s="604">
        <v>162.72</v>
      </c>
      <c r="P66" s="604">
        <v>161.72</v>
      </c>
      <c r="Q66" s="604">
        <v>161.505</v>
      </c>
      <c r="R66" s="604">
        <v>164.226</v>
      </c>
      <c r="S66" s="238"/>
      <c r="T66" s="604">
        <v>161.72</v>
      </c>
      <c r="U66" s="604">
        <v>161.505</v>
      </c>
      <c r="V66" s="604">
        <v>164.226</v>
      </c>
      <c r="W66" s="238"/>
      <c r="X66" s="238"/>
      <c r="Y66" s="238"/>
      <c r="Z66" s="238"/>
      <c r="AA66" s="238"/>
    </row>
    <row r="67" spans="1:27" ht="16.5" customHeight="1" x14ac:dyDescent="0.2">
      <c r="A67" s="613" t="s">
        <v>647</v>
      </c>
      <c r="B67" s="613" t="s">
        <v>941</v>
      </c>
      <c r="C67" s="587"/>
      <c r="D67" s="604">
        <f>SUM(D68:D73)</f>
        <v>1086.5720000000001</v>
      </c>
      <c r="E67" s="604">
        <f t="shared" ref="E67:F67" si="64">SUM(E68:E73)</f>
        <v>1211.0309999999999</v>
      </c>
      <c r="F67" s="604">
        <f t="shared" si="64"/>
        <v>1364.961</v>
      </c>
      <c r="G67" s="604">
        <f t="shared" ref="G67:L67" si="65">SUM(G68:G73)</f>
        <v>1376.3489999999999</v>
      </c>
      <c r="H67" s="604">
        <f t="shared" si="65"/>
        <v>1381.508</v>
      </c>
      <c r="I67" s="604">
        <f t="shared" si="65"/>
        <v>1374.616</v>
      </c>
      <c r="J67" s="604">
        <f t="shared" si="65"/>
        <v>1362.7940000000001</v>
      </c>
      <c r="K67" s="604">
        <f t="shared" si="65"/>
        <v>1336.7550000000001</v>
      </c>
      <c r="L67" s="604">
        <f t="shared" si="65"/>
        <v>1320.384</v>
      </c>
      <c r="M67" s="604">
        <f t="shared" ref="M67" si="66">SUM(M68:M73)</f>
        <v>1318.087</v>
      </c>
      <c r="N67" s="604">
        <v>1337.7739999999999</v>
      </c>
      <c r="O67" s="604">
        <v>1307.6009999999999</v>
      </c>
      <c r="P67" s="604">
        <v>1357.37</v>
      </c>
      <c r="Q67" s="604">
        <v>1369.76</v>
      </c>
      <c r="R67" s="604">
        <v>1384.2829999999999</v>
      </c>
      <c r="S67" s="238"/>
      <c r="T67" s="604">
        <v>1357.37</v>
      </c>
      <c r="U67" s="604">
        <v>1369.76</v>
      </c>
      <c r="V67" s="604">
        <v>1384.2829999999999</v>
      </c>
      <c r="W67" s="238"/>
      <c r="X67" s="238"/>
      <c r="Y67" s="238"/>
      <c r="Z67" s="238"/>
      <c r="AA67" s="238"/>
    </row>
    <row r="68" spans="1:27" ht="16.5" customHeight="1" x14ac:dyDescent="0.2">
      <c r="A68" s="614" t="s">
        <v>648</v>
      </c>
      <c r="B68" s="614" t="s">
        <v>942</v>
      </c>
      <c r="C68" s="587"/>
      <c r="D68" s="604">
        <v>268.47500000000002</v>
      </c>
      <c r="E68" s="604">
        <v>308.18900000000002</v>
      </c>
      <c r="F68" s="604">
        <v>318.96699999999998</v>
      </c>
      <c r="G68" s="604">
        <v>315.02</v>
      </c>
      <c r="H68" s="604">
        <v>316.46300000000002</v>
      </c>
      <c r="I68" s="604">
        <v>318.49400000000003</v>
      </c>
      <c r="J68" s="604">
        <v>319.09399999999999</v>
      </c>
      <c r="K68" s="604">
        <v>315.59899999999999</v>
      </c>
      <c r="L68" s="604">
        <v>312.83800000000002</v>
      </c>
      <c r="M68" s="604">
        <v>311.06200000000001</v>
      </c>
      <c r="N68" s="604">
        <v>314.65800000000002</v>
      </c>
      <c r="O68" s="604">
        <v>314.29700000000003</v>
      </c>
      <c r="P68" s="604">
        <v>319.33500000000004</v>
      </c>
      <c r="Q68" s="604">
        <v>325.63</v>
      </c>
      <c r="R68" s="604">
        <v>332.69300000000004</v>
      </c>
      <c r="S68" s="238"/>
      <c r="T68" s="604">
        <v>319.33500000000004</v>
      </c>
      <c r="U68" s="604">
        <v>325.63</v>
      </c>
      <c r="V68" s="604">
        <v>332.69300000000004</v>
      </c>
      <c r="W68" s="238"/>
      <c r="X68" s="238"/>
      <c r="Y68" s="238"/>
      <c r="Z68" s="238"/>
      <c r="AA68" s="238"/>
    </row>
    <row r="69" spans="1:27" ht="16.5" customHeight="1" x14ac:dyDescent="0.2">
      <c r="A69" s="614" t="s">
        <v>649</v>
      </c>
      <c r="B69" s="614" t="s">
        <v>943</v>
      </c>
      <c r="C69" s="587"/>
      <c r="D69" s="604">
        <v>22.914999999999999</v>
      </c>
      <c r="E69" s="604">
        <v>8.7729999999999997</v>
      </c>
      <c r="F69" s="604">
        <v>8.8369999999999997</v>
      </c>
      <c r="G69" s="604">
        <v>8.8719999999999999</v>
      </c>
      <c r="H69" s="604">
        <v>8.8829999999999991</v>
      </c>
      <c r="I69" s="604">
        <v>8.9819999999999993</v>
      </c>
      <c r="J69" s="604">
        <v>35.101999999999997</v>
      </c>
      <c r="K69" s="604">
        <v>41.463000000000001</v>
      </c>
      <c r="L69" s="604">
        <v>43.89</v>
      </c>
      <c r="M69" s="604">
        <v>44.012</v>
      </c>
      <c r="N69" s="604">
        <v>42.084000000000003</v>
      </c>
      <c r="O69" s="604">
        <v>41.925000000000004</v>
      </c>
      <c r="P69" s="604">
        <v>42.047999999999995</v>
      </c>
      <c r="Q69" s="604">
        <v>42.234999999999999</v>
      </c>
      <c r="R69" s="604">
        <v>42.432000000000002</v>
      </c>
      <c r="S69" s="238"/>
      <c r="T69" s="604">
        <v>42.047999999999995</v>
      </c>
      <c r="U69" s="604">
        <v>42.234999999999999</v>
      </c>
      <c r="V69" s="604">
        <v>42.432000000000002</v>
      </c>
      <c r="W69" s="238"/>
      <c r="X69" s="238"/>
      <c r="Y69" s="238"/>
      <c r="Z69" s="238"/>
      <c r="AA69" s="238"/>
    </row>
    <row r="70" spans="1:27" ht="16.5" customHeight="1" x14ac:dyDescent="0.2">
      <c r="A70" s="614" t="s">
        <v>650</v>
      </c>
      <c r="B70" s="614" t="s">
        <v>944</v>
      </c>
      <c r="C70" s="587"/>
      <c r="D70" s="604">
        <v>0</v>
      </c>
      <c r="E70" s="606">
        <v>268.46499999999997</v>
      </c>
      <c r="F70" s="606">
        <v>334.488</v>
      </c>
      <c r="G70" s="606">
        <v>352.24</v>
      </c>
      <c r="H70" s="606">
        <v>343.54300000000001</v>
      </c>
      <c r="I70" s="604">
        <v>349.31599999999997</v>
      </c>
      <c r="J70" s="604">
        <v>356.00200000000001</v>
      </c>
      <c r="K70" s="604">
        <v>355.279</v>
      </c>
      <c r="L70" s="604">
        <v>352.44400000000002</v>
      </c>
      <c r="M70" s="604">
        <v>361.29899999999998</v>
      </c>
      <c r="N70" s="604">
        <v>372.91699999999997</v>
      </c>
      <c r="O70" s="604">
        <v>371.17099999999999</v>
      </c>
      <c r="P70" s="604">
        <v>382.06200000000001</v>
      </c>
      <c r="Q70" s="604">
        <v>390.16900000000004</v>
      </c>
      <c r="R70" s="604">
        <v>399.22300000000001</v>
      </c>
      <c r="S70" s="238"/>
      <c r="T70" s="604">
        <v>382.06200000000001</v>
      </c>
      <c r="U70" s="604">
        <v>390.16900000000004</v>
      </c>
      <c r="V70" s="604">
        <v>399.22300000000001</v>
      </c>
      <c r="W70" s="238"/>
      <c r="X70" s="238"/>
      <c r="Y70" s="238"/>
      <c r="Z70" s="238"/>
      <c r="AA70" s="238"/>
    </row>
    <row r="71" spans="1:27" ht="16.5" customHeight="1" x14ac:dyDescent="0.2">
      <c r="A71" s="614" t="s">
        <v>651</v>
      </c>
      <c r="B71" s="614" t="s">
        <v>945</v>
      </c>
      <c r="C71" s="587"/>
      <c r="D71" s="604">
        <v>247.214</v>
      </c>
      <c r="E71" s="606">
        <v>275.601</v>
      </c>
      <c r="F71" s="606">
        <v>322.87700000000001</v>
      </c>
      <c r="G71" s="606">
        <v>313.17500000000001</v>
      </c>
      <c r="H71" s="606">
        <v>308.98899999999998</v>
      </c>
      <c r="I71" s="604">
        <v>273.64400000000001</v>
      </c>
      <c r="J71" s="604">
        <v>244.45699999999999</v>
      </c>
      <c r="K71" s="604">
        <v>213.18100000000001</v>
      </c>
      <c r="L71" s="604">
        <v>182.68600000000001</v>
      </c>
      <c r="M71" s="604">
        <v>153.786</v>
      </c>
      <c r="N71" s="604">
        <v>151.95500000000001</v>
      </c>
      <c r="O71" s="604">
        <v>144.15</v>
      </c>
      <c r="P71" s="604">
        <v>137.82399999999998</v>
      </c>
      <c r="Q71" s="604">
        <v>132.06</v>
      </c>
      <c r="R71" s="604">
        <v>125.94000000000001</v>
      </c>
      <c r="S71" s="238"/>
      <c r="T71" s="604">
        <v>137.82399999999998</v>
      </c>
      <c r="U71" s="604">
        <v>132.06</v>
      </c>
      <c r="V71" s="604">
        <v>125.94000000000001</v>
      </c>
      <c r="W71" s="238"/>
      <c r="X71" s="238"/>
      <c r="Y71" s="238"/>
      <c r="Z71" s="238"/>
      <c r="AA71" s="238"/>
    </row>
    <row r="72" spans="1:27" ht="16.5" customHeight="1" x14ac:dyDescent="0.2">
      <c r="A72" s="614" t="s">
        <v>652</v>
      </c>
      <c r="B72" s="614" t="s">
        <v>946</v>
      </c>
      <c r="C72" s="587"/>
      <c r="D72" s="604">
        <v>177.84200000000001</v>
      </c>
      <c r="E72" s="606">
        <v>184.589</v>
      </c>
      <c r="F72" s="606">
        <v>207.06299999999999</v>
      </c>
      <c r="G72" s="606">
        <v>210.56700000000001</v>
      </c>
      <c r="H72" s="606">
        <v>225.48699999999999</v>
      </c>
      <c r="I72" s="604">
        <v>232.52099999999999</v>
      </c>
      <c r="J72" s="604">
        <v>235.774</v>
      </c>
      <c r="K72" s="604">
        <v>231.63499999999999</v>
      </c>
      <c r="L72" s="604">
        <v>226.34299999999999</v>
      </c>
      <c r="M72" s="604">
        <v>243.81100000000001</v>
      </c>
      <c r="N72" s="604">
        <v>282.08499999999998</v>
      </c>
      <c r="O72" s="604">
        <v>263.54399999999998</v>
      </c>
      <c r="P72" s="604">
        <v>306.05</v>
      </c>
      <c r="Q72" s="604">
        <v>311.02999999999997</v>
      </c>
      <c r="R72" s="604">
        <v>316.226</v>
      </c>
      <c r="S72" s="238"/>
      <c r="T72" s="604">
        <v>306.05</v>
      </c>
      <c r="U72" s="604">
        <v>311.02999999999997</v>
      </c>
      <c r="V72" s="604">
        <v>316.226</v>
      </c>
      <c r="W72" s="238"/>
      <c r="X72" s="238"/>
      <c r="Y72" s="238"/>
      <c r="Z72" s="238"/>
      <c r="AA72" s="238"/>
    </row>
    <row r="73" spans="1:27" ht="16.5" customHeight="1" x14ac:dyDescent="0.2">
      <c r="A73" s="614" t="s">
        <v>93</v>
      </c>
      <c r="B73" s="614" t="s">
        <v>386</v>
      </c>
      <c r="C73" s="587"/>
      <c r="D73" s="604">
        <v>370.12599999999998</v>
      </c>
      <c r="E73" s="606">
        <v>165.41399999999999</v>
      </c>
      <c r="F73" s="606">
        <v>172.72900000000001</v>
      </c>
      <c r="G73" s="606">
        <v>176.47499999999999</v>
      </c>
      <c r="H73" s="606">
        <v>178.143</v>
      </c>
      <c r="I73" s="604">
        <v>191.65899999999999</v>
      </c>
      <c r="J73" s="604">
        <v>172.36500000000001</v>
      </c>
      <c r="K73" s="604">
        <v>179.59800000000001</v>
      </c>
      <c r="L73" s="604">
        <v>202.18299999999999</v>
      </c>
      <c r="M73" s="604">
        <v>204.11699999999999</v>
      </c>
      <c r="N73" s="604">
        <f t="shared" ref="N73" si="67">N67-SUM(N68:N72)</f>
        <v>174.07499999999982</v>
      </c>
      <c r="O73" s="604">
        <v>172.5139999999999</v>
      </c>
      <c r="P73" s="604">
        <f t="shared" ref="P73:R73" si="68">P67-SUM(P68:P72)</f>
        <v>170.05099999999993</v>
      </c>
      <c r="Q73" s="604">
        <f t="shared" si="68"/>
        <v>168.63599999999997</v>
      </c>
      <c r="R73" s="604">
        <f t="shared" si="68"/>
        <v>167.76899999999978</v>
      </c>
      <c r="S73" s="238"/>
      <c r="T73" s="604">
        <f t="shared" ref="T73:V73" si="69">T67-SUM(T68:T72)</f>
        <v>170.05099999999993</v>
      </c>
      <c r="U73" s="604">
        <f t="shared" si="69"/>
        <v>168.63599999999997</v>
      </c>
      <c r="V73" s="604">
        <f t="shared" si="69"/>
        <v>167.76899999999978</v>
      </c>
      <c r="W73" s="238"/>
      <c r="X73" s="238"/>
      <c r="Y73" s="238"/>
      <c r="Z73" s="238"/>
      <c r="AA73" s="238"/>
    </row>
    <row r="74" spans="1:27" ht="16.5" customHeight="1" x14ac:dyDescent="0.2">
      <c r="A74" s="613" t="s">
        <v>653</v>
      </c>
      <c r="B74" s="613" t="s">
        <v>992</v>
      </c>
      <c r="C74" s="587" t="s">
        <v>198</v>
      </c>
      <c r="D74" s="604">
        <f>1208.545</f>
        <v>1208.5450000000001</v>
      </c>
      <c r="E74" s="604">
        <f>1399.85</f>
        <v>1399.85</v>
      </c>
      <c r="F74" s="604">
        <f>1564.23</f>
        <v>1564.23</v>
      </c>
      <c r="G74" s="604">
        <f>1446.947</f>
        <v>1446.9469999999999</v>
      </c>
      <c r="H74" s="604">
        <f>1599.291</f>
        <v>1599.2909999999999</v>
      </c>
      <c r="I74" s="604">
        <f>1541.466</f>
        <v>1541.4659999999999</v>
      </c>
      <c r="J74" s="604">
        <v>1447.056</v>
      </c>
      <c r="K74" s="604">
        <f>1582.23+0.002</f>
        <v>1582.232</v>
      </c>
      <c r="L74" s="604">
        <v>1626.5160000000001</v>
      </c>
      <c r="M74" s="604">
        <f>1546.139+0.02</f>
        <v>1546.1589999999999</v>
      </c>
      <c r="N74" s="604">
        <v>1646.7940000000001</v>
      </c>
      <c r="O74" s="604">
        <v>1627.277</v>
      </c>
      <c r="P74" s="604">
        <v>1393.866</v>
      </c>
      <c r="Q74" s="604">
        <v>1327.2750000000001</v>
      </c>
      <c r="R74" s="604">
        <v>1238.9090000000001</v>
      </c>
      <c r="S74" s="238"/>
      <c r="T74" s="604">
        <v>1393.866</v>
      </c>
      <c r="U74" s="604">
        <v>1327.2750000000001</v>
      </c>
      <c r="V74" s="604">
        <v>1238.9090000000001</v>
      </c>
      <c r="W74" s="238"/>
      <c r="X74" s="238"/>
      <c r="Y74" s="238"/>
      <c r="Z74" s="238"/>
      <c r="AA74" s="238"/>
    </row>
    <row r="75" spans="1:27" ht="16.5" customHeight="1" x14ac:dyDescent="0.2">
      <c r="A75" s="615" t="s">
        <v>654</v>
      </c>
      <c r="B75" s="615" t="s">
        <v>947</v>
      </c>
      <c r="C75" s="587"/>
      <c r="D75" s="604">
        <v>211.08799999999999</v>
      </c>
      <c r="E75" s="604">
        <v>235.84200000000001</v>
      </c>
      <c r="F75" s="604">
        <v>221.084</v>
      </c>
      <c r="G75" s="604">
        <v>237.16800000000001</v>
      </c>
      <c r="H75" s="604">
        <v>238.774</v>
      </c>
      <c r="I75" s="604">
        <v>262.14800000000002</v>
      </c>
      <c r="J75" s="604">
        <v>232.90899999999999</v>
      </c>
      <c r="K75" s="604">
        <v>227.756</v>
      </c>
      <c r="L75" s="604">
        <v>231.49600000000001</v>
      </c>
      <c r="M75" s="604">
        <v>242.91499999999999</v>
      </c>
      <c r="N75" s="604">
        <v>304.38099999999997</v>
      </c>
      <c r="O75" s="604">
        <v>284.86399999999998</v>
      </c>
      <c r="P75" s="604">
        <v>300.25200000000001</v>
      </c>
      <c r="Q75" s="604">
        <v>316.92900000000003</v>
      </c>
      <c r="R75" s="604">
        <v>334.96500000000003</v>
      </c>
      <c r="S75" s="238"/>
      <c r="T75" s="604">
        <v>300.25200000000001</v>
      </c>
      <c r="U75" s="604">
        <v>316.92900000000003</v>
      </c>
      <c r="V75" s="604">
        <v>334.96500000000003</v>
      </c>
      <c r="W75" s="238"/>
      <c r="X75" s="238"/>
      <c r="Y75" s="238"/>
      <c r="Z75" s="238"/>
      <c r="AA75" s="238"/>
    </row>
    <row r="76" spans="1:27" ht="16.5" customHeight="1" x14ac:dyDescent="0.2">
      <c r="A76" s="615" t="s">
        <v>655</v>
      </c>
      <c r="B76" s="615" t="s">
        <v>948</v>
      </c>
      <c r="C76" s="587"/>
      <c r="D76" s="604">
        <v>997.45699999999999</v>
      </c>
      <c r="E76" s="604">
        <v>1162.3820000000001</v>
      </c>
      <c r="F76" s="604">
        <v>1341.2249999999999</v>
      </c>
      <c r="G76" s="604">
        <v>1207.549</v>
      </c>
      <c r="H76" s="604">
        <v>1358.204</v>
      </c>
      <c r="I76" s="604">
        <v>1276.828</v>
      </c>
      <c r="J76" s="604">
        <v>1211.5350000000001</v>
      </c>
      <c r="K76" s="604">
        <v>1351.6279999999999</v>
      </c>
      <c r="L76" s="604">
        <v>1392.1</v>
      </c>
      <c r="M76" s="604">
        <v>1300.135</v>
      </c>
      <c r="N76" s="604">
        <v>1219.4469999999999</v>
      </c>
      <c r="O76" s="604">
        <v>1219.4469999999999</v>
      </c>
      <c r="P76" s="604">
        <v>969.72699999999998</v>
      </c>
      <c r="Q76" s="604">
        <v>885.95799999999997</v>
      </c>
      <c r="R76" s="604">
        <v>779.55599999999993</v>
      </c>
      <c r="S76" s="238"/>
      <c r="T76" s="604">
        <v>969.72699999999998</v>
      </c>
      <c r="U76" s="604">
        <v>885.95799999999997</v>
      </c>
      <c r="V76" s="604">
        <v>779.55599999999993</v>
      </c>
      <c r="W76" s="238"/>
      <c r="X76" s="238"/>
      <c r="Y76" s="238"/>
      <c r="Z76" s="238"/>
      <c r="AA76" s="238"/>
    </row>
    <row r="77" spans="1:27" ht="16.5" customHeight="1" x14ac:dyDescent="0.2">
      <c r="A77" s="616" t="s">
        <v>656</v>
      </c>
      <c r="B77" s="616" t="s">
        <v>949</v>
      </c>
      <c r="C77" s="586" t="s">
        <v>908</v>
      </c>
      <c r="D77" s="603">
        <v>3159.6959999999999</v>
      </c>
      <c r="E77" s="603">
        <v>3285.4580000000001</v>
      </c>
      <c r="F77" s="603">
        <v>3481.9090000000001</v>
      </c>
      <c r="G77" s="603">
        <v>3392.87</v>
      </c>
      <c r="H77" s="604">
        <v>3501.51</v>
      </c>
      <c r="I77" s="604">
        <v>3664.453</v>
      </c>
      <c r="J77" s="604">
        <v>3829.9760000000001</v>
      </c>
      <c r="K77" s="604">
        <v>3992.864</v>
      </c>
      <c r="L77" s="604">
        <v>4238.4309999999996</v>
      </c>
      <c r="M77" s="604">
        <v>4246.5420000000004</v>
      </c>
      <c r="N77" s="604">
        <v>4466.88</v>
      </c>
      <c r="O77" s="604">
        <v>4473.0429999999997</v>
      </c>
      <c r="P77" s="604">
        <v>4593.9009999999998</v>
      </c>
      <c r="Q77" s="604">
        <v>4724.6260000000002</v>
      </c>
      <c r="R77" s="604">
        <v>4860.2910000000002</v>
      </c>
      <c r="S77" s="238"/>
      <c r="T77" s="604">
        <v>4545.0929999999998</v>
      </c>
      <c r="U77" s="604">
        <v>4686.5120000000006</v>
      </c>
      <c r="V77" s="604">
        <v>4807.76</v>
      </c>
      <c r="W77" s="238"/>
      <c r="X77" s="238"/>
      <c r="Y77" s="238"/>
      <c r="Z77" s="238"/>
      <c r="AA77" s="238"/>
    </row>
    <row r="78" spans="1:27" s="241" customFormat="1" ht="16.5" customHeight="1" x14ac:dyDescent="0.2">
      <c r="A78" s="617" t="s">
        <v>612</v>
      </c>
      <c r="B78" s="617" t="s">
        <v>950</v>
      </c>
      <c r="C78" s="593" t="s">
        <v>613</v>
      </c>
      <c r="D78" s="603">
        <v>985.37699999999995</v>
      </c>
      <c r="E78" s="603">
        <v>1140.5940000000001</v>
      </c>
      <c r="F78" s="603">
        <v>1053.2</v>
      </c>
      <c r="G78" s="603">
        <v>965.41200000000003</v>
      </c>
      <c r="H78" s="603">
        <v>1053.2090000000001</v>
      </c>
      <c r="I78" s="603">
        <v>1205.778</v>
      </c>
      <c r="J78" s="604">
        <f>1190.559-1190.559+1263.434</f>
        <v>1263.434</v>
      </c>
      <c r="K78" s="604">
        <v>1497.921</v>
      </c>
      <c r="L78" s="604">
        <v>1374.1410000000001</v>
      </c>
      <c r="M78" s="604">
        <v>1458.6849999999999</v>
      </c>
      <c r="N78" s="604">
        <f>1866.334-75.786</f>
        <v>1790.548</v>
      </c>
      <c r="O78" s="604">
        <v>1705.3050000000001</v>
      </c>
      <c r="P78" s="604">
        <v>1935.3950000000004</v>
      </c>
      <c r="Q78" s="604">
        <v>2375.2289999999998</v>
      </c>
      <c r="R78" s="604">
        <v>2620.3160000000003</v>
      </c>
      <c r="S78" s="238"/>
      <c r="T78" s="604">
        <v>1845.951839999994</v>
      </c>
      <c r="U78" s="604">
        <v>2320.2537606800011</v>
      </c>
      <c r="V78" s="604">
        <v>2339.6235401756385</v>
      </c>
      <c r="W78" s="238"/>
      <c r="X78" s="238"/>
      <c r="Y78" s="238"/>
      <c r="Z78" s="238"/>
      <c r="AA78" s="238"/>
    </row>
    <row r="79" spans="1:27" s="241" customFormat="1" ht="16.5" customHeight="1" x14ac:dyDescent="0.2">
      <c r="A79" s="612" t="s">
        <v>657</v>
      </c>
      <c r="B79" s="612" t="s">
        <v>959</v>
      </c>
      <c r="C79" s="587" t="s">
        <v>198</v>
      </c>
      <c r="D79" s="603">
        <v>519.57100000000003</v>
      </c>
      <c r="E79" s="603">
        <v>612.11599999999999</v>
      </c>
      <c r="F79" s="603">
        <v>520.27</v>
      </c>
      <c r="G79" s="603">
        <v>582.13900000000001</v>
      </c>
      <c r="H79" s="604">
        <f>620.761+19.55</f>
        <v>640.31099999999992</v>
      </c>
      <c r="I79" s="604">
        <f>732.963-19.554</f>
        <v>713.40899999999999</v>
      </c>
      <c r="J79" s="604">
        <f>683.409-87.444</f>
        <v>595.96500000000003</v>
      </c>
      <c r="K79" s="604">
        <f>599.458+38.025</f>
        <v>637.48299999999995</v>
      </c>
      <c r="L79" s="604">
        <f>634.796+49.4</f>
        <v>684.19600000000003</v>
      </c>
      <c r="M79" s="604">
        <f>634.172+32.213</f>
        <v>666.38499999999999</v>
      </c>
      <c r="N79" s="604">
        <v>768.12199999999996</v>
      </c>
      <c r="O79" s="604">
        <v>765.33499999999992</v>
      </c>
      <c r="P79" s="604">
        <v>845.14</v>
      </c>
      <c r="Q79" s="604">
        <v>875.06200000000001</v>
      </c>
      <c r="R79" s="604">
        <v>875.06200000000001</v>
      </c>
      <c r="S79" s="238"/>
      <c r="T79" s="604">
        <v>845.14</v>
      </c>
      <c r="U79" s="604">
        <v>875.06200000000001</v>
      </c>
      <c r="V79" s="604">
        <v>875.06200000000001</v>
      </c>
      <c r="W79" s="238"/>
      <c r="X79" s="238"/>
      <c r="Y79" s="238"/>
      <c r="Z79" s="238"/>
      <c r="AA79" s="238"/>
    </row>
    <row r="80" spans="1:27" s="241" customFormat="1" ht="16.5" customHeight="1" x14ac:dyDescent="0.2">
      <c r="A80" s="612" t="s">
        <v>658</v>
      </c>
      <c r="B80" s="612" t="s">
        <v>951</v>
      </c>
      <c r="C80" s="587"/>
      <c r="D80" s="603">
        <v>49.18</v>
      </c>
      <c r="E80" s="603">
        <v>55.18</v>
      </c>
      <c r="F80" s="603">
        <v>44.145000000000003</v>
      </c>
      <c r="G80" s="603">
        <v>41.97</v>
      </c>
      <c r="H80" s="604">
        <v>44.695</v>
      </c>
      <c r="I80" s="604">
        <v>46.707000000000001</v>
      </c>
      <c r="J80" s="604">
        <v>52.192999999999998</v>
      </c>
      <c r="K80" s="604">
        <f>56.941+0.029</f>
        <v>56.970000000000006</v>
      </c>
      <c r="L80" s="604">
        <v>61.631</v>
      </c>
      <c r="M80" s="604">
        <f>63.419+0.017</f>
        <v>63.436</v>
      </c>
      <c r="N80" s="604">
        <v>64.584999999999994</v>
      </c>
      <c r="O80" s="604">
        <v>65.051999999999992</v>
      </c>
      <c r="P80" s="604">
        <v>68.554000000000002</v>
      </c>
      <c r="Q80" s="604">
        <v>74.120999999999995</v>
      </c>
      <c r="R80" s="604">
        <v>79.899999999999991</v>
      </c>
      <c r="S80" s="238"/>
      <c r="T80" s="604">
        <v>68.554000000000002</v>
      </c>
      <c r="U80" s="604">
        <v>74.120999999999995</v>
      </c>
      <c r="V80" s="604">
        <v>79.899999999999991</v>
      </c>
      <c r="W80" s="238"/>
      <c r="X80" s="238"/>
      <c r="Y80" s="238"/>
      <c r="Z80" s="238"/>
      <c r="AA80" s="238"/>
    </row>
    <row r="81" spans="1:27" s="241" customFormat="1" ht="16.5" customHeight="1" x14ac:dyDescent="0.2">
      <c r="A81" s="621" t="s">
        <v>659</v>
      </c>
      <c r="B81" s="621" t="s">
        <v>952</v>
      </c>
      <c r="C81" s="585" t="s">
        <v>911</v>
      </c>
      <c r="D81" s="609">
        <f>D82+D86</f>
        <v>2862.7339999999999</v>
      </c>
      <c r="E81" s="609">
        <f t="shared" ref="E81:M81" si="70">E82+E86</f>
        <v>3677.047</v>
      </c>
      <c r="F81" s="609">
        <f t="shared" si="70"/>
        <v>3044.8850000000002</v>
      </c>
      <c r="G81" s="609">
        <f t="shared" si="70"/>
        <v>3171.741</v>
      </c>
      <c r="H81" s="602">
        <f t="shared" si="70"/>
        <v>2892.5819999999999</v>
      </c>
      <c r="I81" s="602">
        <f t="shared" si="70"/>
        <v>2932.5709999999999</v>
      </c>
      <c r="J81" s="602">
        <f t="shared" si="70"/>
        <v>3227.069</v>
      </c>
      <c r="K81" s="602">
        <f t="shared" si="70"/>
        <v>5614.9900000000007</v>
      </c>
      <c r="L81" s="602">
        <f t="shared" si="70"/>
        <v>3149.9189999999999</v>
      </c>
      <c r="M81" s="602">
        <f t="shared" si="70"/>
        <v>2944.056</v>
      </c>
      <c r="N81" s="602">
        <f t="shared" ref="N81:Q81" si="71">N82+N86</f>
        <v>2367.6430000000005</v>
      </c>
      <c r="O81" s="602">
        <f t="shared" si="71"/>
        <v>2472.8500000000004</v>
      </c>
      <c r="P81" s="602">
        <f t="shared" si="71"/>
        <v>2800.3390000000004</v>
      </c>
      <c r="Q81" s="602">
        <f t="shared" si="71"/>
        <v>3316.2039999999997</v>
      </c>
      <c r="R81" s="602">
        <f t="shared" ref="R81" si="72">R82+R86</f>
        <v>3550.0669999999996</v>
      </c>
      <c r="S81" s="238"/>
      <c r="T81" s="602">
        <f t="shared" ref="T81:U81" si="73">T82+T86</f>
        <v>2330.7907080000009</v>
      </c>
      <c r="U81" s="602">
        <f t="shared" si="73"/>
        <v>2914.5937181079994</v>
      </c>
      <c r="V81" s="602">
        <f t="shared" ref="V81" si="74">V82+V86</f>
        <v>2946.3869045771835</v>
      </c>
      <c r="W81" s="238"/>
      <c r="X81" s="238"/>
      <c r="Y81" s="238"/>
      <c r="Z81" s="238"/>
      <c r="AA81" s="238"/>
    </row>
    <row r="82" spans="1:27" ht="16.5" customHeight="1" x14ac:dyDescent="0.2">
      <c r="A82" s="620" t="s">
        <v>660</v>
      </c>
      <c r="B82" s="620" t="s">
        <v>953</v>
      </c>
      <c r="C82" s="586" t="s">
        <v>910</v>
      </c>
      <c r="D82" s="603">
        <f>SUM(D83:D85)</f>
        <v>2231.2579999999998</v>
      </c>
      <c r="E82" s="603">
        <f t="shared" ref="E82:F82" si="75">SUM(E83:E85)</f>
        <v>2569.4960000000001</v>
      </c>
      <c r="F82" s="603">
        <f t="shared" si="75"/>
        <v>2577.0230000000001</v>
      </c>
      <c r="G82" s="603">
        <f>SUM(G83:G85)</f>
        <v>2629.203</v>
      </c>
      <c r="H82" s="603">
        <v>2489.748</v>
      </c>
      <c r="I82" s="603">
        <v>2552.8429999999998</v>
      </c>
      <c r="J82" s="604">
        <v>2841.59</v>
      </c>
      <c r="K82" s="604">
        <v>5055.8500000000004</v>
      </c>
      <c r="L82" s="604">
        <v>2806.38</v>
      </c>
      <c r="M82" s="604">
        <v>2650.223</v>
      </c>
      <c r="N82" s="604">
        <f t="shared" ref="N82" si="76">N83+N84+N85</f>
        <v>2138.6780000000003</v>
      </c>
      <c r="O82" s="604">
        <v>2227.2030000000004</v>
      </c>
      <c r="P82" s="604">
        <f t="shared" ref="P82:Q82" si="77">P83+P84+P85</f>
        <v>2595.6060000000002</v>
      </c>
      <c r="Q82" s="604">
        <f t="shared" si="77"/>
        <v>3095.5579999999995</v>
      </c>
      <c r="R82" s="604">
        <f t="shared" ref="R82" si="78">R83+R84+R85</f>
        <v>3339.3439999999996</v>
      </c>
      <c r="S82" s="238"/>
      <c r="T82" s="604">
        <f t="shared" ref="T82:U82" si="79">T83+T84+T85</f>
        <v>2127.1305460000008</v>
      </c>
      <c r="U82" s="604">
        <f t="shared" si="79"/>
        <v>2704.1875968459995</v>
      </c>
      <c r="V82" s="604">
        <f t="shared" ref="V82" si="80">V83+V84+V85</f>
        <v>2729.0960814946075</v>
      </c>
      <c r="W82" s="238"/>
      <c r="X82" s="238"/>
      <c r="Y82" s="238"/>
      <c r="Z82" s="238"/>
      <c r="AA82" s="238"/>
    </row>
    <row r="83" spans="1:27" ht="16.5" customHeight="1" x14ac:dyDescent="0.2">
      <c r="A83" s="612" t="s">
        <v>661</v>
      </c>
      <c r="B83" s="612" t="s">
        <v>954</v>
      </c>
      <c r="C83" s="586" t="s">
        <v>739</v>
      </c>
      <c r="D83" s="603">
        <v>2307.6439999999998</v>
      </c>
      <c r="E83" s="603">
        <v>2486.96</v>
      </c>
      <c r="F83" s="603">
        <v>2441.0880000000002</v>
      </c>
      <c r="G83" s="603">
        <v>2691.759</v>
      </c>
      <c r="H83" s="603">
        <v>2435.8110000000001</v>
      </c>
      <c r="I83" s="603">
        <v>2466.08</v>
      </c>
      <c r="J83" s="604">
        <v>3023.41</v>
      </c>
      <c r="K83" s="604">
        <v>4950.6450000000004</v>
      </c>
      <c r="L83" s="604">
        <v>2599.5709999999999</v>
      </c>
      <c r="M83" s="604">
        <v>2696.1590000000001</v>
      </c>
      <c r="N83" s="604">
        <v>2163.277</v>
      </c>
      <c r="O83" s="604">
        <v>2254.3360000000002</v>
      </c>
      <c r="P83" s="604">
        <v>2605.7750000000001</v>
      </c>
      <c r="Q83" s="604">
        <v>2978.9949999999999</v>
      </c>
      <c r="R83" s="604">
        <v>3222.7809999999999</v>
      </c>
      <c r="S83" s="238"/>
      <c r="T83" s="604">
        <v>2149.3365460000005</v>
      </c>
      <c r="U83" s="604">
        <v>2587.6245968459998</v>
      </c>
      <c r="V83" s="604">
        <v>2612.5330814946078</v>
      </c>
      <c r="W83" s="238"/>
      <c r="X83" s="238"/>
      <c r="Y83" s="238"/>
      <c r="Z83" s="238"/>
      <c r="AA83" s="238"/>
    </row>
    <row r="84" spans="1:27" ht="16.5" customHeight="1" x14ac:dyDescent="0.2">
      <c r="A84" s="612" t="s">
        <v>662</v>
      </c>
      <c r="B84" s="612" t="s">
        <v>955</v>
      </c>
      <c r="C84" s="586" t="s">
        <v>909</v>
      </c>
      <c r="D84" s="603">
        <v>109.414</v>
      </c>
      <c r="E84" s="604">
        <v>52.887</v>
      </c>
      <c r="F84" s="604">
        <v>94.768000000000001</v>
      </c>
      <c r="G84" s="604">
        <v>2.2530000000000001</v>
      </c>
      <c r="H84" s="603">
        <v>19.579999999999998</v>
      </c>
      <c r="I84" s="603">
        <v>60.564</v>
      </c>
      <c r="J84" s="604">
        <v>47.12</v>
      </c>
      <c r="K84" s="604">
        <v>6.43</v>
      </c>
      <c r="L84" s="604">
        <v>21.318999999999999</v>
      </c>
      <c r="M84" s="604">
        <v>92.677000000000007</v>
      </c>
      <c r="N84" s="604">
        <v>13.821999999999999</v>
      </c>
      <c r="O84" s="604">
        <v>13.821999999999999</v>
      </c>
      <c r="P84" s="604">
        <v>31.001000000000001</v>
      </c>
      <c r="Q84" s="604">
        <v>163.602</v>
      </c>
      <c r="R84" s="604">
        <v>163.602</v>
      </c>
      <c r="S84" s="238"/>
      <c r="T84" s="604">
        <v>31.001000000000001</v>
      </c>
      <c r="U84" s="604">
        <v>163.602</v>
      </c>
      <c r="V84" s="604">
        <v>163.602</v>
      </c>
      <c r="W84" s="238"/>
      <c r="X84" s="238"/>
      <c r="Y84" s="238"/>
      <c r="Z84" s="238"/>
      <c r="AA84" s="238"/>
    </row>
    <row r="85" spans="1:27" ht="16.5" customHeight="1" x14ac:dyDescent="0.2">
      <c r="A85" s="612" t="s">
        <v>663</v>
      </c>
      <c r="B85" s="612" t="s">
        <v>956</v>
      </c>
      <c r="C85" s="586" t="s">
        <v>519</v>
      </c>
      <c r="D85" s="604">
        <v>-185.8</v>
      </c>
      <c r="E85" s="604">
        <v>29.649000000000001</v>
      </c>
      <c r="F85" s="604">
        <v>41.167000000000002</v>
      </c>
      <c r="G85" s="604">
        <v>-64.808999999999997</v>
      </c>
      <c r="H85" s="604">
        <v>34.356999999999999</v>
      </c>
      <c r="I85" s="604">
        <v>26.199000000000002</v>
      </c>
      <c r="J85" s="604">
        <v>-228.94</v>
      </c>
      <c r="K85" s="604">
        <v>98.775000000000006</v>
      </c>
      <c r="L85" s="604">
        <v>185.49</v>
      </c>
      <c r="M85" s="604">
        <v>46.741</v>
      </c>
      <c r="N85" s="604">
        <v>-38.420999999999999</v>
      </c>
      <c r="O85" s="604">
        <v>-40.954999999999998</v>
      </c>
      <c r="P85" s="604">
        <v>-41.17</v>
      </c>
      <c r="Q85" s="604">
        <v>-47.039000000000001</v>
      </c>
      <c r="R85" s="604">
        <v>-47.039000000000001</v>
      </c>
      <c r="S85" s="238"/>
      <c r="T85" s="604">
        <v>-53.207000000000001</v>
      </c>
      <c r="U85" s="604">
        <v>-47.039000000000001</v>
      </c>
      <c r="V85" s="604">
        <v>-47.039000000000001</v>
      </c>
      <c r="W85" s="238"/>
      <c r="X85" s="238"/>
      <c r="Y85" s="238"/>
      <c r="Z85" s="238"/>
      <c r="AA85" s="238"/>
    </row>
    <row r="86" spans="1:27" ht="16.5" customHeight="1" x14ac:dyDescent="0.2">
      <c r="A86" s="620" t="s">
        <v>614</v>
      </c>
      <c r="B86" s="620" t="s">
        <v>957</v>
      </c>
      <c r="C86" s="586" t="s">
        <v>615</v>
      </c>
      <c r="D86" s="604">
        <f t="shared" ref="D86:L86" si="81">D87</f>
        <v>631.476</v>
      </c>
      <c r="E86" s="604">
        <f t="shared" si="81"/>
        <v>1107.5509999999999</v>
      </c>
      <c r="F86" s="604">
        <f t="shared" si="81"/>
        <v>467.86200000000002</v>
      </c>
      <c r="G86" s="604">
        <f t="shared" si="81"/>
        <v>542.53800000000001</v>
      </c>
      <c r="H86" s="604">
        <f t="shared" si="81"/>
        <v>402.834</v>
      </c>
      <c r="I86" s="604">
        <f t="shared" si="81"/>
        <v>379.72800000000001</v>
      </c>
      <c r="J86" s="604">
        <f t="shared" si="81"/>
        <v>385.47899999999998</v>
      </c>
      <c r="K86" s="604">
        <f t="shared" si="81"/>
        <v>559.14</v>
      </c>
      <c r="L86" s="604">
        <f t="shared" si="81"/>
        <v>343.53899999999999</v>
      </c>
      <c r="M86" s="604">
        <v>293.83300000000003</v>
      </c>
      <c r="N86" s="604">
        <f t="shared" ref="N86" si="82">N87</f>
        <v>228.965</v>
      </c>
      <c r="O86" s="604">
        <v>245.64699999999999</v>
      </c>
      <c r="P86" s="604">
        <f t="shared" ref="P86:R86" si="83">P87</f>
        <v>204.73299999999998</v>
      </c>
      <c r="Q86" s="604">
        <f t="shared" si="83"/>
        <v>220.64600000000002</v>
      </c>
      <c r="R86" s="604">
        <f t="shared" si="83"/>
        <v>210.72300000000001</v>
      </c>
      <c r="S86" s="238"/>
      <c r="T86" s="604">
        <f t="shared" ref="T86:V86" si="84">T87</f>
        <v>203.66016199999999</v>
      </c>
      <c r="U86" s="604">
        <f t="shared" si="84"/>
        <v>210.40612126200008</v>
      </c>
      <c r="V86" s="604">
        <f t="shared" si="84"/>
        <v>217.29082308257594</v>
      </c>
      <c r="W86" s="238"/>
      <c r="X86" s="238"/>
      <c r="Y86" s="238"/>
      <c r="Z86" s="238"/>
      <c r="AA86" s="238"/>
    </row>
    <row r="87" spans="1:27" ht="16.5" customHeight="1" x14ac:dyDescent="0.2">
      <c r="A87" s="612" t="s">
        <v>664</v>
      </c>
      <c r="B87" s="612" t="s">
        <v>958</v>
      </c>
      <c r="C87" s="595" t="s">
        <v>665</v>
      </c>
      <c r="D87" s="604">
        <v>631.476</v>
      </c>
      <c r="E87" s="606">
        <v>1107.5509999999999</v>
      </c>
      <c r="F87" s="606">
        <v>467.86200000000002</v>
      </c>
      <c r="G87" s="606">
        <v>542.53800000000001</v>
      </c>
      <c r="H87" s="606">
        <v>402.834</v>
      </c>
      <c r="I87" s="604">
        <v>379.72800000000001</v>
      </c>
      <c r="J87" s="604">
        <v>385.47899999999998</v>
      </c>
      <c r="K87" s="604">
        <v>559.14</v>
      </c>
      <c r="L87" s="604">
        <v>343.53899999999999</v>
      </c>
      <c r="M87" s="604">
        <v>293.83300000000003</v>
      </c>
      <c r="N87" s="604">
        <v>228.965</v>
      </c>
      <c r="O87" s="604">
        <v>245.64699999999999</v>
      </c>
      <c r="P87" s="604">
        <v>204.73299999999998</v>
      </c>
      <c r="Q87" s="604">
        <v>220.64600000000002</v>
      </c>
      <c r="R87" s="604">
        <v>210.72300000000001</v>
      </c>
      <c r="S87" s="238"/>
      <c r="T87" s="604">
        <v>203.66016199999999</v>
      </c>
      <c r="U87" s="604">
        <v>210.40612126200008</v>
      </c>
      <c r="V87" s="604">
        <v>217.29082308257594</v>
      </c>
      <c r="W87" s="238"/>
      <c r="X87" s="238"/>
      <c r="Y87" s="238"/>
      <c r="Z87" s="238"/>
      <c r="AA87" s="238"/>
    </row>
    <row r="88" spans="1:27" ht="16.5" customHeight="1" x14ac:dyDescent="0.2">
      <c r="A88" s="578" t="s">
        <v>666</v>
      </c>
      <c r="B88" s="578" t="s">
        <v>916</v>
      </c>
      <c r="C88" s="596" t="s">
        <v>913</v>
      </c>
      <c r="D88" s="580">
        <f t="shared" ref="D88:J88" si="85">D7-D42</f>
        <v>-1662.8050000000003</v>
      </c>
      <c r="E88" s="580">
        <f t="shared" si="85"/>
        <v>-4996.4929999999986</v>
      </c>
      <c r="F88" s="580">
        <f t="shared" si="85"/>
        <v>-5058.107</v>
      </c>
      <c r="G88" s="580">
        <f t="shared" si="85"/>
        <v>-3020.6909999999989</v>
      </c>
      <c r="H88" s="580">
        <f t="shared" si="85"/>
        <v>-3158.8849999999984</v>
      </c>
      <c r="I88" s="610">
        <f>I7-I42</f>
        <v>-2017.4120000000003</v>
      </c>
      <c r="J88" s="610">
        <f t="shared" si="85"/>
        <v>-2056.1159999999982</v>
      </c>
      <c r="K88" s="610">
        <f>K7-K42</f>
        <v>-2159.5899999999965</v>
      </c>
      <c r="L88" s="610">
        <f>L7-L42</f>
        <v>-1773.9130000000005</v>
      </c>
      <c r="M88" s="610">
        <f>M7-M42</f>
        <v>-884.46399999999994</v>
      </c>
      <c r="N88" s="610">
        <f>N7-N42</f>
        <v>-742.81100000000151</v>
      </c>
      <c r="O88" s="610">
        <f>O7-O42</f>
        <v>-720.48099999999977</v>
      </c>
      <c r="P88" s="610">
        <f t="shared" ref="P88:V88" si="86">P7-P42</f>
        <v>-302.86000000000058</v>
      </c>
      <c r="Q88" s="610">
        <f>Q7-Q42</f>
        <v>0</v>
      </c>
      <c r="R88" s="610">
        <f>R7-R42</f>
        <v>0</v>
      </c>
      <c r="S88" s="238"/>
      <c r="T88" s="610">
        <f t="shared" si="86"/>
        <v>617.69540443171718</v>
      </c>
      <c r="U88" s="610">
        <f t="shared" si="86"/>
        <v>895.51600141930248</v>
      </c>
      <c r="V88" s="610">
        <f t="shared" si="86"/>
        <v>1158.3330596664819</v>
      </c>
      <c r="W88" s="238"/>
      <c r="X88" s="238"/>
      <c r="Y88" s="238"/>
      <c r="Z88" s="238"/>
      <c r="AA88" s="238"/>
    </row>
    <row r="89" spans="1:27" ht="16.5" customHeight="1" x14ac:dyDescent="0.2">
      <c r="A89" s="597" t="s">
        <v>50</v>
      </c>
      <c r="B89" s="597" t="s">
        <v>917</v>
      </c>
      <c r="C89" s="598"/>
      <c r="D89" s="611">
        <f>D88/D90</f>
        <v>-2.4277502642659831E-2</v>
      </c>
      <c r="E89" s="611">
        <f>E88/E90</f>
        <v>-7.8042034828054233E-2</v>
      </c>
      <c r="F89" s="611">
        <f t="shared" ref="F89:K89" si="87">F88/F90</f>
        <v>-7.4849202320897701E-2</v>
      </c>
      <c r="G89" s="611">
        <f t="shared" si="87"/>
        <v>-4.2769510700586252E-2</v>
      </c>
      <c r="H89" s="611">
        <f t="shared" si="87"/>
        <v>-4.3448863330716882E-2</v>
      </c>
      <c r="I89" s="611">
        <f t="shared" si="87"/>
        <v>-2.719988478340795E-2</v>
      </c>
      <c r="J89" s="611">
        <f>J88/J90</f>
        <v>-2.7022943195260912E-2</v>
      </c>
      <c r="K89" s="611">
        <f t="shared" si="87"/>
        <v>-2.7372463420182284E-2</v>
      </c>
      <c r="L89" s="611">
        <f t="shared" ref="L89:Q89" si="88">L88/L90</f>
        <v>-2.1858611321595799E-2</v>
      </c>
      <c r="M89" s="611">
        <f t="shared" si="88"/>
        <v>-1.0407271892731619E-2</v>
      </c>
      <c r="N89" s="611">
        <f t="shared" si="88"/>
        <v>-8.2999969585006682E-3</v>
      </c>
      <c r="O89" s="611">
        <f t="shared" si="88"/>
        <v>-7.9910212580028943E-3</v>
      </c>
      <c r="P89" s="611">
        <f t="shared" si="88"/>
        <v>-3.1517668539133093E-3</v>
      </c>
      <c r="Q89" s="611">
        <f t="shared" si="88"/>
        <v>0</v>
      </c>
      <c r="R89" s="611">
        <f t="shared" ref="R89" si="89">R88/R90</f>
        <v>0</v>
      </c>
      <c r="S89" s="238"/>
      <c r="T89" s="611">
        <f t="shared" ref="T89:U89" si="90">T88/T90</f>
        <v>6.4281578996977437E-3</v>
      </c>
      <c r="U89" s="611">
        <f t="shared" si="90"/>
        <v>8.7786654973929321E-3</v>
      </c>
      <c r="V89" s="611">
        <f>V88/V90</f>
        <v>1.0734738938526516E-2</v>
      </c>
      <c r="W89" s="238"/>
      <c r="X89" s="238"/>
      <c r="Y89" s="238"/>
      <c r="Z89" s="238"/>
      <c r="AA89" s="238"/>
    </row>
    <row r="90" spans="1:27" ht="16.5" customHeight="1" x14ac:dyDescent="0.25">
      <c r="A90" s="599" t="s">
        <v>99</v>
      </c>
      <c r="B90" s="599" t="s">
        <v>230</v>
      </c>
      <c r="C90" s="600"/>
      <c r="D90" s="601">
        <v>68491.600000000006</v>
      </c>
      <c r="E90" s="601">
        <v>64023.1</v>
      </c>
      <c r="F90" s="601">
        <v>67577.3</v>
      </c>
      <c r="G90" s="601">
        <v>70627.205000000002</v>
      </c>
      <c r="H90" s="601">
        <v>72703.513000000006</v>
      </c>
      <c r="I90" s="601">
        <v>74169.873000000007</v>
      </c>
      <c r="J90" s="601">
        <v>76087.789000000004</v>
      </c>
      <c r="K90" s="601">
        <v>78896.442999999999</v>
      </c>
      <c r="L90" s="601">
        <v>81153.966</v>
      </c>
      <c r="M90" s="601">
        <v>84985.191999999995</v>
      </c>
      <c r="N90" s="601">
        <v>89495.334000000003</v>
      </c>
      <c r="O90" s="601">
        <v>90161.316900320875</v>
      </c>
      <c r="P90" s="601">
        <v>96092.133091622032</v>
      </c>
      <c r="Q90" s="601">
        <v>102010.49370035238</v>
      </c>
      <c r="R90" s="601">
        <v>107905.09823292249</v>
      </c>
      <c r="S90" s="238"/>
      <c r="T90" s="601">
        <f>P90</f>
        <v>96092.133091622032</v>
      </c>
      <c r="U90" s="601">
        <f>Q90</f>
        <v>102010.49370035238</v>
      </c>
      <c r="V90" s="601">
        <f>R90</f>
        <v>107905.09823292249</v>
      </c>
      <c r="W90" s="238"/>
      <c r="X90" s="238"/>
      <c r="Y90" s="238"/>
      <c r="Z90" s="238"/>
      <c r="AA90" s="238"/>
    </row>
    <row r="91" spans="1:27" x14ac:dyDescent="0.2">
      <c r="A91" s="240"/>
      <c r="B91" s="240"/>
      <c r="D91" s="104"/>
      <c r="E91" s="104"/>
      <c r="F91" s="104"/>
      <c r="G91" s="104"/>
      <c r="H91" s="104"/>
      <c r="I91" s="104"/>
    </row>
    <row r="92" spans="1:27" x14ac:dyDescent="0.2">
      <c r="A92" s="240"/>
      <c r="B92" s="240"/>
      <c r="D92" s="104"/>
      <c r="E92" s="104"/>
      <c r="F92" s="104"/>
      <c r="G92" s="104"/>
      <c r="H92" s="104"/>
      <c r="I92" s="104"/>
      <c r="K92" s="242"/>
      <c r="L92" s="104"/>
      <c r="M92" s="242"/>
      <c r="N92" s="242"/>
      <c r="O92" s="242"/>
    </row>
    <row r="93" spans="1:27" x14ac:dyDescent="0.2">
      <c r="A93" s="240"/>
      <c r="B93" s="240"/>
      <c r="O93" s="766"/>
    </row>
    <row r="94" spans="1:27" x14ac:dyDescent="0.2">
      <c r="O94" s="766"/>
    </row>
    <row r="95" spans="1:27" x14ac:dyDescent="0.2">
      <c r="O95" s="766"/>
    </row>
  </sheetData>
  <mergeCells count="2">
    <mergeCell ref="T3:V3"/>
    <mergeCell ref="C4:C8"/>
  </mergeCells>
  <pageMargins left="0.7" right="0.7" top="0.75" bottom="0.75" header="0.3" footer="0.3"/>
  <pageSetup paperSize="9" orientation="portrait" r:id="rId1"/>
  <ignoredErrors>
    <ignoredError sqref="E43:F43 D7:F8 D88:K89 D42:F4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3:P49"/>
  <sheetViews>
    <sheetView showGridLines="0" zoomScale="90" zoomScaleNormal="90" workbookViewId="0">
      <selection activeCell="B20" sqref="B20"/>
    </sheetView>
  </sheetViews>
  <sheetFormatPr defaultColWidth="9.140625" defaultRowHeight="13.5" x14ac:dyDescent="0.25"/>
  <cols>
    <col min="1" max="1" width="34.7109375" style="34" customWidth="1"/>
    <col min="2" max="7" width="7.5703125" style="34" customWidth="1"/>
    <col min="8" max="8" width="2" style="34" customWidth="1"/>
    <col min="9" max="9" width="2.5703125" style="34" customWidth="1"/>
    <col min="10" max="10" width="28.7109375" style="34" customWidth="1"/>
    <col min="11" max="16" width="7.7109375" style="34" bestFit="1" customWidth="1"/>
    <col min="17" max="16384" width="9.140625" style="34"/>
  </cols>
  <sheetData>
    <row r="3" spans="1:16" x14ac:dyDescent="0.25">
      <c r="A3" s="110"/>
    </row>
    <row r="4" spans="1:16" ht="14.25" thickBot="1" x14ac:dyDescent="0.3">
      <c r="A4" s="449" t="s">
        <v>1417</v>
      </c>
      <c r="B4" s="46"/>
      <c r="C4" s="46"/>
      <c r="D4" s="46"/>
      <c r="E4" s="46"/>
      <c r="H4" s="300"/>
      <c r="I4" s="300"/>
      <c r="J4" s="449" t="s">
        <v>1419</v>
      </c>
      <c r="K4" s="46"/>
      <c r="L4" s="46"/>
      <c r="M4" s="46"/>
      <c r="N4" s="46"/>
      <c r="O4" s="46"/>
      <c r="P4" s="46"/>
    </row>
    <row r="19" spans="1:16" ht="14.25" thickBot="1" x14ac:dyDescent="0.3">
      <c r="A19" s="919" t="s">
        <v>894</v>
      </c>
      <c r="B19" s="919"/>
      <c r="C19" s="919"/>
      <c r="D19" s="919"/>
      <c r="E19" s="919"/>
      <c r="F19" s="919"/>
      <c r="G19" s="919"/>
      <c r="J19" s="920" t="s">
        <v>893</v>
      </c>
      <c r="K19" s="920"/>
      <c r="L19" s="920"/>
      <c r="M19" s="920"/>
      <c r="N19" s="920"/>
      <c r="O19" s="920"/>
      <c r="P19" s="920"/>
    </row>
    <row r="20" spans="1:16" ht="14.25" thickBot="1" x14ac:dyDescent="0.3">
      <c r="A20" s="154"/>
      <c r="B20" s="808" t="str">
        <f>'Tab 11 '!B4</f>
        <v>2016*</v>
      </c>
      <c r="C20" s="808" t="str">
        <f>'Tab 11 '!C4</f>
        <v>2017**</v>
      </c>
      <c r="D20" s="808">
        <f>'Tab 11 '!D4</f>
        <v>2018</v>
      </c>
      <c r="E20" s="808">
        <f>'Tab 11 '!E4</f>
        <v>2019</v>
      </c>
      <c r="F20" s="808">
        <f>'Tab 11 '!F4</f>
        <v>2020</v>
      </c>
      <c r="G20" s="808">
        <f>'Tab 11 '!G4</f>
        <v>2021</v>
      </c>
      <c r="J20" s="16"/>
      <c r="K20" s="11">
        <f>'Graf 20+21 '!K20</f>
        <v>2016</v>
      </c>
      <c r="L20" s="11">
        <f>'Graf 20+21 '!L20</f>
        <v>2017</v>
      </c>
      <c r="M20" s="11">
        <f>'Graf 20+21 '!M20</f>
        <v>2018</v>
      </c>
      <c r="N20" s="11">
        <f>'Graf 20+21 '!N20</f>
        <v>2019</v>
      </c>
      <c r="O20" s="11">
        <f>'Graf 20+21 '!O20</f>
        <v>2020</v>
      </c>
      <c r="P20" s="11">
        <f>'Graf 20+21 '!P20</f>
        <v>2021</v>
      </c>
    </row>
    <row r="21" spans="1:16" x14ac:dyDescent="0.25">
      <c r="A21" s="1" t="s">
        <v>126</v>
      </c>
      <c r="B21" s="913">
        <f>'Tab 11 '!B5</f>
        <v>-2.2064959832030882</v>
      </c>
      <c r="C21" s="913">
        <f>'Tab 11 '!C5</f>
        <v>-1.0407271892731618</v>
      </c>
      <c r="D21" s="913">
        <f>'Tab 11 '!D5</f>
        <v>-0.79910212580028939</v>
      </c>
      <c r="E21" s="913">
        <f>'Tab 11 '!E5</f>
        <v>-0.31517668539133092</v>
      </c>
      <c r="F21" s="913">
        <f>'Tab 11 '!F5</f>
        <v>0</v>
      </c>
      <c r="G21" s="913">
        <f>'Tab 11 '!G5</f>
        <v>0</v>
      </c>
      <c r="J21" s="14" t="s">
        <v>79</v>
      </c>
      <c r="K21" s="32">
        <f>'Graf 20+21 '!K21</f>
        <v>51.818676551160578</v>
      </c>
      <c r="L21" s="32">
        <f>'Graf 20+21 '!L21</f>
        <v>50.863185134979958</v>
      </c>
      <c r="M21" s="32">
        <f>'Graf 20+21 '!M21</f>
        <v>49.268297393928535</v>
      </c>
      <c r="N21" s="32">
        <f>'Graf 20+21 '!N21</f>
        <v>46.52418892070849</v>
      </c>
      <c r="O21" s="32">
        <f>'Graf 20+21 '!O21</f>
        <v>44.857696769539444</v>
      </c>
      <c r="P21" s="32">
        <f>'Graf 20+21 '!P21</f>
        <v>43.295313130032255</v>
      </c>
    </row>
    <row r="22" spans="1:16" ht="14.25" thickBot="1" x14ac:dyDescent="0.3">
      <c r="A22" s="2" t="s">
        <v>127</v>
      </c>
      <c r="B22" s="31">
        <f>'Tab 11 '!B8</f>
        <v>-2.0362071520030711</v>
      </c>
      <c r="C22" s="31">
        <f>'Tab 11 '!C8</f>
        <v>-1.0769884619963133</v>
      </c>
      <c r="D22" s="31">
        <f>'Tab 11 '!D8</f>
        <v>-1.0219281882893039</v>
      </c>
      <c r="E22" s="31">
        <f>'Tab 11 '!E8</f>
        <v>-0.7476754017966265</v>
      </c>
      <c r="F22" s="31">
        <f>'Tab 11 '!F8</f>
        <v>-0.42765578470995369</v>
      </c>
      <c r="G22" s="31">
        <f>'Tab 11 '!G8</f>
        <v>-0.31261420543608148</v>
      </c>
      <c r="J22" s="14" t="s">
        <v>125</v>
      </c>
      <c r="K22" s="32">
        <f>'Graf 20+21 '!K22</f>
        <v>48.689020639412561</v>
      </c>
      <c r="L22" s="32">
        <f>'Graf 20+21 '!L22</f>
        <v>47.8746175565988</v>
      </c>
      <c r="M22" s="32">
        <f>'Graf 20+21 '!M22</f>
        <v>46.451302276892996</v>
      </c>
      <c r="N22" s="32">
        <f>'Graf 20+21 '!N22</f>
        <v>43.881059027738708</v>
      </c>
      <c r="O22" s="32">
        <f>'Graf 20+21 '!O22</f>
        <v>42.367913804663743</v>
      </c>
      <c r="P22" s="32">
        <f>'Graf 20+21 '!P22</f>
        <v>40.941541217370158</v>
      </c>
    </row>
    <row r="23" spans="1:16" ht="14.25" thickBot="1" x14ac:dyDescent="0.3">
      <c r="A23" s="103" t="s">
        <v>128</v>
      </c>
      <c r="B23" s="31">
        <f>'Tab 11 '!B9</f>
        <v>0.75179018100000006</v>
      </c>
      <c r="C23" s="31">
        <f>C22-B22</f>
        <v>0.95921869000675786</v>
      </c>
      <c r="D23" s="31">
        <f t="shared" ref="D23:G23" si="0">D22-C22</f>
        <v>5.5060273707009388E-2</v>
      </c>
      <c r="E23" s="31">
        <f t="shared" si="0"/>
        <v>0.27425278649267737</v>
      </c>
      <c r="F23" s="31">
        <f t="shared" si="0"/>
        <v>0.32001961708667281</v>
      </c>
      <c r="G23" s="31">
        <f t="shared" si="0"/>
        <v>0.11504157927387221</v>
      </c>
      <c r="J23" s="14" t="s">
        <v>124</v>
      </c>
      <c r="K23" s="32">
        <f>'Graf 20+21 '!K23</f>
        <v>3.1296559117480172</v>
      </c>
      <c r="L23" s="32">
        <f>'Graf 20+21 '!L23</f>
        <v>2.9885675783811561</v>
      </c>
      <c r="M23" s="32">
        <f>'Graf 20+21 '!M23</f>
        <v>2.8169951170355376</v>
      </c>
      <c r="N23" s="32">
        <f>'Graf 20+21 '!N23</f>
        <v>2.643129892969788</v>
      </c>
      <c r="O23" s="32">
        <f>'Graf 20+21 '!O23</f>
        <v>2.4897829648757033</v>
      </c>
      <c r="P23" s="32">
        <f>'Graf 20+21 '!P23</f>
        <v>2.3537719126620984</v>
      </c>
    </row>
    <row r="24" spans="1:16" ht="14.25" thickBot="1" x14ac:dyDescent="0.3">
      <c r="A24" s="4"/>
      <c r="B24" s="31"/>
      <c r="C24" s="31"/>
      <c r="D24" s="74"/>
      <c r="E24" s="31"/>
      <c r="F24" s="31"/>
      <c r="G24" s="31"/>
      <c r="J24" s="40" t="s">
        <v>129</v>
      </c>
      <c r="K24" s="33">
        <f>'Graf 20+21 '!K24</f>
        <v>46.895851029634215</v>
      </c>
      <c r="L24" s="33">
        <f>'Graf 20+21 '!L24</f>
        <v>45.507185534157529</v>
      </c>
      <c r="M24" s="33">
        <f>'Graf 20+21 '!M24</f>
        <v>43.93145552362536</v>
      </c>
      <c r="N24" s="33">
        <f>'Graf 20+21 '!N24</f>
        <v>42.031399329379951</v>
      </c>
      <c r="O24" s="33">
        <f>'Graf 20+21 '!O24</f>
        <v>40.088206545299599</v>
      </c>
      <c r="P24" s="33">
        <f>'Graf 20+21 '!P24</f>
        <v>38.493411658087027</v>
      </c>
    </row>
    <row r="25" spans="1:16" x14ac:dyDescent="0.25">
      <c r="A25" s="30"/>
      <c r="B25" s="38"/>
      <c r="C25" s="38"/>
      <c r="D25" s="75"/>
      <c r="E25" s="38"/>
      <c r="F25" s="918" t="s">
        <v>416</v>
      </c>
      <c r="G25" s="918"/>
      <c r="J25" s="51"/>
      <c r="K25" s="52"/>
      <c r="L25" s="52"/>
      <c r="M25" s="52"/>
      <c r="N25" s="52"/>
      <c r="O25" s="918" t="s">
        <v>416</v>
      </c>
      <c r="P25" s="918"/>
    </row>
    <row r="26" spans="1:16" x14ac:dyDescent="0.25">
      <c r="A26" s="30"/>
      <c r="B26" s="38"/>
      <c r="C26" s="38"/>
      <c r="D26" s="75"/>
      <c r="E26" s="38"/>
      <c r="F26" s="38"/>
      <c r="G26" s="38"/>
      <c r="J26" s="51"/>
      <c r="K26" s="52"/>
      <c r="L26" s="52"/>
      <c r="M26" s="52"/>
      <c r="N26" s="52"/>
      <c r="O26" s="52"/>
      <c r="P26" s="52"/>
    </row>
    <row r="27" spans="1:16" ht="14.25" thickBot="1" x14ac:dyDescent="0.3">
      <c r="A27" s="449" t="s">
        <v>1418</v>
      </c>
      <c r="B27" s="46"/>
      <c r="C27" s="46"/>
      <c r="D27" s="46"/>
      <c r="E27" s="46"/>
      <c r="F27" s="38"/>
      <c r="G27" s="38"/>
      <c r="J27" s="449" t="s">
        <v>1420</v>
      </c>
      <c r="K27" s="46"/>
      <c r="L27" s="46"/>
      <c r="M27" s="46"/>
      <c r="N27" s="46"/>
      <c r="O27" s="46"/>
      <c r="P27" s="46"/>
    </row>
    <row r="28" spans="1:16" x14ac:dyDescent="0.25">
      <c r="A28" s="30"/>
      <c r="B28" s="38"/>
      <c r="C28" s="38"/>
      <c r="D28" s="75"/>
      <c r="E28" s="38"/>
      <c r="F28" s="38"/>
      <c r="G28" s="38"/>
      <c r="J28" s="51"/>
      <c r="K28" s="52"/>
      <c r="L28" s="52"/>
      <c r="M28" s="52"/>
      <c r="N28" s="52"/>
      <c r="O28" s="52"/>
      <c r="P28" s="52"/>
    </row>
    <row r="29" spans="1:16" x14ac:dyDescent="0.25">
      <c r="A29" s="30"/>
      <c r="B29" s="38"/>
      <c r="C29" s="38"/>
      <c r="D29" s="75"/>
      <c r="E29" s="38"/>
      <c r="F29" s="38"/>
      <c r="G29" s="38"/>
      <c r="J29" s="51"/>
      <c r="K29" s="52"/>
      <c r="L29" s="52"/>
      <c r="M29" s="52"/>
      <c r="N29" s="52"/>
      <c r="O29" s="52"/>
      <c r="P29" s="52"/>
    </row>
    <row r="30" spans="1:16" x14ac:dyDescent="0.25">
      <c r="A30" s="30"/>
      <c r="B30" s="38"/>
      <c r="C30" s="38"/>
      <c r="D30" s="75"/>
      <c r="E30" s="38"/>
      <c r="F30" s="38"/>
      <c r="G30" s="38"/>
      <c r="J30" s="51"/>
      <c r="K30" s="52"/>
      <c r="L30" s="52"/>
      <c r="M30" s="52"/>
      <c r="N30" s="52"/>
      <c r="O30" s="52"/>
      <c r="P30" s="52"/>
    </row>
    <row r="31" spans="1:16" x14ac:dyDescent="0.25">
      <c r="A31" s="30"/>
      <c r="B31" s="38"/>
      <c r="C31" s="38"/>
      <c r="D31" s="75"/>
      <c r="E31" s="38"/>
      <c r="F31" s="38"/>
      <c r="G31" s="38"/>
      <c r="J31" s="51"/>
      <c r="K31" s="52"/>
      <c r="L31" s="52"/>
      <c r="M31" s="52"/>
      <c r="N31" s="52"/>
      <c r="O31" s="52"/>
      <c r="P31" s="52"/>
    </row>
    <row r="32" spans="1:16" x14ac:dyDescent="0.25">
      <c r="A32" s="30"/>
      <c r="B32" s="38"/>
      <c r="C32" s="38"/>
      <c r="D32" s="75"/>
      <c r="E32" s="38"/>
      <c r="F32" s="38"/>
      <c r="G32" s="38"/>
      <c r="J32" s="51"/>
      <c r="K32" s="52"/>
      <c r="L32" s="52"/>
      <c r="M32" s="52"/>
      <c r="N32" s="52"/>
      <c r="O32" s="52"/>
      <c r="P32" s="52"/>
    </row>
    <row r="33" spans="1:16" x14ac:dyDescent="0.25">
      <c r="A33" s="30"/>
      <c r="B33" s="38"/>
      <c r="C33" s="38"/>
      <c r="D33" s="75"/>
      <c r="E33" s="38"/>
      <c r="F33" s="38"/>
      <c r="G33" s="38"/>
      <c r="J33" s="51"/>
      <c r="K33" s="52"/>
      <c r="L33" s="52"/>
      <c r="M33" s="52"/>
      <c r="N33" s="52"/>
      <c r="O33" s="52"/>
      <c r="P33" s="52"/>
    </row>
    <row r="34" spans="1:16" x14ac:dyDescent="0.25">
      <c r="A34" s="30"/>
      <c r="B34" s="38"/>
      <c r="C34" s="38"/>
      <c r="D34" s="75"/>
      <c r="E34" s="38"/>
      <c r="F34" s="38"/>
      <c r="G34" s="38"/>
      <c r="J34" s="51"/>
      <c r="K34" s="52"/>
      <c r="L34" s="52"/>
      <c r="M34" s="52"/>
      <c r="N34" s="52"/>
      <c r="O34" s="52"/>
      <c r="P34" s="52"/>
    </row>
    <row r="35" spans="1:16" x14ac:dyDescent="0.25">
      <c r="A35" s="30"/>
      <c r="B35" s="38"/>
      <c r="C35" s="38"/>
      <c r="D35" s="75"/>
      <c r="E35" s="38"/>
      <c r="F35" s="38"/>
      <c r="G35" s="38"/>
      <c r="J35" s="51"/>
      <c r="K35" s="52"/>
      <c r="L35" s="52"/>
      <c r="M35" s="52"/>
      <c r="N35" s="52"/>
      <c r="O35" s="52"/>
      <c r="P35" s="52"/>
    </row>
    <row r="36" spans="1:16" x14ac:dyDescent="0.25">
      <c r="A36" s="30"/>
      <c r="B36" s="38"/>
      <c r="C36" s="38"/>
      <c r="D36" s="75"/>
      <c r="E36" s="38"/>
      <c r="F36" s="38"/>
      <c r="G36" s="38"/>
      <c r="J36" s="51"/>
      <c r="K36" s="52"/>
      <c r="L36" s="52"/>
      <c r="M36" s="52"/>
      <c r="N36" s="52"/>
      <c r="O36" s="52"/>
      <c r="P36" s="52"/>
    </row>
    <row r="37" spans="1:16" x14ac:dyDescent="0.25">
      <c r="A37" s="30"/>
      <c r="B37" s="38"/>
      <c r="C37" s="38"/>
      <c r="D37" s="75"/>
      <c r="E37" s="38"/>
      <c r="F37" s="38"/>
      <c r="G37" s="38"/>
      <c r="J37" s="51"/>
      <c r="K37" s="52"/>
      <c r="L37" s="52"/>
      <c r="M37" s="52"/>
      <c r="N37" s="52"/>
      <c r="O37" s="52"/>
      <c r="P37" s="52"/>
    </row>
    <row r="38" spans="1:16" x14ac:dyDescent="0.25">
      <c r="A38" s="30"/>
      <c r="B38" s="38"/>
      <c r="C38" s="38"/>
      <c r="D38" s="75"/>
      <c r="E38" s="38"/>
      <c r="F38" s="38"/>
      <c r="G38" s="38"/>
      <c r="J38" s="51"/>
      <c r="K38" s="52"/>
      <c r="L38" s="52"/>
      <c r="M38" s="52"/>
      <c r="N38" s="52"/>
      <c r="O38" s="52"/>
      <c r="P38" s="52"/>
    </row>
    <row r="39" spans="1:16" x14ac:dyDescent="0.25">
      <c r="A39" s="30"/>
      <c r="B39" s="38"/>
      <c r="C39" s="38"/>
      <c r="D39" s="75"/>
      <c r="E39" s="38"/>
      <c r="F39" s="38"/>
      <c r="G39" s="38"/>
      <c r="J39" s="51"/>
      <c r="K39" s="52"/>
      <c r="L39" s="52"/>
      <c r="M39" s="52"/>
      <c r="N39" s="52"/>
      <c r="O39" s="52"/>
      <c r="P39" s="52"/>
    </row>
    <row r="40" spans="1:16" x14ac:dyDescent="0.25">
      <c r="A40" s="30"/>
      <c r="B40" s="38"/>
      <c r="C40" s="38"/>
      <c r="D40" s="38"/>
      <c r="E40" s="38"/>
      <c r="F40" s="38"/>
      <c r="G40" s="38"/>
      <c r="J40" s="51"/>
      <c r="K40" s="52"/>
      <c r="L40" s="52"/>
      <c r="M40" s="52"/>
      <c r="N40" s="52"/>
      <c r="O40" s="52"/>
      <c r="P40" s="52"/>
    </row>
    <row r="41" spans="1:16" x14ac:dyDescent="0.25">
      <c r="A41" s="30"/>
      <c r="B41" s="38"/>
      <c r="C41" s="38"/>
      <c r="D41" s="38"/>
      <c r="E41" s="38"/>
      <c r="F41" s="38"/>
      <c r="G41" s="38"/>
      <c r="J41" s="51"/>
      <c r="K41" s="52"/>
      <c r="L41" s="52"/>
      <c r="M41" s="52"/>
      <c r="N41" s="52"/>
      <c r="O41" s="52"/>
      <c r="P41" s="52"/>
    </row>
    <row r="42" spans="1:16" x14ac:dyDescent="0.25">
      <c r="A42" s="30"/>
      <c r="B42" s="38"/>
      <c r="C42" s="38"/>
      <c r="D42" s="38"/>
      <c r="E42" s="38"/>
      <c r="F42" s="38"/>
      <c r="G42" s="38"/>
      <c r="J42" s="51"/>
      <c r="K42" s="52"/>
      <c r="L42" s="52"/>
      <c r="M42" s="52"/>
      <c r="N42" s="52"/>
      <c r="O42" s="52"/>
      <c r="P42" s="52"/>
    </row>
    <row r="43" spans="1:16" ht="14.25" thickBot="1" x14ac:dyDescent="0.3">
      <c r="A43" s="919" t="s">
        <v>331</v>
      </c>
      <c r="B43" s="919"/>
      <c r="C43" s="919"/>
      <c r="D43" s="919"/>
      <c r="E43" s="919"/>
      <c r="F43" s="919"/>
      <c r="G43" s="919"/>
      <c r="J43" s="920" t="s">
        <v>445</v>
      </c>
      <c r="K43" s="920"/>
      <c r="L43" s="920"/>
      <c r="M43" s="920"/>
      <c r="N43" s="920"/>
      <c r="O43" s="920"/>
      <c r="P43" s="920"/>
    </row>
    <row r="44" spans="1:16" ht="15.75" customHeight="1" thickBot="1" x14ac:dyDescent="0.3">
      <c r="A44" s="154"/>
      <c r="B44" s="808" t="str">
        <f>B20</f>
        <v>2016*</v>
      </c>
      <c r="C44" s="808" t="str">
        <f t="shared" ref="C44:G44" si="1">C20</f>
        <v>2017**</v>
      </c>
      <c r="D44" s="808">
        <f t="shared" si="1"/>
        <v>2018</v>
      </c>
      <c r="E44" s="808">
        <f t="shared" si="1"/>
        <v>2019</v>
      </c>
      <c r="F44" s="808">
        <f t="shared" si="1"/>
        <v>2020</v>
      </c>
      <c r="G44" s="808">
        <f t="shared" si="1"/>
        <v>2021</v>
      </c>
      <c r="J44" s="16"/>
      <c r="K44" s="11">
        <f>K20</f>
        <v>2016</v>
      </c>
      <c r="L44" s="11">
        <f t="shared" ref="L44:P44" si="2">L20</f>
        <v>2017</v>
      </c>
      <c r="M44" s="11">
        <f t="shared" si="2"/>
        <v>2018</v>
      </c>
      <c r="N44" s="11">
        <f t="shared" si="2"/>
        <v>2019</v>
      </c>
      <c r="O44" s="11">
        <f t="shared" si="2"/>
        <v>2020</v>
      </c>
      <c r="P44" s="11">
        <f t="shared" si="2"/>
        <v>2021</v>
      </c>
    </row>
    <row r="45" spans="1:16" x14ac:dyDescent="0.25">
      <c r="A45" s="1" t="s">
        <v>332</v>
      </c>
      <c r="B45" s="39">
        <f t="shared" ref="B45:G45" si="3">B21</f>
        <v>-2.2064959832030882</v>
      </c>
      <c r="C45" s="39">
        <f t="shared" si="3"/>
        <v>-1.0407271892731618</v>
      </c>
      <c r="D45" s="39">
        <f t="shared" si="3"/>
        <v>-0.79910212580028939</v>
      </c>
      <c r="E45" s="39">
        <f t="shared" si="3"/>
        <v>-0.31517668539133092</v>
      </c>
      <c r="F45" s="39">
        <f t="shared" si="3"/>
        <v>0</v>
      </c>
      <c r="G45" s="39">
        <f t="shared" si="3"/>
        <v>0</v>
      </c>
      <c r="J45" s="14" t="s">
        <v>333</v>
      </c>
      <c r="K45" s="32">
        <f t="shared" ref="K45:P45" si="4">K21</f>
        <v>51.818676551160578</v>
      </c>
      <c r="L45" s="32">
        <f t="shared" si="4"/>
        <v>50.863185134979958</v>
      </c>
      <c r="M45" s="32">
        <f t="shared" si="4"/>
        <v>49.268297393928535</v>
      </c>
      <c r="N45" s="32">
        <f t="shared" si="4"/>
        <v>46.52418892070849</v>
      </c>
      <c r="O45" s="32">
        <f t="shared" si="4"/>
        <v>44.857696769539444</v>
      </c>
      <c r="P45" s="32">
        <f t="shared" si="4"/>
        <v>43.295313130032255</v>
      </c>
    </row>
    <row r="46" spans="1:16" ht="14.25" thickBot="1" x14ac:dyDescent="0.3">
      <c r="A46" s="2" t="s">
        <v>334</v>
      </c>
      <c r="B46" s="62">
        <f t="shared" ref="B46:G46" si="5">B22</f>
        <v>-2.0362071520030711</v>
      </c>
      <c r="C46" s="62">
        <f t="shared" si="5"/>
        <v>-1.0769884619963133</v>
      </c>
      <c r="D46" s="62">
        <f t="shared" si="5"/>
        <v>-1.0219281882893039</v>
      </c>
      <c r="E46" s="62">
        <f t="shared" si="5"/>
        <v>-0.7476754017966265</v>
      </c>
      <c r="F46" s="62">
        <f t="shared" si="5"/>
        <v>-0.42765578470995369</v>
      </c>
      <c r="G46" s="62">
        <f t="shared" si="5"/>
        <v>-0.31261420543608148</v>
      </c>
      <c r="J46" s="14" t="s">
        <v>335</v>
      </c>
      <c r="K46" s="32">
        <f t="shared" ref="K46:P46" si="6">K22</f>
        <v>48.689020639412561</v>
      </c>
      <c r="L46" s="32">
        <f t="shared" si="6"/>
        <v>47.8746175565988</v>
      </c>
      <c r="M46" s="32">
        <f t="shared" si="6"/>
        <v>46.451302276892996</v>
      </c>
      <c r="N46" s="32">
        <f t="shared" si="6"/>
        <v>43.881059027738708</v>
      </c>
      <c r="O46" s="32">
        <f t="shared" si="6"/>
        <v>42.367913804663743</v>
      </c>
      <c r="P46" s="32">
        <f t="shared" si="6"/>
        <v>40.941541217370158</v>
      </c>
    </row>
    <row r="47" spans="1:16" ht="14.25" thickBot="1" x14ac:dyDescent="0.3">
      <c r="A47" s="103" t="s">
        <v>336</v>
      </c>
      <c r="B47" s="62">
        <f t="shared" ref="B47:G47" si="7">B23</f>
        <v>0.75179018100000006</v>
      </c>
      <c r="C47" s="62">
        <f t="shared" si="7"/>
        <v>0.95921869000675786</v>
      </c>
      <c r="D47" s="62">
        <f t="shared" si="7"/>
        <v>5.5060273707009388E-2</v>
      </c>
      <c r="E47" s="62">
        <f t="shared" si="7"/>
        <v>0.27425278649267737</v>
      </c>
      <c r="F47" s="62">
        <f t="shared" si="7"/>
        <v>0.32001961708667281</v>
      </c>
      <c r="G47" s="62">
        <f t="shared" si="7"/>
        <v>0.11504157927387221</v>
      </c>
      <c r="J47" s="14" t="s">
        <v>337</v>
      </c>
      <c r="K47" s="32">
        <f t="shared" ref="K47:P47" si="8">K23</f>
        <v>3.1296559117480172</v>
      </c>
      <c r="L47" s="32">
        <f t="shared" si="8"/>
        <v>2.9885675783811561</v>
      </c>
      <c r="M47" s="32">
        <f t="shared" si="8"/>
        <v>2.8169951170355376</v>
      </c>
      <c r="N47" s="32">
        <f t="shared" si="8"/>
        <v>2.643129892969788</v>
      </c>
      <c r="O47" s="32">
        <f t="shared" si="8"/>
        <v>2.4897829648757033</v>
      </c>
      <c r="P47" s="32">
        <f t="shared" si="8"/>
        <v>2.3537719126620984</v>
      </c>
    </row>
    <row r="48" spans="1:16" ht="14.25" thickBot="1" x14ac:dyDescent="0.3">
      <c r="A48" s="4"/>
      <c r="B48" s="31">
        <f t="shared" ref="B48:G48" si="9">B24</f>
        <v>0</v>
      </c>
      <c r="C48" s="31">
        <f t="shared" si="9"/>
        <v>0</v>
      </c>
      <c r="D48" s="74">
        <f t="shared" si="9"/>
        <v>0</v>
      </c>
      <c r="E48" s="31">
        <f t="shared" si="9"/>
        <v>0</v>
      </c>
      <c r="F48" s="31">
        <f t="shared" si="9"/>
        <v>0</v>
      </c>
      <c r="G48" s="31">
        <f t="shared" si="9"/>
        <v>0</v>
      </c>
      <c r="J48" s="40" t="s">
        <v>338</v>
      </c>
      <c r="K48" s="33">
        <f t="shared" ref="K48:P48" si="10">K24</f>
        <v>46.895851029634215</v>
      </c>
      <c r="L48" s="33">
        <f t="shared" si="10"/>
        <v>45.507185534157529</v>
      </c>
      <c r="M48" s="33">
        <f t="shared" si="10"/>
        <v>43.93145552362536</v>
      </c>
      <c r="N48" s="33">
        <f t="shared" si="10"/>
        <v>42.031399329379951</v>
      </c>
      <c r="O48" s="33">
        <f t="shared" si="10"/>
        <v>40.088206545299599</v>
      </c>
      <c r="P48" s="33">
        <f t="shared" si="10"/>
        <v>38.493411658087027</v>
      </c>
    </row>
    <row r="49" spans="6:16" x14ac:dyDescent="0.25">
      <c r="F49" s="918" t="s">
        <v>415</v>
      </c>
      <c r="G49" s="918"/>
      <c r="O49" s="918" t="s">
        <v>415</v>
      </c>
      <c r="P49" s="918"/>
    </row>
  </sheetData>
  <mergeCells count="10">
    <mergeCell ref="F49:G49"/>
    <mergeCell ref="O49:P49"/>
    <mergeCell ref="A19:D19"/>
    <mergeCell ref="E19:G19"/>
    <mergeCell ref="J19:P19"/>
    <mergeCell ref="F25:G25"/>
    <mergeCell ref="O25:P25"/>
    <mergeCell ref="A43:D43"/>
    <mergeCell ref="E43:G43"/>
    <mergeCell ref="J43:P4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2"/>
  <dimension ref="A3:P49"/>
  <sheetViews>
    <sheetView showGridLines="0" zoomScale="90" zoomScaleNormal="90" workbookViewId="0">
      <selection activeCell="J27" sqref="J27"/>
    </sheetView>
  </sheetViews>
  <sheetFormatPr defaultColWidth="9.140625" defaultRowHeight="13.5" x14ac:dyDescent="0.25"/>
  <cols>
    <col min="1" max="1" width="34.7109375" style="34" customWidth="1"/>
    <col min="2" max="7" width="7.5703125" style="34" customWidth="1"/>
    <col min="8" max="8" width="2" style="34" customWidth="1"/>
    <col min="9" max="9" width="2.5703125" style="34" customWidth="1"/>
    <col min="10" max="10" width="28.7109375" style="34" customWidth="1"/>
    <col min="11" max="16" width="6.5703125" style="34" bestFit="1" customWidth="1"/>
    <col min="17" max="16384" width="9.140625" style="34"/>
  </cols>
  <sheetData>
    <row r="3" spans="1:16" x14ac:dyDescent="0.25">
      <c r="A3" s="110"/>
    </row>
    <row r="4" spans="1:16" ht="14.25" thickBot="1" x14ac:dyDescent="0.3">
      <c r="A4" s="449" t="s">
        <v>1453</v>
      </c>
      <c r="B4" s="46"/>
      <c r="C4" s="46"/>
      <c r="D4" s="46"/>
      <c r="E4" s="46"/>
      <c r="H4" s="300"/>
      <c r="I4" s="300"/>
      <c r="J4" s="449" t="s">
        <v>1455</v>
      </c>
      <c r="K4" s="46"/>
      <c r="L4" s="46"/>
      <c r="M4" s="46"/>
      <c r="N4" s="46"/>
      <c r="O4" s="46"/>
      <c r="P4" s="46"/>
    </row>
    <row r="19" spans="1:16" ht="14.25" thickBot="1" x14ac:dyDescent="0.3">
      <c r="A19" s="919" t="s">
        <v>894</v>
      </c>
      <c r="B19" s="919"/>
      <c r="C19" s="919"/>
      <c r="D19" s="919"/>
      <c r="E19" s="919"/>
      <c r="F19" s="919"/>
      <c r="G19" s="919"/>
      <c r="J19" s="920" t="s">
        <v>893</v>
      </c>
      <c r="K19" s="920"/>
      <c r="L19" s="920"/>
      <c r="M19" s="920"/>
      <c r="N19" s="920"/>
      <c r="O19" s="920"/>
      <c r="P19" s="920"/>
    </row>
    <row r="20" spans="1:16" ht="14.25" thickBot="1" x14ac:dyDescent="0.3">
      <c r="A20" s="154"/>
      <c r="B20" s="808">
        <v>2016</v>
      </c>
      <c r="C20" s="808">
        <v>2017</v>
      </c>
      <c r="D20" s="808">
        <f>'Tab 11 '!D4</f>
        <v>2018</v>
      </c>
      <c r="E20" s="808">
        <f>'Tab 11 '!E4</f>
        <v>2019</v>
      </c>
      <c r="F20" s="808">
        <f>'Tab 11 '!F4</f>
        <v>2020</v>
      </c>
      <c r="G20" s="808">
        <f>'Tab 11 '!G4</f>
        <v>2021</v>
      </c>
      <c r="J20" s="16"/>
      <c r="K20" s="11">
        <f>B20</f>
        <v>2016</v>
      </c>
      <c r="L20" s="11">
        <f t="shared" ref="L20:P20" si="0">C20</f>
        <v>2017</v>
      </c>
      <c r="M20" s="11">
        <f t="shared" si="0"/>
        <v>2018</v>
      </c>
      <c r="N20" s="11">
        <f t="shared" si="0"/>
        <v>2019</v>
      </c>
      <c r="O20" s="11">
        <f t="shared" si="0"/>
        <v>2020</v>
      </c>
      <c r="P20" s="11">
        <f t="shared" si="0"/>
        <v>2021</v>
      </c>
    </row>
    <row r="21" spans="1:16" x14ac:dyDescent="0.25">
      <c r="A21" s="1" t="s">
        <v>126</v>
      </c>
      <c r="B21" s="39">
        <f>'Tab 11 '!B5</f>
        <v>-2.2064959832030882</v>
      </c>
      <c r="C21" s="39">
        <f>'Tab 11 '!C5</f>
        <v>-1.0407271892731618</v>
      </c>
      <c r="D21" s="39">
        <f>'Tab 11 '!D5</f>
        <v>-0.79910212580028939</v>
      </c>
      <c r="E21" s="39">
        <f>'Tab 11 '!E5</f>
        <v>-0.31517668539133092</v>
      </c>
      <c r="F21" s="39">
        <f>'Tab 11 '!F5</f>
        <v>0</v>
      </c>
      <c r="G21" s="39">
        <f>'Tab 11 '!G5</f>
        <v>0</v>
      </c>
      <c r="J21" s="14" t="s">
        <v>79</v>
      </c>
      <c r="K21" s="32">
        <f>'Graf 35'!B22</f>
        <v>51.818676551160578</v>
      </c>
      <c r="L21" s="32">
        <f>'Graf 35'!C22</f>
        <v>50.863185134979958</v>
      </c>
      <c r="M21" s="32">
        <f>'Graf 35'!D22</f>
        <v>49.268297393928535</v>
      </c>
      <c r="N21" s="32">
        <f>'Graf 35'!E22</f>
        <v>46.52418892070849</v>
      </c>
      <c r="O21" s="32">
        <f>'Graf 35'!F22</f>
        <v>44.857696769539444</v>
      </c>
      <c r="P21" s="32">
        <f>'Graf 35'!G22</f>
        <v>43.295313130032255</v>
      </c>
    </row>
    <row r="22" spans="1:16" ht="14.25" thickBot="1" x14ac:dyDescent="0.3">
      <c r="A22" s="2" t="s">
        <v>127</v>
      </c>
      <c r="B22" s="62">
        <f>'Tab 11 '!B8</f>
        <v>-2.0362071520030711</v>
      </c>
      <c r="C22" s="62">
        <f>'Tab 11 '!C8</f>
        <v>-1.0769884619963133</v>
      </c>
      <c r="D22" s="62">
        <f>'Tab 11 '!D8</f>
        <v>-1.0219281882893039</v>
      </c>
      <c r="E22" s="62">
        <f>'Tab 11 '!E8</f>
        <v>-0.7476754017966265</v>
      </c>
      <c r="F22" s="62">
        <f>'Tab 11 '!F8</f>
        <v>-0.42765578470995369</v>
      </c>
      <c r="G22" s="62">
        <f>'Tab 11 '!G8</f>
        <v>-0.31261420543608148</v>
      </c>
      <c r="H22" s="62"/>
      <c r="J22" s="14" t="s">
        <v>125</v>
      </c>
      <c r="K22" s="32">
        <f>'Graf 35'!B29</f>
        <v>48.689020639412561</v>
      </c>
      <c r="L22" s="32">
        <f>'Graf 35'!C29</f>
        <v>47.8746175565988</v>
      </c>
      <c r="M22" s="32">
        <f>'Graf 35'!D29</f>
        <v>46.451302276892996</v>
      </c>
      <c r="N22" s="32">
        <f>'Graf 35'!E29</f>
        <v>43.881059027738708</v>
      </c>
      <c r="O22" s="32">
        <f>'Graf 35'!F29</f>
        <v>42.367913804663743</v>
      </c>
      <c r="P22" s="32">
        <f>'Graf 35'!G29</f>
        <v>40.941541217370158</v>
      </c>
    </row>
    <row r="23" spans="1:16" ht="14.25" thickBot="1" x14ac:dyDescent="0.3">
      <c r="A23" s="103" t="s">
        <v>128</v>
      </c>
      <c r="B23" s="62">
        <f>'Tab 11 '!B9</f>
        <v>0.75179018100000006</v>
      </c>
      <c r="C23" s="62">
        <f>C22-B22</f>
        <v>0.95921869000675786</v>
      </c>
      <c r="D23" s="62">
        <f>D22-C22</f>
        <v>5.5060273707009388E-2</v>
      </c>
      <c r="E23" s="62">
        <f t="shared" ref="E23:F23" si="1">E22-D22</f>
        <v>0.27425278649267737</v>
      </c>
      <c r="F23" s="62">
        <f t="shared" si="1"/>
        <v>0.32001961708667281</v>
      </c>
      <c r="G23" s="62">
        <f>G22-F22</f>
        <v>0.11504157927387221</v>
      </c>
      <c r="J23" s="14" t="s">
        <v>124</v>
      </c>
      <c r="K23" s="32">
        <f>'Graf 35'!B30</f>
        <v>3.1296559117480172</v>
      </c>
      <c r="L23" s="32">
        <f>'Graf 35'!C30</f>
        <v>2.9885675783811561</v>
      </c>
      <c r="M23" s="32">
        <f>'Graf 35'!D30</f>
        <v>2.8169951170355376</v>
      </c>
      <c r="N23" s="32">
        <f>'Graf 35'!E30</f>
        <v>2.643129892969788</v>
      </c>
      <c r="O23" s="32">
        <f>'Graf 35'!F30</f>
        <v>2.4897829648757033</v>
      </c>
      <c r="P23" s="32">
        <f>'Graf 35'!G30</f>
        <v>2.3537719126620984</v>
      </c>
    </row>
    <row r="24" spans="1:16" ht="14.25" thickBot="1" x14ac:dyDescent="0.3">
      <c r="A24" s="4"/>
      <c r="B24" s="31"/>
      <c r="C24" s="31"/>
      <c r="D24" s="74"/>
      <c r="E24" s="31"/>
      <c r="F24" s="31"/>
      <c r="G24" s="31"/>
      <c r="J24" s="40" t="s">
        <v>129</v>
      </c>
      <c r="K24" s="33">
        <f>'Graf 35'!B28</f>
        <v>46.895851029634215</v>
      </c>
      <c r="L24" s="33">
        <f>'Graf 35'!C28</f>
        <v>45.507185534157529</v>
      </c>
      <c r="M24" s="33">
        <f>'Graf 35'!D28</f>
        <v>43.93145552362536</v>
      </c>
      <c r="N24" s="33">
        <f>'Graf 35'!E28</f>
        <v>42.031399329379951</v>
      </c>
      <c r="O24" s="33">
        <f>'Graf 35'!F28</f>
        <v>40.088206545299599</v>
      </c>
      <c r="P24" s="33">
        <f>'Graf 35'!G28</f>
        <v>38.493411658087027</v>
      </c>
    </row>
    <row r="25" spans="1:16" x14ac:dyDescent="0.25">
      <c r="A25" s="30"/>
      <c r="B25" s="38"/>
      <c r="C25" s="38"/>
      <c r="D25" s="75"/>
      <c r="E25" s="38"/>
      <c r="F25" s="918" t="s">
        <v>416</v>
      </c>
      <c r="G25" s="918"/>
      <c r="J25" s="51"/>
      <c r="K25" s="52"/>
      <c r="L25" s="52"/>
      <c r="M25" s="52"/>
      <c r="N25" s="52"/>
      <c r="O25" s="918" t="s">
        <v>416</v>
      </c>
      <c r="P25" s="918"/>
    </row>
    <row r="26" spans="1:16" x14ac:dyDescent="0.25">
      <c r="A26" s="30"/>
      <c r="B26" s="38"/>
      <c r="C26" s="38"/>
      <c r="D26" s="75"/>
      <c r="E26" s="38"/>
      <c r="F26" s="38"/>
      <c r="G26" s="38"/>
      <c r="J26" s="51"/>
      <c r="K26" s="52"/>
      <c r="L26" s="52"/>
      <c r="M26" s="52"/>
      <c r="N26" s="52"/>
      <c r="O26" s="52"/>
      <c r="P26" s="52"/>
    </row>
    <row r="27" spans="1:16" ht="14.25" thickBot="1" x14ac:dyDescent="0.3">
      <c r="A27" s="449" t="s">
        <v>1454</v>
      </c>
      <c r="B27" s="46"/>
      <c r="C27" s="46"/>
      <c r="D27" s="46"/>
      <c r="E27" s="46"/>
      <c r="F27" s="38"/>
      <c r="G27" s="38"/>
      <c r="J27" s="449" t="s">
        <v>1456</v>
      </c>
      <c r="K27" s="46"/>
      <c r="L27" s="46"/>
      <c r="M27" s="46"/>
      <c r="N27" s="46"/>
      <c r="O27" s="46"/>
      <c r="P27" s="46"/>
    </row>
    <row r="28" spans="1:16" x14ac:dyDescent="0.25">
      <c r="A28" s="30"/>
      <c r="B28" s="38"/>
      <c r="C28" s="38"/>
      <c r="D28" s="75"/>
      <c r="E28" s="38"/>
      <c r="F28" s="38"/>
      <c r="G28" s="38"/>
      <c r="J28" s="51"/>
      <c r="K28" s="52"/>
      <c r="L28" s="52"/>
      <c r="M28" s="52"/>
      <c r="N28" s="52"/>
      <c r="O28" s="52"/>
      <c r="P28" s="52"/>
    </row>
    <row r="29" spans="1:16" x14ac:dyDescent="0.25">
      <c r="A29" s="30"/>
      <c r="B29" s="38"/>
      <c r="C29" s="38"/>
      <c r="D29" s="75"/>
      <c r="E29" s="38"/>
      <c r="F29" s="38"/>
      <c r="G29" s="38"/>
      <c r="J29" s="51"/>
      <c r="K29" s="52"/>
      <c r="L29" s="52"/>
      <c r="M29" s="52"/>
      <c r="N29" s="52"/>
      <c r="O29" s="52"/>
      <c r="P29" s="52"/>
    </row>
    <row r="30" spans="1:16" x14ac:dyDescent="0.25">
      <c r="A30" s="30"/>
      <c r="B30" s="38"/>
      <c r="C30" s="38"/>
      <c r="D30" s="75"/>
      <c r="E30" s="38"/>
      <c r="F30" s="38"/>
      <c r="G30" s="38"/>
      <c r="J30" s="51"/>
      <c r="K30" s="52"/>
      <c r="L30" s="52"/>
      <c r="M30" s="52"/>
      <c r="N30" s="52"/>
      <c r="O30" s="52"/>
      <c r="P30" s="52"/>
    </row>
    <row r="31" spans="1:16" x14ac:dyDescent="0.25">
      <c r="A31" s="30"/>
      <c r="B31" s="38"/>
      <c r="C31" s="38"/>
      <c r="D31" s="75"/>
      <c r="E31" s="38"/>
      <c r="F31" s="38"/>
      <c r="G31" s="38"/>
      <c r="J31" s="51"/>
      <c r="K31" s="52"/>
      <c r="L31" s="52"/>
      <c r="M31" s="52"/>
      <c r="N31" s="52"/>
      <c r="O31" s="52"/>
      <c r="P31" s="52"/>
    </row>
    <row r="32" spans="1:16" x14ac:dyDescent="0.25">
      <c r="A32" s="30"/>
      <c r="B32" s="38"/>
      <c r="C32" s="38"/>
      <c r="D32" s="75"/>
      <c r="E32" s="38"/>
      <c r="F32" s="38"/>
      <c r="G32" s="38"/>
      <c r="J32" s="51"/>
      <c r="K32" s="52"/>
      <c r="L32" s="52"/>
      <c r="M32" s="52"/>
      <c r="N32" s="52"/>
      <c r="O32" s="52"/>
      <c r="P32" s="52"/>
    </row>
    <row r="33" spans="1:16" x14ac:dyDescent="0.25">
      <c r="A33" s="30"/>
      <c r="B33" s="38"/>
      <c r="C33" s="38"/>
      <c r="D33" s="75"/>
      <c r="E33" s="38"/>
      <c r="F33" s="38"/>
      <c r="G33" s="38"/>
      <c r="J33" s="51"/>
      <c r="K33" s="52"/>
      <c r="L33" s="52"/>
      <c r="M33" s="52"/>
      <c r="N33" s="52"/>
      <c r="O33" s="52"/>
      <c r="P33" s="52"/>
    </row>
    <row r="34" spans="1:16" x14ac:dyDescent="0.25">
      <c r="A34" s="30"/>
      <c r="B34" s="38"/>
      <c r="C34" s="38"/>
      <c r="D34" s="75"/>
      <c r="E34" s="38"/>
      <c r="F34" s="38"/>
      <c r="G34" s="38"/>
      <c r="J34" s="51"/>
      <c r="K34" s="52"/>
      <c r="L34" s="52"/>
      <c r="M34" s="52"/>
      <c r="N34" s="52"/>
      <c r="O34" s="52"/>
      <c r="P34" s="52"/>
    </row>
    <row r="35" spans="1:16" x14ac:dyDescent="0.25">
      <c r="A35" s="30"/>
      <c r="B35" s="38"/>
      <c r="C35" s="38"/>
      <c r="D35" s="75"/>
      <c r="E35" s="38"/>
      <c r="F35" s="38"/>
      <c r="G35" s="38"/>
      <c r="J35" s="51"/>
      <c r="K35" s="52"/>
      <c r="L35" s="52"/>
      <c r="M35" s="52"/>
      <c r="N35" s="52"/>
      <c r="O35" s="52"/>
      <c r="P35" s="52"/>
    </row>
    <row r="36" spans="1:16" x14ac:dyDescent="0.25">
      <c r="A36" s="30"/>
      <c r="B36" s="38"/>
      <c r="C36" s="38"/>
      <c r="D36" s="75"/>
      <c r="E36" s="38"/>
      <c r="F36" s="38"/>
      <c r="G36" s="38"/>
      <c r="J36" s="51"/>
      <c r="K36" s="52"/>
      <c r="L36" s="52"/>
      <c r="M36" s="52"/>
      <c r="N36" s="52"/>
      <c r="O36" s="52"/>
      <c r="P36" s="52"/>
    </row>
    <row r="37" spans="1:16" x14ac:dyDescent="0.25">
      <c r="A37" s="30"/>
      <c r="B37" s="38"/>
      <c r="C37" s="38"/>
      <c r="D37" s="75"/>
      <c r="E37" s="38"/>
      <c r="F37" s="38"/>
      <c r="G37" s="38"/>
      <c r="J37" s="51"/>
      <c r="K37" s="52"/>
      <c r="L37" s="52"/>
      <c r="M37" s="52"/>
      <c r="N37" s="52"/>
      <c r="O37" s="52"/>
      <c r="P37" s="52"/>
    </row>
    <row r="38" spans="1:16" x14ac:dyDescent="0.25">
      <c r="A38" s="30"/>
      <c r="B38" s="38"/>
      <c r="C38" s="38"/>
      <c r="D38" s="75"/>
      <c r="E38" s="38"/>
      <c r="F38" s="38"/>
      <c r="G38" s="38"/>
      <c r="J38" s="51"/>
      <c r="K38" s="52"/>
      <c r="L38" s="52"/>
      <c r="M38" s="52"/>
      <c r="N38" s="52"/>
      <c r="O38" s="52"/>
      <c r="P38" s="52"/>
    </row>
    <row r="39" spans="1:16" x14ac:dyDescent="0.25">
      <c r="A39" s="30"/>
      <c r="B39" s="38"/>
      <c r="C39" s="38"/>
      <c r="D39" s="75"/>
      <c r="E39" s="38"/>
      <c r="F39" s="38"/>
      <c r="G39" s="38"/>
      <c r="J39" s="51"/>
      <c r="K39" s="52"/>
      <c r="L39" s="52"/>
      <c r="M39" s="52"/>
      <c r="N39" s="52"/>
      <c r="O39" s="52"/>
      <c r="P39" s="52"/>
    </row>
    <row r="40" spans="1:16" x14ac:dyDescent="0.25">
      <c r="A40" s="30"/>
      <c r="B40" s="38"/>
      <c r="C40" s="38"/>
      <c r="D40" s="38"/>
      <c r="E40" s="38"/>
      <c r="F40" s="38"/>
      <c r="G40" s="38"/>
      <c r="J40" s="51"/>
      <c r="K40" s="52"/>
      <c r="L40" s="52"/>
      <c r="M40" s="52"/>
      <c r="N40" s="52"/>
      <c r="O40" s="52"/>
      <c r="P40" s="52"/>
    </row>
    <row r="41" spans="1:16" x14ac:dyDescent="0.25">
      <c r="A41" s="30"/>
      <c r="B41" s="38"/>
      <c r="C41" s="38"/>
      <c r="D41" s="38"/>
      <c r="E41" s="38"/>
      <c r="F41" s="38"/>
      <c r="G41" s="38"/>
      <c r="J41" s="51"/>
      <c r="K41" s="52"/>
      <c r="L41" s="52"/>
      <c r="M41" s="52"/>
      <c r="N41" s="52"/>
      <c r="O41" s="52"/>
      <c r="P41" s="52"/>
    </row>
    <row r="42" spans="1:16" x14ac:dyDescent="0.25">
      <c r="A42" s="30"/>
      <c r="B42" s="38"/>
      <c r="C42" s="38"/>
      <c r="D42" s="38"/>
      <c r="E42" s="38"/>
      <c r="F42" s="38"/>
      <c r="G42" s="38"/>
      <c r="J42" s="51"/>
      <c r="K42" s="52"/>
      <c r="L42" s="52"/>
      <c r="M42" s="52"/>
      <c r="N42" s="52"/>
      <c r="O42" s="52"/>
      <c r="P42" s="52"/>
    </row>
    <row r="43" spans="1:16" ht="14.25" thickBot="1" x14ac:dyDescent="0.3">
      <c r="A43" s="919" t="s">
        <v>331</v>
      </c>
      <c r="B43" s="919"/>
      <c r="C43" s="919"/>
      <c r="D43" s="919"/>
      <c r="E43" s="919"/>
      <c r="F43" s="919"/>
      <c r="G43" s="919"/>
      <c r="J43" s="920" t="s">
        <v>445</v>
      </c>
      <c r="K43" s="920"/>
      <c r="L43" s="920"/>
      <c r="M43" s="920"/>
      <c r="N43" s="920"/>
      <c r="O43" s="920"/>
      <c r="P43" s="920"/>
    </row>
    <row r="44" spans="1:16" ht="15.75" customHeight="1" thickBot="1" x14ac:dyDescent="0.3">
      <c r="A44" s="154"/>
      <c r="B44" s="808">
        <f>B20</f>
        <v>2016</v>
      </c>
      <c r="C44" s="808">
        <f t="shared" ref="C44:G44" si="2">C20</f>
        <v>2017</v>
      </c>
      <c r="D44" s="808">
        <f t="shared" si="2"/>
        <v>2018</v>
      </c>
      <c r="E44" s="808">
        <f t="shared" si="2"/>
        <v>2019</v>
      </c>
      <c r="F44" s="808">
        <f t="shared" si="2"/>
        <v>2020</v>
      </c>
      <c r="G44" s="808">
        <f t="shared" si="2"/>
        <v>2021</v>
      </c>
      <c r="J44" s="16"/>
      <c r="K44" s="11">
        <f>K20</f>
        <v>2016</v>
      </c>
      <c r="L44" s="11">
        <f t="shared" ref="L44:P44" si="3">L20</f>
        <v>2017</v>
      </c>
      <c r="M44" s="11">
        <f t="shared" si="3"/>
        <v>2018</v>
      </c>
      <c r="N44" s="11">
        <f t="shared" si="3"/>
        <v>2019</v>
      </c>
      <c r="O44" s="11">
        <f t="shared" si="3"/>
        <v>2020</v>
      </c>
      <c r="P44" s="11">
        <f t="shared" si="3"/>
        <v>2021</v>
      </c>
    </row>
    <row r="45" spans="1:16" x14ac:dyDescent="0.25">
      <c r="A45" s="1" t="s">
        <v>332</v>
      </c>
      <c r="B45" s="39">
        <f t="shared" ref="B45:G45" si="4">B21</f>
        <v>-2.2064959832030882</v>
      </c>
      <c r="C45" s="39">
        <f t="shared" si="4"/>
        <v>-1.0407271892731618</v>
      </c>
      <c r="D45" s="39">
        <f t="shared" si="4"/>
        <v>-0.79910212580028939</v>
      </c>
      <c r="E45" s="39">
        <f t="shared" si="4"/>
        <v>-0.31517668539133092</v>
      </c>
      <c r="F45" s="39">
        <f t="shared" si="4"/>
        <v>0</v>
      </c>
      <c r="G45" s="39">
        <f t="shared" si="4"/>
        <v>0</v>
      </c>
      <c r="J45" s="14" t="s">
        <v>333</v>
      </c>
      <c r="K45" s="32">
        <f t="shared" ref="K45:P45" si="5">K21</f>
        <v>51.818676551160578</v>
      </c>
      <c r="L45" s="32">
        <f t="shared" si="5"/>
        <v>50.863185134979958</v>
      </c>
      <c r="M45" s="32">
        <f t="shared" si="5"/>
        <v>49.268297393928535</v>
      </c>
      <c r="N45" s="32">
        <f t="shared" si="5"/>
        <v>46.52418892070849</v>
      </c>
      <c r="O45" s="32">
        <f t="shared" si="5"/>
        <v>44.857696769539444</v>
      </c>
      <c r="P45" s="32">
        <f t="shared" si="5"/>
        <v>43.295313130032255</v>
      </c>
    </row>
    <row r="46" spans="1:16" ht="14.25" thickBot="1" x14ac:dyDescent="0.3">
      <c r="A46" s="2" t="s">
        <v>334</v>
      </c>
      <c r="B46" s="62">
        <f t="shared" ref="B46:G46" si="6">B22</f>
        <v>-2.0362071520030711</v>
      </c>
      <c r="C46" s="62">
        <f t="shared" si="6"/>
        <v>-1.0769884619963133</v>
      </c>
      <c r="D46" s="62">
        <f t="shared" si="6"/>
        <v>-1.0219281882893039</v>
      </c>
      <c r="E46" s="62">
        <f t="shared" si="6"/>
        <v>-0.7476754017966265</v>
      </c>
      <c r="F46" s="62">
        <f t="shared" si="6"/>
        <v>-0.42765578470995369</v>
      </c>
      <c r="G46" s="62">
        <f t="shared" si="6"/>
        <v>-0.31261420543608148</v>
      </c>
      <c r="J46" s="14" t="s">
        <v>335</v>
      </c>
      <c r="K46" s="32">
        <f t="shared" ref="K46:P46" si="7">K22</f>
        <v>48.689020639412561</v>
      </c>
      <c r="L46" s="32">
        <f t="shared" si="7"/>
        <v>47.8746175565988</v>
      </c>
      <c r="M46" s="32">
        <f t="shared" si="7"/>
        <v>46.451302276892996</v>
      </c>
      <c r="N46" s="32">
        <f t="shared" si="7"/>
        <v>43.881059027738708</v>
      </c>
      <c r="O46" s="32">
        <f t="shared" si="7"/>
        <v>42.367913804663743</v>
      </c>
      <c r="P46" s="32">
        <f t="shared" si="7"/>
        <v>40.941541217370158</v>
      </c>
    </row>
    <row r="47" spans="1:16" ht="14.25" thickBot="1" x14ac:dyDescent="0.3">
      <c r="A47" s="103" t="s">
        <v>336</v>
      </c>
      <c r="B47" s="62">
        <f t="shared" ref="B47:G47" si="8">B23</f>
        <v>0.75179018100000006</v>
      </c>
      <c r="C47" s="62">
        <f t="shared" si="8"/>
        <v>0.95921869000675786</v>
      </c>
      <c r="D47" s="62">
        <f t="shared" si="8"/>
        <v>5.5060273707009388E-2</v>
      </c>
      <c r="E47" s="62">
        <f t="shared" si="8"/>
        <v>0.27425278649267737</v>
      </c>
      <c r="F47" s="62">
        <f t="shared" si="8"/>
        <v>0.32001961708667281</v>
      </c>
      <c r="G47" s="62">
        <f t="shared" si="8"/>
        <v>0.11504157927387221</v>
      </c>
      <c r="J47" s="14" t="s">
        <v>337</v>
      </c>
      <c r="K47" s="32">
        <f t="shared" ref="K47:P47" si="9">K23</f>
        <v>3.1296559117480172</v>
      </c>
      <c r="L47" s="32">
        <f t="shared" si="9"/>
        <v>2.9885675783811561</v>
      </c>
      <c r="M47" s="32">
        <f t="shared" si="9"/>
        <v>2.8169951170355376</v>
      </c>
      <c r="N47" s="32">
        <f t="shared" si="9"/>
        <v>2.643129892969788</v>
      </c>
      <c r="O47" s="32">
        <f t="shared" si="9"/>
        <v>2.4897829648757033</v>
      </c>
      <c r="P47" s="32">
        <f t="shared" si="9"/>
        <v>2.3537719126620984</v>
      </c>
    </row>
    <row r="48" spans="1:16" ht="14.25" thickBot="1" x14ac:dyDescent="0.3">
      <c r="A48" s="4"/>
      <c r="B48" s="31">
        <f t="shared" ref="B48:G48" si="10">B24</f>
        <v>0</v>
      </c>
      <c r="C48" s="31">
        <f t="shared" si="10"/>
        <v>0</v>
      </c>
      <c r="D48" s="74">
        <f t="shared" si="10"/>
        <v>0</v>
      </c>
      <c r="E48" s="31">
        <f t="shared" si="10"/>
        <v>0</v>
      </c>
      <c r="F48" s="31">
        <f t="shared" si="10"/>
        <v>0</v>
      </c>
      <c r="G48" s="31">
        <f t="shared" si="10"/>
        <v>0</v>
      </c>
      <c r="J48" s="40" t="s">
        <v>338</v>
      </c>
      <c r="K48" s="33">
        <f t="shared" ref="K48:P48" si="11">K24</f>
        <v>46.895851029634215</v>
      </c>
      <c r="L48" s="33">
        <f t="shared" si="11"/>
        <v>45.507185534157529</v>
      </c>
      <c r="M48" s="33">
        <f t="shared" si="11"/>
        <v>43.93145552362536</v>
      </c>
      <c r="N48" s="33">
        <f t="shared" si="11"/>
        <v>42.031399329379951</v>
      </c>
      <c r="O48" s="33">
        <f t="shared" si="11"/>
        <v>40.088206545299599</v>
      </c>
      <c r="P48" s="33">
        <f t="shared" si="11"/>
        <v>38.493411658087027</v>
      </c>
    </row>
    <row r="49" spans="6:16" x14ac:dyDescent="0.25">
      <c r="F49" s="918" t="s">
        <v>415</v>
      </c>
      <c r="G49" s="918"/>
      <c r="O49" s="918" t="s">
        <v>415</v>
      </c>
      <c r="P49" s="918"/>
    </row>
  </sheetData>
  <mergeCells count="10">
    <mergeCell ref="F49:G49"/>
    <mergeCell ref="O25:P25"/>
    <mergeCell ref="O49:P49"/>
    <mergeCell ref="A19:D19"/>
    <mergeCell ref="E19:G19"/>
    <mergeCell ref="J19:P19"/>
    <mergeCell ref="A43:D43"/>
    <mergeCell ref="E43:G43"/>
    <mergeCell ref="J43:P43"/>
    <mergeCell ref="F25:G2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9"/>
  <dimension ref="B2:V53"/>
  <sheetViews>
    <sheetView showGridLines="0" topLeftCell="J1" zoomScale="90" zoomScaleNormal="90" workbookViewId="0">
      <selection activeCell="K2" sqref="K2"/>
    </sheetView>
  </sheetViews>
  <sheetFormatPr defaultColWidth="9.140625" defaultRowHeight="13.5" x14ac:dyDescent="0.25"/>
  <cols>
    <col min="1" max="1" width="19.5703125" style="34" customWidth="1"/>
    <col min="2" max="2" width="36.28515625" style="34" customWidth="1"/>
    <col min="3" max="3" width="9.140625" style="34"/>
    <col min="4" max="4" width="11.42578125" style="34" customWidth="1"/>
    <col min="5" max="5" width="10.85546875" style="34" customWidth="1"/>
    <col min="6" max="9" width="9.140625" style="34"/>
    <col min="10" max="10" width="22.85546875" style="34" customWidth="1"/>
    <col min="11" max="11" width="42.140625" style="34" customWidth="1"/>
    <col min="12" max="12" width="13.42578125" style="34" customWidth="1"/>
    <col min="13" max="13" width="11.42578125" style="34" customWidth="1"/>
    <col min="14" max="16384" width="9.140625" style="34"/>
  </cols>
  <sheetData>
    <row r="2" spans="2:22" ht="14.25" thickBot="1" x14ac:dyDescent="0.3">
      <c r="B2" s="786" t="s">
        <v>1461</v>
      </c>
      <c r="C2" s="46"/>
      <c r="D2" s="46"/>
      <c r="E2" s="46"/>
      <c r="F2" s="46"/>
      <c r="G2" s="300"/>
      <c r="H2" s="300"/>
      <c r="I2" s="300"/>
      <c r="K2" s="786" t="s">
        <v>1462</v>
      </c>
      <c r="L2" s="46"/>
      <c r="M2" s="46"/>
      <c r="N2" s="46"/>
      <c r="O2" s="300"/>
      <c r="P2" s="300"/>
      <c r="Q2" s="300"/>
      <c r="R2" s="300"/>
      <c r="S2" s="300"/>
      <c r="T2" s="300"/>
      <c r="U2" s="300"/>
      <c r="V2" s="300"/>
    </row>
    <row r="24" spans="2:16" ht="30" customHeight="1" x14ac:dyDescent="0.25">
      <c r="B24" s="473" t="s">
        <v>1239</v>
      </c>
      <c r="C24" s="474" t="s">
        <v>215</v>
      </c>
      <c r="D24" s="474" t="s">
        <v>216</v>
      </c>
      <c r="E24" s="474" t="s">
        <v>217</v>
      </c>
      <c r="F24" s="474" t="s">
        <v>218</v>
      </c>
      <c r="G24" s="474" t="s">
        <v>219</v>
      </c>
      <c r="K24" s="473" t="s">
        <v>545</v>
      </c>
      <c r="L24" s="474" t="s">
        <v>417</v>
      </c>
      <c r="M24" s="474" t="s">
        <v>418</v>
      </c>
      <c r="N24" s="474" t="s">
        <v>419</v>
      </c>
      <c r="O24" s="474" t="s">
        <v>420</v>
      </c>
      <c r="P24" s="474" t="s">
        <v>421</v>
      </c>
    </row>
    <row r="25" spans="2:16" x14ac:dyDescent="0.25">
      <c r="B25" s="475" t="s">
        <v>221</v>
      </c>
      <c r="C25" s="483">
        <v>-1083.4889999999941</v>
      </c>
      <c r="D25" s="484">
        <f>C25</f>
        <v>-1083.4889999999941</v>
      </c>
      <c r="E25" s="485"/>
      <c r="F25" s="485"/>
      <c r="G25" s="485">
        <f>C25</f>
        <v>-1083.4889999999941</v>
      </c>
      <c r="H25" s="396"/>
      <c r="I25" s="396"/>
      <c r="J25" s="396"/>
      <c r="K25" s="483" t="s">
        <v>1229</v>
      </c>
      <c r="L25" s="483">
        <f>C25</f>
        <v>-1083.4889999999941</v>
      </c>
      <c r="M25" s="484">
        <f>L25</f>
        <v>-1083.4889999999941</v>
      </c>
      <c r="N25" s="485"/>
      <c r="O25" s="485"/>
      <c r="P25" s="485">
        <f>L25</f>
        <v>-1083.4889999999941</v>
      </c>
    </row>
    <row r="26" spans="2:16" x14ac:dyDescent="0.25">
      <c r="B26" s="215" t="s">
        <v>1230</v>
      </c>
      <c r="C26" s="486">
        <v>500.00200000000041</v>
      </c>
      <c r="D26" s="484">
        <f t="shared" ref="D26" si="0">C26+D25</f>
        <v>-583.48699999999371</v>
      </c>
      <c r="E26" s="485">
        <f>IF(AND(D25*C26&lt;0,ABS(C26)-ABS(D25)&gt;0),D25,0)</f>
        <v>0</v>
      </c>
      <c r="F26" s="485">
        <f t="shared" ref="F26" si="1">IF(E26&lt;&gt;0,0,IF(D25*C26&gt;=0,D25,D25+C26))</f>
        <v>-583.48699999999371</v>
      </c>
      <c r="G26" s="485">
        <f t="shared" ref="G26" si="2">IF(AND(D25&lt;&gt;0,E26=0),IF(D25+C26&lt;0,-1,IF(D25&lt;0,-1,1))*ABS(C26)+E26,IF(D25+C26&lt;0,-1,1)*ABS(C26)+E26)</f>
        <v>-500.00200000000041</v>
      </c>
      <c r="H26" s="396"/>
      <c r="I26" s="396"/>
      <c r="J26" s="396"/>
      <c r="K26" s="216" t="s">
        <v>1217</v>
      </c>
      <c r="L26" s="486">
        <f t="shared" ref="L26:L39" si="3">C26</f>
        <v>500.00200000000041</v>
      </c>
      <c r="M26" s="484">
        <f t="shared" ref="M26:M38" si="4">L26+M25</f>
        <v>-583.48699999999371</v>
      </c>
      <c r="N26" s="485">
        <f>IF(AND(M25*L26&lt;0,ABS(L26)-ABS(M25)&gt;0),M25,0)</f>
        <v>0</v>
      </c>
      <c r="O26" s="485">
        <f t="shared" ref="O26:O38" si="5">IF(N26&lt;&gt;0,0,IF(M25*L26&gt;=0,M25,M25+L26))</f>
        <v>-583.48699999999371</v>
      </c>
      <c r="P26" s="485">
        <f t="shared" ref="P26:P38" si="6">IF(AND(M25&lt;&gt;0,N26=0),IF(M25+L26&lt;0,-1,IF(M25&lt;0,-1,1))*ABS(L26)+N26,IF(M25+L26&lt;0,-1,1)*ABS(L26)+N26)</f>
        <v>-500.00200000000041</v>
      </c>
    </row>
    <row r="27" spans="2:16" x14ac:dyDescent="0.25">
      <c r="B27" s="215" t="s">
        <v>543</v>
      </c>
      <c r="C27" s="486">
        <v>458.952</v>
      </c>
      <c r="D27" s="484">
        <f t="shared" ref="D27:D30" si="7">C27+D26</f>
        <v>-124.53499999999372</v>
      </c>
      <c r="E27" s="485">
        <f t="shared" ref="E27:E29" si="8">IF(AND(D26*C27&lt;0,ABS(C27)-ABS(D26)&gt;0),D26,0)</f>
        <v>0</v>
      </c>
      <c r="F27" s="485">
        <f t="shared" ref="F27:F30" si="9">IF(E27&lt;&gt;0,0,IF(D26*C27&gt;=0,D26,D26+C27))</f>
        <v>-124.53499999999372</v>
      </c>
      <c r="G27" s="485">
        <f t="shared" ref="G27:G30" si="10">IF(AND(D26&lt;&gt;0,E27=0),IF(D26+C27&lt;0,-1,IF(D26&lt;0,-1,1))*ABS(C27)+E27,IF(D26+C27&lt;0,-1,1)*ABS(C27)+E27)</f>
        <v>-458.952</v>
      </c>
      <c r="H27" s="396"/>
      <c r="I27" s="396"/>
      <c r="J27" s="396"/>
      <c r="K27" s="216" t="s">
        <v>1219</v>
      </c>
      <c r="L27" s="486">
        <f t="shared" si="3"/>
        <v>458.952</v>
      </c>
      <c r="M27" s="484">
        <f t="shared" si="4"/>
        <v>-124.53499999999372</v>
      </c>
      <c r="N27" s="485">
        <f t="shared" ref="N27:N29" si="11">IF(AND(M26*L27&lt;0,ABS(L27)-ABS(M26)&gt;0),M26,0)</f>
        <v>0</v>
      </c>
      <c r="O27" s="485">
        <f t="shared" si="5"/>
        <v>-124.53499999999372</v>
      </c>
      <c r="P27" s="485">
        <f t="shared" si="6"/>
        <v>-458.952</v>
      </c>
    </row>
    <row r="28" spans="2:16" x14ac:dyDescent="0.25">
      <c r="B28" s="215" t="s">
        <v>1231</v>
      </c>
      <c r="C28" s="486">
        <v>319.14799999999923</v>
      </c>
      <c r="D28" s="484">
        <f t="shared" si="7"/>
        <v>194.61300000000551</v>
      </c>
      <c r="E28" s="485">
        <f t="shared" si="8"/>
        <v>-124.53499999999372</v>
      </c>
      <c r="F28" s="485">
        <f t="shared" si="9"/>
        <v>0</v>
      </c>
      <c r="G28" s="485">
        <f t="shared" si="10"/>
        <v>194.61300000000551</v>
      </c>
      <c r="H28" s="396"/>
      <c r="I28" s="396"/>
      <c r="J28" s="396"/>
      <c r="K28" s="216" t="s">
        <v>1218</v>
      </c>
      <c r="L28" s="486">
        <f t="shared" si="3"/>
        <v>319.14799999999923</v>
      </c>
      <c r="M28" s="484">
        <f t="shared" si="4"/>
        <v>194.61300000000551</v>
      </c>
      <c r="N28" s="485">
        <f t="shared" si="11"/>
        <v>-124.53499999999372</v>
      </c>
      <c r="O28" s="485">
        <f t="shared" si="5"/>
        <v>0</v>
      </c>
      <c r="P28" s="485">
        <f t="shared" si="6"/>
        <v>194.61300000000551</v>
      </c>
    </row>
    <row r="29" spans="2:16" x14ac:dyDescent="0.25">
      <c r="B29" s="215" t="s">
        <v>1232</v>
      </c>
      <c r="C29" s="486">
        <v>316.62699999999995</v>
      </c>
      <c r="D29" s="484">
        <f t="shared" si="7"/>
        <v>511.24000000000547</v>
      </c>
      <c r="E29" s="485">
        <f t="shared" si="8"/>
        <v>0</v>
      </c>
      <c r="F29" s="485">
        <f t="shared" si="9"/>
        <v>194.61300000000551</v>
      </c>
      <c r="G29" s="485">
        <f t="shared" si="10"/>
        <v>316.62699999999995</v>
      </c>
      <c r="H29" s="396"/>
      <c r="I29" s="396"/>
      <c r="J29" s="396"/>
      <c r="K29" s="216" t="s">
        <v>1220</v>
      </c>
      <c r="L29" s="486">
        <f t="shared" si="3"/>
        <v>316.62699999999995</v>
      </c>
      <c r="M29" s="484">
        <f t="shared" si="4"/>
        <v>511.24000000000547</v>
      </c>
      <c r="N29" s="485">
        <f t="shared" si="11"/>
        <v>0</v>
      </c>
      <c r="O29" s="485">
        <f t="shared" si="5"/>
        <v>194.61300000000551</v>
      </c>
      <c r="P29" s="485">
        <f t="shared" si="6"/>
        <v>316.62699999999995</v>
      </c>
    </row>
    <row r="30" spans="2:16" x14ac:dyDescent="0.25">
      <c r="B30" s="215" t="s">
        <v>544</v>
      </c>
      <c r="C30" s="486">
        <v>116.96899999999999</v>
      </c>
      <c r="D30" s="484">
        <f t="shared" si="7"/>
        <v>628.20900000000552</v>
      </c>
      <c r="E30" s="485">
        <f>IF(AND(D29*C30&lt;0,ABS(C30)-ABS(D29)&gt;0),D29,0)</f>
        <v>0</v>
      </c>
      <c r="F30" s="485">
        <f t="shared" si="9"/>
        <v>511.24000000000547</v>
      </c>
      <c r="G30" s="485">
        <f t="shared" si="10"/>
        <v>116.96899999999999</v>
      </c>
      <c r="H30" s="396"/>
      <c r="I30" s="396"/>
      <c r="J30" s="396"/>
      <c r="K30" s="216" t="s">
        <v>500</v>
      </c>
      <c r="L30" s="486">
        <f t="shared" si="3"/>
        <v>116.96899999999999</v>
      </c>
      <c r="M30" s="484">
        <f t="shared" si="4"/>
        <v>628.20900000000552</v>
      </c>
      <c r="N30" s="485">
        <f>IF(AND(M29*L30&lt;0,ABS(L30)-ABS(M29)&gt;0),M29,0)</f>
        <v>0</v>
      </c>
      <c r="O30" s="485">
        <f t="shared" si="5"/>
        <v>511.24000000000547</v>
      </c>
      <c r="P30" s="485">
        <f t="shared" si="6"/>
        <v>116.96899999999999</v>
      </c>
    </row>
    <row r="31" spans="2:16" x14ac:dyDescent="0.25">
      <c r="B31" s="215" t="s">
        <v>1233</v>
      </c>
      <c r="C31" s="486">
        <v>-553.11800000000017</v>
      </c>
      <c r="D31" s="484">
        <f t="shared" ref="D31:D38" si="12">C31+D30</f>
        <v>75.091000000005351</v>
      </c>
      <c r="E31" s="485">
        <f t="shared" ref="E31" si="13">IF(AND(D30*C31&lt;0,ABS(C31)-ABS(D30)&gt;0),D30,0)</f>
        <v>0</v>
      </c>
      <c r="F31" s="485">
        <f t="shared" ref="F31:F38" si="14">IF(E31&lt;&gt;0,0,IF(D30*C31&gt;=0,D30,D30+C31))</f>
        <v>75.091000000005351</v>
      </c>
      <c r="G31" s="485">
        <f t="shared" ref="G31:G38" si="15">IF(AND(D30&lt;&gt;0,E31=0),IF(D30+C31&lt;0,-1,IF(D30&lt;0,-1,1))*ABS(C31)+E31,IF(D30+C31&lt;0,-1,1)*ABS(C31)+E31)</f>
        <v>553.11800000000017</v>
      </c>
      <c r="H31" s="396"/>
      <c r="I31" s="396"/>
      <c r="J31" s="396"/>
      <c r="K31" s="216" t="s">
        <v>1221</v>
      </c>
      <c r="L31" s="486">
        <f t="shared" si="3"/>
        <v>-553.11800000000017</v>
      </c>
      <c r="M31" s="484">
        <f t="shared" si="4"/>
        <v>75.091000000005351</v>
      </c>
      <c r="N31" s="485">
        <f t="shared" ref="N31" si="16">IF(AND(M30*L31&lt;0,ABS(L31)-ABS(M30)&gt;0),M30,0)</f>
        <v>0</v>
      </c>
      <c r="O31" s="485">
        <f t="shared" si="5"/>
        <v>75.091000000005351</v>
      </c>
      <c r="P31" s="485">
        <f t="shared" si="6"/>
        <v>553.11800000000017</v>
      </c>
    </row>
    <row r="32" spans="2:16" x14ac:dyDescent="0.25">
      <c r="B32" s="215" t="s">
        <v>499</v>
      </c>
      <c r="C32" s="486">
        <v>-460.15899999999965</v>
      </c>
      <c r="D32" s="484">
        <f t="shared" si="12"/>
        <v>-385.0679999999943</v>
      </c>
      <c r="E32" s="485">
        <f>IF(AND(D31*C32&lt;0,ABS(C32)-ABS(D31)&gt;0),D31,0)</f>
        <v>75.091000000005351</v>
      </c>
      <c r="F32" s="485">
        <f t="shared" si="14"/>
        <v>0</v>
      </c>
      <c r="G32" s="485">
        <f t="shared" si="15"/>
        <v>-385.0679999999943</v>
      </c>
      <c r="H32" s="396"/>
      <c r="I32" s="396"/>
      <c r="J32" s="396"/>
      <c r="K32" s="216" t="s">
        <v>1222</v>
      </c>
      <c r="L32" s="486">
        <f t="shared" si="3"/>
        <v>-460.15899999999965</v>
      </c>
      <c r="M32" s="484">
        <f t="shared" si="4"/>
        <v>-385.0679999999943</v>
      </c>
      <c r="N32" s="485">
        <f>IF(AND(M31*L32&lt;0,ABS(L32)-ABS(M31)&gt;0),M31,0)</f>
        <v>75.091000000005351</v>
      </c>
      <c r="O32" s="485">
        <f t="shared" si="5"/>
        <v>0</v>
      </c>
      <c r="P32" s="485">
        <f t="shared" si="6"/>
        <v>-385.0679999999943</v>
      </c>
    </row>
    <row r="33" spans="2:16" x14ac:dyDescent="0.25">
      <c r="B33" s="215" t="s">
        <v>1234</v>
      </c>
      <c r="C33" s="486">
        <v>-250.04099999999926</v>
      </c>
      <c r="D33" s="484">
        <f t="shared" si="12"/>
        <v>-635.10899999999356</v>
      </c>
      <c r="E33" s="485">
        <f t="shared" ref="E33:E34" si="17">IF(AND(D32*C33&lt;0,ABS(C33)-ABS(D32)&gt;0),D32,0)</f>
        <v>0</v>
      </c>
      <c r="F33" s="485">
        <f t="shared" si="14"/>
        <v>-385.0679999999943</v>
      </c>
      <c r="G33" s="485">
        <f t="shared" si="15"/>
        <v>-250.04099999999926</v>
      </c>
      <c r="H33" s="396"/>
      <c r="I33" s="396"/>
      <c r="J33" s="396"/>
      <c r="K33" s="216" t="s">
        <v>1223</v>
      </c>
      <c r="L33" s="486">
        <f t="shared" si="3"/>
        <v>-250.04099999999926</v>
      </c>
      <c r="M33" s="484">
        <f t="shared" si="4"/>
        <v>-635.10899999999356</v>
      </c>
      <c r="N33" s="485">
        <f t="shared" ref="N33:N34" si="18">IF(AND(M32*L33&lt;0,ABS(L33)-ABS(M32)&gt;0),M32,0)</f>
        <v>0</v>
      </c>
      <c r="O33" s="485">
        <f t="shared" si="5"/>
        <v>-385.0679999999943</v>
      </c>
      <c r="P33" s="485">
        <f t="shared" si="6"/>
        <v>-250.04099999999926</v>
      </c>
    </row>
    <row r="34" spans="2:16" x14ac:dyDescent="0.25">
      <c r="B34" s="215" t="s">
        <v>498</v>
      </c>
      <c r="C34" s="486">
        <v>-73.533999999999651</v>
      </c>
      <c r="D34" s="484">
        <f t="shared" si="12"/>
        <v>-708.64299999999321</v>
      </c>
      <c r="E34" s="485">
        <f t="shared" si="17"/>
        <v>0</v>
      </c>
      <c r="F34" s="485">
        <f t="shared" si="14"/>
        <v>-635.10899999999356</v>
      </c>
      <c r="G34" s="485">
        <f t="shared" si="15"/>
        <v>-73.533999999999651</v>
      </c>
      <c r="H34" s="396"/>
      <c r="I34" s="396"/>
      <c r="J34" s="396"/>
      <c r="K34" s="216" t="s">
        <v>1224</v>
      </c>
      <c r="L34" s="486">
        <f t="shared" si="3"/>
        <v>-73.533999999999651</v>
      </c>
      <c r="M34" s="484">
        <f t="shared" si="4"/>
        <v>-708.64299999999321</v>
      </c>
      <c r="N34" s="485">
        <f t="shared" si="18"/>
        <v>0</v>
      </c>
      <c r="O34" s="485">
        <f t="shared" si="5"/>
        <v>-635.10899999999356</v>
      </c>
      <c r="P34" s="485">
        <f t="shared" si="6"/>
        <v>-73.533999999999651</v>
      </c>
    </row>
    <row r="35" spans="2:16" x14ac:dyDescent="0.25">
      <c r="B35" s="215" t="s">
        <v>1235</v>
      </c>
      <c r="C35" s="486">
        <v>-62.941999999999098</v>
      </c>
      <c r="D35" s="484">
        <f t="shared" si="12"/>
        <v>-771.58499999999231</v>
      </c>
      <c r="E35" s="485">
        <f>IF(AND(D34*C35&lt;0,ABS(C35)-ABS(D34)&gt;0),D34,0)</f>
        <v>0</v>
      </c>
      <c r="F35" s="485">
        <f t="shared" si="14"/>
        <v>-708.64299999999321</v>
      </c>
      <c r="G35" s="485">
        <f t="shared" si="15"/>
        <v>-62.941999999999098</v>
      </c>
      <c r="H35" s="396"/>
      <c r="I35" s="396"/>
      <c r="J35" s="396"/>
      <c r="K35" s="216" t="s">
        <v>1225</v>
      </c>
      <c r="L35" s="486">
        <f t="shared" si="3"/>
        <v>-62.941999999999098</v>
      </c>
      <c r="M35" s="484">
        <f t="shared" si="4"/>
        <v>-771.58499999999231</v>
      </c>
      <c r="N35" s="485">
        <f>IF(AND(M34*L35&lt;0,ABS(L35)-ABS(M34)&gt;0),M34,0)</f>
        <v>0</v>
      </c>
      <c r="O35" s="485">
        <f t="shared" si="5"/>
        <v>-708.64299999999321</v>
      </c>
      <c r="P35" s="485">
        <f t="shared" si="6"/>
        <v>-62.941999999999098</v>
      </c>
    </row>
    <row r="36" spans="2:16" x14ac:dyDescent="0.25">
      <c r="B36" s="215" t="s">
        <v>1236</v>
      </c>
      <c r="C36" s="486">
        <v>-59.418999999999869</v>
      </c>
      <c r="D36" s="484">
        <f t="shared" si="12"/>
        <v>-831.00399999999217</v>
      </c>
      <c r="E36" s="485">
        <f t="shared" ref="E36" si="19">IF(AND(D35*C36&lt;0,ABS(C36)-ABS(D35)&gt;0),D35,0)</f>
        <v>0</v>
      </c>
      <c r="F36" s="485">
        <f t="shared" si="14"/>
        <v>-771.58499999999231</v>
      </c>
      <c r="G36" s="485">
        <f t="shared" si="15"/>
        <v>-59.418999999999869</v>
      </c>
      <c r="H36" s="396"/>
      <c r="I36" s="396"/>
      <c r="J36" s="396"/>
      <c r="K36" s="216" t="s">
        <v>1226</v>
      </c>
      <c r="L36" s="486">
        <f t="shared" si="3"/>
        <v>-59.418999999999869</v>
      </c>
      <c r="M36" s="484">
        <f t="shared" si="4"/>
        <v>-831.00399999999217</v>
      </c>
      <c r="N36" s="485">
        <f t="shared" ref="N36" si="20">IF(AND(M35*L36&lt;0,ABS(L36)-ABS(M35)&gt;0),M35,0)</f>
        <v>0</v>
      </c>
      <c r="O36" s="485">
        <f t="shared" si="5"/>
        <v>-771.58499999999231</v>
      </c>
      <c r="P36" s="485">
        <f t="shared" si="6"/>
        <v>-59.418999999999869</v>
      </c>
    </row>
    <row r="37" spans="2:16" x14ac:dyDescent="0.25">
      <c r="B37" s="215" t="s">
        <v>1237</v>
      </c>
      <c r="C37" s="486">
        <v>-40.884999999999991</v>
      </c>
      <c r="D37" s="484">
        <f t="shared" si="12"/>
        <v>-871.88899999999217</v>
      </c>
      <c r="E37" s="485">
        <f>IF(AND(D36*C37&lt;0,ABS(C37)-ABS(D36)&gt;0),D36,0)</f>
        <v>0</v>
      </c>
      <c r="F37" s="485">
        <f t="shared" si="14"/>
        <v>-831.00399999999217</v>
      </c>
      <c r="G37" s="485">
        <f t="shared" si="15"/>
        <v>-40.884999999999991</v>
      </c>
      <c r="H37" s="396"/>
      <c r="I37" s="396"/>
      <c r="J37" s="396"/>
      <c r="K37" s="216" t="s">
        <v>1228</v>
      </c>
      <c r="L37" s="486">
        <f t="shared" si="3"/>
        <v>-40.884999999999991</v>
      </c>
      <c r="M37" s="484">
        <f t="shared" si="4"/>
        <v>-871.88899999999217</v>
      </c>
      <c r="N37" s="485">
        <f>IF(AND(M36*L37&lt;0,ABS(L37)-ABS(M36)&gt;0),M36,0)</f>
        <v>0</v>
      </c>
      <c r="O37" s="485">
        <f t="shared" si="5"/>
        <v>-831.00399999999217</v>
      </c>
      <c r="P37" s="485">
        <f t="shared" si="6"/>
        <v>-40.884999999999991</v>
      </c>
    </row>
    <row r="38" spans="2:16" x14ac:dyDescent="0.25">
      <c r="B38" s="215" t="s">
        <v>1238</v>
      </c>
      <c r="C38" s="486">
        <v>-12.575000000000728</v>
      </c>
      <c r="D38" s="484">
        <f t="shared" si="12"/>
        <v>-884.46399999999289</v>
      </c>
      <c r="E38" s="485">
        <f t="shared" ref="E38" si="21">IF(AND(D37*C38&lt;0,ABS(C38)-ABS(D37)&gt;0),D37,0)</f>
        <v>0</v>
      </c>
      <c r="F38" s="485">
        <f t="shared" si="14"/>
        <v>-871.88899999999217</v>
      </c>
      <c r="G38" s="485">
        <f t="shared" si="15"/>
        <v>-12.575000000000728</v>
      </c>
      <c r="H38" s="396"/>
      <c r="I38" s="396"/>
      <c r="J38" s="396"/>
      <c r="K38" s="216" t="s">
        <v>1227</v>
      </c>
      <c r="L38" s="483">
        <f t="shared" si="3"/>
        <v>-12.575000000000728</v>
      </c>
      <c r="M38" s="484">
        <f t="shared" si="4"/>
        <v>-884.46399999999289</v>
      </c>
      <c r="N38" s="485">
        <f t="shared" ref="N38" si="22">IF(AND(M37*L38&lt;0,ABS(L38)-ABS(M37)&gt;0),M37,0)</f>
        <v>0</v>
      </c>
      <c r="O38" s="485">
        <f t="shared" si="5"/>
        <v>-871.88899999999217</v>
      </c>
      <c r="P38" s="485">
        <f t="shared" si="6"/>
        <v>-12.575000000000728</v>
      </c>
    </row>
    <row r="39" spans="2:16" ht="14.25" thickBot="1" x14ac:dyDescent="0.3">
      <c r="B39" s="895" t="s">
        <v>222</v>
      </c>
      <c r="C39" s="900">
        <v>-917.07499999999368</v>
      </c>
      <c r="D39" s="894">
        <f>D25+SUM(C26:C38)</f>
        <v>-884.46399999999289</v>
      </c>
      <c r="E39" s="893"/>
      <c r="F39" s="893"/>
      <c r="G39" s="893">
        <f>D39</f>
        <v>-884.46399999999289</v>
      </c>
      <c r="H39" s="396"/>
      <c r="I39" s="396"/>
      <c r="J39" s="396"/>
      <c r="K39" s="761" t="s">
        <v>497</v>
      </c>
      <c r="L39" s="761">
        <f t="shared" si="3"/>
        <v>-917.07499999999368</v>
      </c>
      <c r="M39" s="894">
        <f>M25+SUM(L26:L38)</f>
        <v>-884.46399999999289</v>
      </c>
      <c r="N39" s="893"/>
      <c r="O39" s="893"/>
      <c r="P39" s="893">
        <f>M39</f>
        <v>-884.46399999999289</v>
      </c>
    </row>
    <row r="40" spans="2:16" x14ac:dyDescent="0.25">
      <c r="H40" s="396"/>
      <c r="I40" s="396"/>
      <c r="J40" s="396"/>
    </row>
    <row r="41" spans="2:16" x14ac:dyDescent="0.25">
      <c r="K41" s="216"/>
    </row>
    <row r="42" spans="2:16" x14ac:dyDescent="0.25">
      <c r="K42" s="216"/>
    </row>
    <row r="43" spans="2:16" x14ac:dyDescent="0.25">
      <c r="K43" s="216"/>
    </row>
    <row r="44" spans="2:16" x14ac:dyDescent="0.25">
      <c r="K44" s="216"/>
    </row>
    <row r="45" spans="2:16" x14ac:dyDescent="0.25">
      <c r="K45" s="216"/>
    </row>
    <row r="46" spans="2:16" x14ac:dyDescent="0.25">
      <c r="K46" s="216"/>
    </row>
    <row r="47" spans="2:16" x14ac:dyDescent="0.25">
      <c r="K47" s="216"/>
    </row>
    <row r="48" spans="2:16" x14ac:dyDescent="0.25">
      <c r="K48" s="216"/>
    </row>
    <row r="49" spans="11:11" x14ac:dyDescent="0.25">
      <c r="K49" s="216"/>
    </row>
    <row r="50" spans="11:11" x14ac:dyDescent="0.25">
      <c r="K50" s="216"/>
    </row>
    <row r="51" spans="11:11" x14ac:dyDescent="0.25">
      <c r="K51" s="216"/>
    </row>
    <row r="52" spans="11:11" x14ac:dyDescent="0.25">
      <c r="K52" s="216"/>
    </row>
    <row r="53" spans="11:11" x14ac:dyDescent="0.25">
      <c r="K53" s="216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0"/>
  <dimension ref="B2:AB59"/>
  <sheetViews>
    <sheetView showGridLines="0" zoomScale="90" zoomScaleNormal="90" workbookViewId="0">
      <selection activeCell="E32" sqref="E32:K32"/>
    </sheetView>
  </sheetViews>
  <sheetFormatPr defaultColWidth="9.140625" defaultRowHeight="13.5" x14ac:dyDescent="0.25"/>
  <cols>
    <col min="1" max="1" width="17.7109375" style="34" customWidth="1"/>
    <col min="2" max="2" width="34.28515625" style="34" customWidth="1"/>
    <col min="3" max="3" width="32.28515625" style="34" customWidth="1"/>
    <col min="4" max="4" width="9.140625" style="34"/>
    <col min="5" max="5" width="11" style="34" customWidth="1"/>
    <col min="6" max="6" width="9.140625" style="34"/>
    <col min="7" max="7" width="11.42578125" style="34" customWidth="1"/>
    <col min="8" max="16384" width="9.140625" style="34"/>
  </cols>
  <sheetData>
    <row r="2" spans="2:28" ht="15.75" customHeight="1" thickBot="1" x14ac:dyDescent="0.3">
      <c r="B2" s="980" t="s">
        <v>1457</v>
      </c>
      <c r="C2" s="980"/>
      <c r="E2" s="980" t="s">
        <v>1459</v>
      </c>
      <c r="F2" s="980"/>
      <c r="G2" s="980"/>
      <c r="H2" s="980"/>
      <c r="I2" s="980"/>
      <c r="J2" s="980"/>
      <c r="K2" s="980"/>
    </row>
    <row r="13" spans="2:28" x14ac:dyDescent="0.25">
      <c r="R13" s="249"/>
      <c r="S13" s="249"/>
      <c r="T13" s="249"/>
      <c r="U13" s="249"/>
      <c r="V13" s="249"/>
      <c r="W13" s="249"/>
      <c r="X13" s="249"/>
      <c r="Y13" s="249"/>
      <c r="Z13" s="249"/>
      <c r="AA13" s="249"/>
      <c r="AB13" s="249"/>
    </row>
    <row r="14" spans="2:28" x14ac:dyDescent="0.25">
      <c r="R14" s="249"/>
      <c r="S14" s="249"/>
      <c r="T14" s="249"/>
      <c r="U14" s="249"/>
      <c r="V14" s="249"/>
      <c r="W14" s="249"/>
      <c r="X14" s="249"/>
      <c r="Y14" s="249"/>
      <c r="Z14" s="249"/>
      <c r="AA14" s="249"/>
      <c r="AB14" s="249"/>
    </row>
    <row r="15" spans="2:28" x14ac:dyDescent="0.25">
      <c r="R15" s="257"/>
      <c r="S15" s="257"/>
      <c r="T15" s="257"/>
      <c r="U15" s="249"/>
      <c r="V15" s="249"/>
      <c r="W15" s="249"/>
      <c r="X15" s="249"/>
      <c r="Y15" s="249"/>
      <c r="Z15" s="249"/>
      <c r="AA15" s="249"/>
      <c r="AB15" s="249"/>
    </row>
    <row r="16" spans="2:28" x14ac:dyDescent="0.25">
      <c r="R16" s="249"/>
      <c r="S16" s="249"/>
      <c r="T16" s="249"/>
      <c r="U16" s="249"/>
      <c r="V16" s="249"/>
      <c r="W16" s="249"/>
      <c r="X16" s="249"/>
      <c r="Y16" s="249"/>
      <c r="Z16" s="249"/>
      <c r="AA16" s="249"/>
      <c r="AB16" s="249"/>
    </row>
    <row r="17" spans="2:28" x14ac:dyDescent="0.25"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</row>
    <row r="18" spans="2:28" x14ac:dyDescent="0.25">
      <c r="R18" s="249"/>
      <c r="S18" s="249"/>
      <c r="T18" s="249"/>
      <c r="U18" s="249"/>
      <c r="V18" s="249"/>
      <c r="W18" s="249"/>
      <c r="X18" s="249"/>
      <c r="Y18" s="249"/>
      <c r="Z18" s="249"/>
      <c r="AA18" s="249"/>
      <c r="AB18" s="249"/>
    </row>
    <row r="19" spans="2:28" x14ac:dyDescent="0.25">
      <c r="C19" s="478" t="s">
        <v>19</v>
      </c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</row>
    <row r="20" spans="2:28" ht="14.25" thickBot="1" x14ac:dyDescent="0.3">
      <c r="B20" s="979" t="s">
        <v>1019</v>
      </c>
      <c r="C20" s="979"/>
      <c r="E20" s="977" t="s">
        <v>1019</v>
      </c>
      <c r="F20" s="977"/>
      <c r="G20" s="977"/>
      <c r="H20" s="977"/>
      <c r="I20" s="977"/>
      <c r="J20" s="977"/>
      <c r="K20" s="978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</row>
    <row r="21" spans="2:28" ht="27.75" thickBot="1" x14ac:dyDescent="0.3">
      <c r="B21" s="40" t="s">
        <v>51</v>
      </c>
      <c r="C21" s="248">
        <f>SUM(C22:C25)</f>
        <v>112.02642771662278</v>
      </c>
      <c r="E21" s="253"/>
      <c r="F21" s="254" t="s">
        <v>750</v>
      </c>
      <c r="G21" s="254" t="s">
        <v>751</v>
      </c>
      <c r="H21" s="254" t="s">
        <v>752</v>
      </c>
      <c r="I21" s="255" t="s">
        <v>753</v>
      </c>
      <c r="J21" s="255" t="s">
        <v>754</v>
      </c>
      <c r="K21" s="640"/>
      <c r="R21" s="249"/>
      <c r="S21" s="249"/>
      <c r="T21" s="249"/>
      <c r="U21" s="249"/>
      <c r="V21" s="249"/>
      <c r="W21" s="249"/>
      <c r="X21" s="249"/>
      <c r="Y21" s="249"/>
      <c r="Z21" s="249"/>
      <c r="AA21" s="249"/>
      <c r="AB21" s="249"/>
    </row>
    <row r="22" spans="2:28" x14ac:dyDescent="0.25">
      <c r="B22" s="249" t="s">
        <v>746</v>
      </c>
      <c r="C22" s="250">
        <v>219.20129892551344</v>
      </c>
      <c r="E22" s="256" t="s">
        <v>51</v>
      </c>
      <c r="F22" s="257">
        <v>112.02642771662275</v>
      </c>
      <c r="G22" s="257">
        <v>219.20129892551344</v>
      </c>
      <c r="H22" s="257">
        <v>-163.99500313889033</v>
      </c>
      <c r="I22" s="257">
        <v>5.5567380199999894</v>
      </c>
      <c r="J22" s="257">
        <v>51.263393909999678</v>
      </c>
      <c r="K22" s="641"/>
      <c r="R22" s="249"/>
      <c r="S22" s="249"/>
      <c r="T22" s="249"/>
      <c r="U22" s="249"/>
      <c r="V22" s="249"/>
      <c r="W22" s="249"/>
      <c r="X22" s="249"/>
      <c r="Y22" s="249"/>
      <c r="Z22" s="249"/>
      <c r="AA22" s="249"/>
      <c r="AB22" s="249"/>
    </row>
    <row r="23" spans="2:28" x14ac:dyDescent="0.25">
      <c r="B23" s="249" t="s">
        <v>747</v>
      </c>
      <c r="C23" s="250">
        <v>-163.99500313889033</v>
      </c>
      <c r="E23" s="249" t="s">
        <v>755</v>
      </c>
      <c r="F23" s="258">
        <v>73.872758390000385</v>
      </c>
      <c r="G23" s="258">
        <v>57.396411236641661</v>
      </c>
      <c r="H23" s="258">
        <v>16.476347153358724</v>
      </c>
      <c r="I23" s="258">
        <v>0</v>
      </c>
      <c r="J23" s="258">
        <v>0</v>
      </c>
      <c r="K23" s="642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</row>
    <row r="24" spans="2:28" x14ac:dyDescent="0.25">
      <c r="B24" s="249" t="s">
        <v>748</v>
      </c>
      <c r="C24" s="250">
        <v>5.5567380199999894</v>
      </c>
      <c r="E24" s="249" t="s">
        <v>756</v>
      </c>
      <c r="F24" s="258">
        <v>-424.42399999999986</v>
      </c>
      <c r="G24" s="258">
        <v>-35.298723455577381</v>
      </c>
      <c r="H24" s="258">
        <v>-389.12527654442249</v>
      </c>
      <c r="I24" s="258">
        <v>0</v>
      </c>
      <c r="J24" s="258">
        <v>0</v>
      </c>
      <c r="K24" s="643"/>
      <c r="L24" s="249"/>
      <c r="M24" s="249"/>
      <c r="N24" s="249"/>
      <c r="O24" s="479"/>
      <c r="P24" s="479"/>
      <c r="Q24" s="249"/>
      <c r="R24" s="249"/>
      <c r="S24" s="249"/>
      <c r="T24" s="249"/>
      <c r="U24" s="249"/>
      <c r="V24" s="249"/>
      <c r="W24" s="249"/>
      <c r="X24" s="249"/>
      <c r="Y24" s="249"/>
      <c r="Z24" s="249"/>
      <c r="AA24" s="249"/>
      <c r="AB24" s="249"/>
    </row>
    <row r="25" spans="2:28" ht="14.25" thickBot="1" x14ac:dyDescent="0.3">
      <c r="B25" s="251" t="s">
        <v>749</v>
      </c>
      <c r="C25" s="252">
        <v>51.263393909999678</v>
      </c>
      <c r="E25" s="249" t="s">
        <v>757</v>
      </c>
      <c r="F25" s="258">
        <v>198.09788025228295</v>
      </c>
      <c r="G25" s="258">
        <v>3.2826254756232855</v>
      </c>
      <c r="H25" s="258">
        <v>160.00816086665998</v>
      </c>
      <c r="I25" s="258">
        <v>0</v>
      </c>
      <c r="J25" s="259">
        <v>34.807093909999686</v>
      </c>
      <c r="K25" s="644"/>
      <c r="L25" s="257"/>
      <c r="M25" s="480"/>
      <c r="N25" s="480"/>
      <c r="O25" s="480"/>
      <c r="P25" s="480"/>
      <c r="Q25" s="249"/>
      <c r="R25" s="249"/>
      <c r="S25" s="249"/>
      <c r="T25" s="249"/>
      <c r="U25" s="249"/>
      <c r="V25" s="249"/>
      <c r="W25" s="249"/>
      <c r="X25" s="249"/>
      <c r="Y25" s="249"/>
      <c r="Z25" s="249"/>
      <c r="AA25" s="249"/>
      <c r="AB25" s="249"/>
    </row>
    <row r="26" spans="2:28" x14ac:dyDescent="0.25">
      <c r="E26" s="249" t="s">
        <v>758</v>
      </c>
      <c r="F26" s="258">
        <v>-8.8646337199995919</v>
      </c>
      <c r="G26" s="258">
        <v>4.4168441910348681</v>
      </c>
      <c r="H26" s="258">
        <v>-10.769477911034461</v>
      </c>
      <c r="I26" s="258">
        <v>0</v>
      </c>
      <c r="J26" s="259">
        <v>-2.512</v>
      </c>
      <c r="K26" s="644"/>
      <c r="L26" s="257"/>
      <c r="M26" s="481"/>
      <c r="N26" s="481"/>
      <c r="O26" s="481"/>
      <c r="P26" s="481"/>
      <c r="Q26" s="249"/>
      <c r="R26" s="249"/>
      <c r="S26" s="249"/>
      <c r="T26" s="249"/>
      <c r="U26" s="249"/>
      <c r="V26" s="249"/>
      <c r="W26" s="249"/>
      <c r="X26" s="249"/>
      <c r="Y26" s="249"/>
      <c r="Z26" s="249"/>
      <c r="AA26" s="249"/>
      <c r="AB26" s="249"/>
    </row>
    <row r="27" spans="2:28" ht="14.25" thickBot="1" x14ac:dyDescent="0.3">
      <c r="B27" s="443" t="s">
        <v>1458</v>
      </c>
      <c r="C27" s="46"/>
      <c r="E27" s="249" t="s">
        <v>759</v>
      </c>
      <c r="F27" s="258">
        <v>169.20335372433655</v>
      </c>
      <c r="G27" s="258">
        <v>148.73590678453618</v>
      </c>
      <c r="H27" s="258">
        <v>20.467446939800368</v>
      </c>
      <c r="I27" s="258">
        <v>0</v>
      </c>
      <c r="J27" s="258">
        <v>0</v>
      </c>
      <c r="K27" s="643"/>
      <c r="L27" s="257"/>
      <c r="M27" s="481"/>
      <c r="N27" s="481"/>
      <c r="O27" s="481"/>
      <c r="P27" s="481"/>
      <c r="Q27" s="249"/>
      <c r="R27" s="249"/>
      <c r="S27" s="249"/>
      <c r="T27" s="249"/>
      <c r="U27" s="249"/>
      <c r="V27" s="249"/>
      <c r="W27" s="249"/>
      <c r="X27" s="249"/>
      <c r="Y27" s="249"/>
      <c r="Z27" s="249"/>
      <c r="AA27" s="249"/>
      <c r="AB27" s="249"/>
    </row>
    <row r="28" spans="2:28" x14ac:dyDescent="0.25">
      <c r="E28" s="249" t="s">
        <v>760</v>
      </c>
      <c r="F28" s="258">
        <v>125.61636111000237</v>
      </c>
      <c r="G28" s="258">
        <v>68.708313716187661</v>
      </c>
      <c r="H28" s="258">
        <v>56.908047393814705</v>
      </c>
      <c r="I28" s="258">
        <v>0</v>
      </c>
      <c r="J28" s="258">
        <v>0</v>
      </c>
      <c r="K28" s="643"/>
      <c r="L28" s="257"/>
      <c r="M28" s="481"/>
      <c r="N28" s="481"/>
      <c r="O28" s="481"/>
      <c r="P28" s="481"/>
      <c r="Q28" s="249"/>
      <c r="R28" s="249"/>
      <c r="S28" s="249"/>
      <c r="T28" s="249"/>
      <c r="U28" s="249"/>
      <c r="V28" s="249"/>
      <c r="W28" s="249"/>
      <c r="X28" s="249"/>
      <c r="Y28" s="249"/>
      <c r="Z28" s="249"/>
      <c r="AA28" s="249"/>
      <c r="AB28" s="249"/>
    </row>
    <row r="29" spans="2:28" ht="14.25" thickBot="1" x14ac:dyDescent="0.3">
      <c r="E29" s="251" t="s">
        <v>761</v>
      </c>
      <c r="F29" s="260">
        <v>-21.475292040000056</v>
      </c>
      <c r="G29" s="260">
        <v>-28.040079022932844</v>
      </c>
      <c r="H29" s="260">
        <v>-17.960251037067167</v>
      </c>
      <c r="I29" s="260">
        <v>5.5567380199999894</v>
      </c>
      <c r="J29" s="260">
        <v>18.968299999999992</v>
      </c>
      <c r="K29" s="643"/>
      <c r="L29" s="257"/>
      <c r="M29" s="481"/>
      <c r="N29" s="481"/>
      <c r="O29" s="481"/>
      <c r="P29" s="481"/>
      <c r="Q29" s="249"/>
      <c r="R29" s="249"/>
      <c r="S29" s="249"/>
      <c r="T29" s="249"/>
      <c r="U29" s="249"/>
      <c r="V29" s="249"/>
      <c r="W29" s="249"/>
      <c r="X29" s="249"/>
      <c r="Y29" s="249"/>
      <c r="Z29" s="249"/>
      <c r="AA29" s="249"/>
      <c r="AB29" s="249"/>
    </row>
    <row r="30" spans="2:28" x14ac:dyDescent="0.25">
      <c r="L30" s="257"/>
      <c r="M30" s="481"/>
      <c r="N30" s="481"/>
      <c r="O30" s="481"/>
      <c r="P30" s="481"/>
      <c r="Q30" s="249"/>
      <c r="R30" s="249"/>
      <c r="S30" s="249"/>
      <c r="T30" s="249"/>
      <c r="U30" s="249"/>
      <c r="V30" s="249"/>
      <c r="W30" s="249"/>
      <c r="X30" s="249"/>
      <c r="Y30" s="249"/>
      <c r="Z30" s="249"/>
      <c r="AA30" s="249"/>
      <c r="AB30" s="249"/>
    </row>
    <row r="31" spans="2:28" x14ac:dyDescent="0.25">
      <c r="L31" s="257"/>
      <c r="M31" s="481"/>
      <c r="N31" s="481"/>
      <c r="O31" s="481"/>
      <c r="P31" s="481"/>
      <c r="Q31" s="249"/>
      <c r="R31" s="249"/>
      <c r="S31" s="249"/>
      <c r="T31" s="249"/>
      <c r="U31" s="249"/>
      <c r="V31" s="249"/>
      <c r="W31" s="249"/>
      <c r="X31" s="249"/>
      <c r="Y31" s="249"/>
      <c r="Z31" s="249"/>
      <c r="AA31" s="249"/>
      <c r="AB31" s="249"/>
    </row>
    <row r="32" spans="2:28" ht="14.25" thickBot="1" x14ac:dyDescent="0.3">
      <c r="E32" s="979" t="s">
        <v>1460</v>
      </c>
      <c r="F32" s="979"/>
      <c r="G32" s="979"/>
      <c r="H32" s="979"/>
      <c r="I32" s="979"/>
      <c r="J32" s="979"/>
      <c r="K32" s="979"/>
      <c r="L32" s="249"/>
      <c r="M32" s="249"/>
      <c r="N32" s="249"/>
      <c r="O32" s="249"/>
      <c r="P32" s="249"/>
      <c r="Q32" s="249"/>
      <c r="R32" s="249"/>
      <c r="S32" s="249"/>
      <c r="T32" s="249"/>
      <c r="U32" s="249"/>
      <c r="V32" s="249"/>
      <c r="W32" s="249"/>
      <c r="X32" s="249"/>
      <c r="Y32" s="249"/>
      <c r="Z32" s="249"/>
      <c r="AA32" s="249"/>
      <c r="AB32" s="249"/>
    </row>
    <row r="33" spans="2:28" x14ac:dyDescent="0.25">
      <c r="K33" s="249"/>
      <c r="L33" s="249"/>
      <c r="M33" s="249"/>
      <c r="N33" s="249"/>
      <c r="O33" s="249"/>
      <c r="P33" s="249"/>
      <c r="Q33" s="249"/>
      <c r="R33" s="249"/>
      <c r="S33" s="249"/>
      <c r="T33" s="249"/>
      <c r="U33" s="249"/>
      <c r="V33" s="249"/>
      <c r="W33" s="249"/>
      <c r="X33" s="249"/>
      <c r="Y33" s="249"/>
      <c r="Z33" s="249"/>
      <c r="AA33" s="249"/>
      <c r="AB33" s="249"/>
    </row>
    <row r="34" spans="2:28" x14ac:dyDescent="0.25">
      <c r="K34" s="249"/>
      <c r="L34" s="249"/>
      <c r="M34" s="249"/>
      <c r="N34" s="249"/>
      <c r="O34" s="249"/>
      <c r="P34" s="249"/>
      <c r="Q34" s="249"/>
      <c r="R34" s="249"/>
      <c r="S34" s="249"/>
      <c r="T34" s="249"/>
      <c r="U34" s="249"/>
      <c r="V34" s="249"/>
      <c r="W34" s="249"/>
      <c r="X34" s="249"/>
      <c r="Y34" s="249"/>
      <c r="Z34" s="249"/>
      <c r="AA34" s="249"/>
      <c r="AB34" s="249"/>
    </row>
    <row r="35" spans="2:28" x14ac:dyDescent="0.25">
      <c r="K35" s="249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</row>
    <row r="44" spans="2:28" ht="14.25" thickBot="1" x14ac:dyDescent="0.3">
      <c r="B44" s="979" t="s">
        <v>1020</v>
      </c>
      <c r="C44" s="979"/>
    </row>
    <row r="45" spans="2:28" ht="14.25" thickBot="1" x14ac:dyDescent="0.3">
      <c r="B45" s="47" t="s">
        <v>339</v>
      </c>
      <c r="C45" s="261">
        <f>SUM(C46:C49)</f>
        <v>112.02642771662278</v>
      </c>
    </row>
    <row r="46" spans="2:28" x14ac:dyDescent="0.25">
      <c r="B46" s="249" t="s">
        <v>771</v>
      </c>
      <c r="C46" s="250">
        <v>219.20129892551344</v>
      </c>
    </row>
    <row r="47" spans="2:28" x14ac:dyDescent="0.25">
      <c r="B47" s="262" t="s">
        <v>768</v>
      </c>
      <c r="C47" s="250">
        <v>-163.99500313889033</v>
      </c>
    </row>
    <row r="48" spans="2:28" x14ac:dyDescent="0.25">
      <c r="B48" s="249" t="s">
        <v>772</v>
      </c>
      <c r="C48" s="250">
        <v>5.5567380199999894</v>
      </c>
    </row>
    <row r="49" spans="2:11" ht="14.25" thickBot="1" x14ac:dyDescent="0.3">
      <c r="B49" s="251" t="s">
        <v>770</v>
      </c>
      <c r="C49" s="252">
        <v>51.263393909999678</v>
      </c>
    </row>
    <row r="50" spans="2:11" ht="14.25" thickBot="1" x14ac:dyDescent="0.3">
      <c r="C50" s="482" t="s">
        <v>235</v>
      </c>
      <c r="E50" s="977" t="s">
        <v>1020</v>
      </c>
      <c r="F50" s="977"/>
      <c r="G50" s="977"/>
      <c r="H50" s="977"/>
      <c r="I50" s="977"/>
      <c r="J50" s="977"/>
      <c r="K50" s="978"/>
    </row>
    <row r="51" spans="2:11" ht="27.75" thickBot="1" x14ac:dyDescent="0.3">
      <c r="E51" s="253"/>
      <c r="F51" s="254" t="s">
        <v>339</v>
      </c>
      <c r="G51" s="255" t="s">
        <v>771</v>
      </c>
      <c r="H51" s="254" t="s">
        <v>768</v>
      </c>
      <c r="I51" s="255" t="s">
        <v>769</v>
      </c>
      <c r="J51" s="255" t="s">
        <v>770</v>
      </c>
      <c r="K51" s="640"/>
    </row>
    <row r="52" spans="2:11" x14ac:dyDescent="0.25">
      <c r="E52" s="256" t="s">
        <v>339</v>
      </c>
      <c r="F52" s="257">
        <v>112.02642771662275</v>
      </c>
      <c r="G52" s="257">
        <v>219.20129892551344</v>
      </c>
      <c r="H52" s="257">
        <v>-163.99500313889033</v>
      </c>
      <c r="I52" s="257">
        <v>5.5567380199999894</v>
      </c>
      <c r="J52" s="257">
        <v>51.263393909999678</v>
      </c>
    </row>
    <row r="53" spans="2:11" x14ac:dyDescent="0.25">
      <c r="E53" s="249" t="s">
        <v>762</v>
      </c>
      <c r="F53" s="258">
        <v>73.872758390000385</v>
      </c>
      <c r="G53" s="258">
        <v>57.396411236641661</v>
      </c>
      <c r="H53" s="258">
        <v>16.476347153358724</v>
      </c>
      <c r="I53" s="258">
        <v>0</v>
      </c>
      <c r="J53" s="258">
        <v>0</v>
      </c>
    </row>
    <row r="54" spans="2:11" x14ac:dyDescent="0.25">
      <c r="E54" s="249" t="s">
        <v>763</v>
      </c>
      <c r="F54" s="258">
        <v>-424.42399999999986</v>
      </c>
      <c r="G54" s="258">
        <v>-35.298723455577381</v>
      </c>
      <c r="H54" s="258">
        <v>-389.12527654442249</v>
      </c>
      <c r="I54" s="258">
        <v>0</v>
      </c>
      <c r="J54" s="258">
        <v>0</v>
      </c>
    </row>
    <row r="55" spans="2:11" x14ac:dyDescent="0.25">
      <c r="E55" s="249" t="s">
        <v>764</v>
      </c>
      <c r="F55" s="258">
        <v>198.09788025228295</v>
      </c>
      <c r="G55" s="258">
        <v>3.2826254756232855</v>
      </c>
      <c r="H55" s="258">
        <v>160.00816086665998</v>
      </c>
      <c r="I55" s="258">
        <v>0</v>
      </c>
      <c r="J55" s="259">
        <v>34.807093909999686</v>
      </c>
    </row>
    <row r="56" spans="2:11" x14ac:dyDescent="0.25">
      <c r="E56" s="249" t="s">
        <v>765</v>
      </c>
      <c r="F56" s="258">
        <v>-8.8646337199995919</v>
      </c>
      <c r="G56" s="258">
        <v>4.4168441910348681</v>
      </c>
      <c r="H56" s="258">
        <v>-10.769477911034461</v>
      </c>
      <c r="I56" s="258">
        <v>0</v>
      </c>
      <c r="J56" s="259">
        <v>-2.512</v>
      </c>
    </row>
    <row r="57" spans="2:11" x14ac:dyDescent="0.25">
      <c r="E57" s="249" t="s">
        <v>766</v>
      </c>
      <c r="F57" s="258">
        <v>169.20335372433655</v>
      </c>
      <c r="G57" s="258">
        <v>148.73590678453618</v>
      </c>
      <c r="H57" s="258">
        <v>20.467446939800368</v>
      </c>
      <c r="I57" s="258">
        <v>0</v>
      </c>
      <c r="J57" s="258">
        <v>0</v>
      </c>
    </row>
    <row r="58" spans="2:11" x14ac:dyDescent="0.25">
      <c r="E58" s="249" t="s">
        <v>767</v>
      </c>
      <c r="F58" s="258">
        <v>125.61636111000237</v>
      </c>
      <c r="G58" s="258">
        <v>68.708313716187661</v>
      </c>
      <c r="H58" s="258">
        <v>56.908047393814705</v>
      </c>
      <c r="I58" s="258">
        <v>0</v>
      </c>
      <c r="J58" s="258">
        <v>0</v>
      </c>
    </row>
    <row r="59" spans="2:11" ht="14.25" thickBot="1" x14ac:dyDescent="0.3">
      <c r="E59" s="251" t="s">
        <v>343</v>
      </c>
      <c r="F59" s="260">
        <v>-21.475292040000056</v>
      </c>
      <c r="G59" s="260">
        <v>-28.040079022932844</v>
      </c>
      <c r="H59" s="260">
        <v>-17.960251037067167</v>
      </c>
      <c r="I59" s="260">
        <v>5.5567380199999894</v>
      </c>
      <c r="J59" s="260">
        <v>18.968299999999992</v>
      </c>
    </row>
  </sheetData>
  <mergeCells count="7">
    <mergeCell ref="E50:K50"/>
    <mergeCell ref="E32:K32"/>
    <mergeCell ref="B20:C20"/>
    <mergeCell ref="B2:C2"/>
    <mergeCell ref="B44:C44"/>
    <mergeCell ref="E2:K2"/>
    <mergeCell ref="E20:K20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1"/>
  <dimension ref="A3:O54"/>
  <sheetViews>
    <sheetView showGridLines="0" topLeftCell="H3" zoomScale="90" zoomScaleNormal="90" workbookViewId="0">
      <selection activeCell="J47" sqref="J47"/>
    </sheetView>
  </sheetViews>
  <sheetFormatPr defaultColWidth="9.140625" defaultRowHeight="13.5" x14ac:dyDescent="0.25"/>
  <cols>
    <col min="1" max="1" width="54.42578125" style="34" bestFit="1" customWidth="1"/>
    <col min="2" max="3" width="11.140625" style="34" customWidth="1"/>
    <col min="4" max="9" width="9.140625" style="34"/>
    <col min="10" max="10" width="46.42578125" style="34" bestFit="1" customWidth="1"/>
    <col min="11" max="11" width="9.140625" style="34"/>
    <col min="12" max="12" width="8.5703125" style="34" bestFit="1" customWidth="1"/>
    <col min="13" max="13" width="10.140625" style="34" customWidth="1"/>
    <col min="14" max="16384" width="9.140625" style="34"/>
  </cols>
  <sheetData>
    <row r="3" spans="1:15" ht="14.25" thickBot="1" x14ac:dyDescent="0.3">
      <c r="A3" s="977" t="s">
        <v>1463</v>
      </c>
      <c r="B3" s="977"/>
      <c r="C3" s="977"/>
      <c r="D3" s="977"/>
      <c r="E3" s="977"/>
      <c r="F3" s="977"/>
      <c r="J3" s="977" t="s">
        <v>1464</v>
      </c>
      <c r="K3" s="977"/>
      <c r="L3" s="977"/>
      <c r="M3" s="977"/>
      <c r="N3" s="977"/>
      <c r="O3" s="977"/>
    </row>
    <row r="5" spans="1:15" x14ac:dyDescent="0.25">
      <c r="A5" s="309"/>
      <c r="B5" s="29"/>
    </row>
    <row r="25" spans="1:15" ht="27" x14ac:dyDescent="0.25">
      <c r="A25" s="471" t="s">
        <v>478</v>
      </c>
      <c r="B25" s="472" t="s">
        <v>215</v>
      </c>
      <c r="C25" s="472" t="s">
        <v>216</v>
      </c>
      <c r="D25" s="472" t="s">
        <v>217</v>
      </c>
      <c r="E25" s="472" t="s">
        <v>218</v>
      </c>
      <c r="F25" s="472" t="s">
        <v>219</v>
      </c>
      <c r="J25" s="473" t="s">
        <v>545</v>
      </c>
      <c r="K25" s="474" t="s">
        <v>417</v>
      </c>
      <c r="L25" s="474" t="s">
        <v>418</v>
      </c>
      <c r="M25" s="474" t="s">
        <v>419</v>
      </c>
      <c r="N25" s="474" t="s">
        <v>420</v>
      </c>
      <c r="O25" s="474" t="s">
        <v>421</v>
      </c>
    </row>
    <row r="26" spans="1:15" x14ac:dyDescent="0.25">
      <c r="A26" s="475" t="s">
        <v>221</v>
      </c>
      <c r="B26" s="781">
        <v>-743</v>
      </c>
      <c r="C26" s="476">
        <f>B26</f>
        <v>-743</v>
      </c>
      <c r="D26" s="476"/>
      <c r="E26" s="476"/>
      <c r="F26" s="476">
        <f>B26</f>
        <v>-743</v>
      </c>
      <c r="J26" s="475" t="s">
        <v>1229</v>
      </c>
      <c r="K26" s="781">
        <f>B26</f>
        <v>-743</v>
      </c>
      <c r="L26" s="476">
        <f>K26</f>
        <v>-743</v>
      </c>
      <c r="M26" s="476"/>
      <c r="N26" s="476"/>
      <c r="O26" s="476">
        <f>K26</f>
        <v>-743</v>
      </c>
    </row>
    <row r="27" spans="1:15" x14ac:dyDescent="0.25">
      <c r="A27" s="477" t="s">
        <v>1230</v>
      </c>
      <c r="B27" s="782">
        <v>116</v>
      </c>
      <c r="C27" s="476">
        <f t="shared" ref="C27" si="0">B27+C26</f>
        <v>-627</v>
      </c>
      <c r="D27" s="476">
        <f t="shared" ref="D27" si="1">IF(AND(C26*B27&lt;0,ABS(B27)-ABS(C26)&gt;0),C26,0)</f>
        <v>0</v>
      </c>
      <c r="E27" s="476">
        <f t="shared" ref="E27" si="2">IF(D27&lt;&gt;0,0,IF(C26*B27&gt;=0,C26,C26+B27))</f>
        <v>-627</v>
      </c>
      <c r="F27" s="476">
        <f>IF(AND(C26&lt;&gt;0,D27=0),IF(C26+B27&lt;0,-1,IF(C26&lt;0,-1,1))*ABS(B27)+D27,IF(C26+B27&lt;0,-1,1)*ABS(B27)+D27)</f>
        <v>-116</v>
      </c>
      <c r="J27" s="477" t="s">
        <v>1165</v>
      </c>
      <c r="K27" s="782">
        <f t="shared" ref="K27:K36" si="3">B27</f>
        <v>116</v>
      </c>
      <c r="L27" s="476">
        <f t="shared" ref="L27:L35" si="4">K27+L26</f>
        <v>-627</v>
      </c>
      <c r="M27" s="476">
        <f t="shared" ref="M27:M36" si="5">IF(AND(L26*K27&lt;0,ABS(K27)-ABS(L26)&gt;0),L26,0)</f>
        <v>0</v>
      </c>
      <c r="N27" s="476">
        <f t="shared" ref="N27:N36" si="6">IF(M27&lt;&gt;0,0,IF(L26*K27&gt;=0,L26,L26+K27))</f>
        <v>-627</v>
      </c>
      <c r="O27" s="476">
        <f>IF(AND(L26&lt;&gt;0,M27=0),IF(L26+K27&lt;0,-1,IF(L26&lt;0,-1,1))*ABS(K27)+M27,IF(L26+K27&lt;0,-1,1)*ABS(K27)+M27)</f>
        <v>-116</v>
      </c>
    </row>
    <row r="28" spans="1:15" x14ac:dyDescent="0.25">
      <c r="A28" s="477" t="s">
        <v>543</v>
      </c>
      <c r="B28" s="782">
        <v>86</v>
      </c>
      <c r="C28" s="476">
        <f t="shared" ref="C28:C36" si="7">B28+C27</f>
        <v>-541</v>
      </c>
      <c r="D28" s="476">
        <f t="shared" ref="D28:D36" si="8">IF(AND(C27*B28&lt;0,ABS(B28)-ABS(C27)&gt;0),C27,0)</f>
        <v>0</v>
      </c>
      <c r="E28" s="476">
        <f t="shared" ref="E28:E36" si="9">IF(D28&lt;&gt;0,0,IF(C27*B28&gt;=0,C27,C27+B28))</f>
        <v>-541</v>
      </c>
      <c r="F28" s="476">
        <f t="shared" ref="F28:F36" si="10">IF(AND(C27&lt;&gt;0,D28=0),IF(C27+B28&lt;0,-1,IF(C27&lt;0,-1,1))*ABS(B28)+D28,IF(C27+B28&lt;0,-1,1)*ABS(B28)+D28)</f>
        <v>-86</v>
      </c>
      <c r="J28" s="477" t="s">
        <v>950</v>
      </c>
      <c r="K28" s="782">
        <f t="shared" si="3"/>
        <v>86</v>
      </c>
      <c r="L28" s="476">
        <f t="shared" si="4"/>
        <v>-541</v>
      </c>
      <c r="M28" s="476">
        <f t="shared" si="5"/>
        <v>0</v>
      </c>
      <c r="N28" s="476">
        <f t="shared" si="6"/>
        <v>-541</v>
      </c>
      <c r="O28" s="476">
        <f t="shared" ref="O28:O36" si="11">IF(AND(L27&lt;&gt;0,M28=0),IF(L27+K28&lt;0,-1,IF(L27&lt;0,-1,1))*ABS(K28)+M28,IF(L27+K28&lt;0,-1,1)*ABS(K28)+M28)</f>
        <v>-86</v>
      </c>
    </row>
    <row r="29" spans="1:15" x14ac:dyDescent="0.25">
      <c r="A29" s="34" t="s">
        <v>498</v>
      </c>
      <c r="B29" s="782">
        <v>54</v>
      </c>
      <c r="C29" s="476">
        <f t="shared" si="7"/>
        <v>-487</v>
      </c>
      <c r="D29" s="476">
        <f t="shared" si="8"/>
        <v>0</v>
      </c>
      <c r="E29" s="476">
        <f t="shared" si="9"/>
        <v>-487</v>
      </c>
      <c r="F29" s="476">
        <f t="shared" si="10"/>
        <v>-54</v>
      </c>
      <c r="J29" s="477" t="s">
        <v>1322</v>
      </c>
      <c r="K29" s="782">
        <f t="shared" si="3"/>
        <v>54</v>
      </c>
      <c r="L29" s="476">
        <f t="shared" si="4"/>
        <v>-487</v>
      </c>
      <c r="M29" s="476">
        <f t="shared" si="5"/>
        <v>0</v>
      </c>
      <c r="N29" s="476">
        <f t="shared" si="6"/>
        <v>-487</v>
      </c>
      <c r="O29" s="476">
        <f t="shared" si="11"/>
        <v>-54</v>
      </c>
    </row>
    <row r="30" spans="1:15" x14ac:dyDescent="0.25">
      <c r="A30" s="34" t="s">
        <v>1235</v>
      </c>
      <c r="B30" s="782">
        <v>52</v>
      </c>
      <c r="C30" s="476">
        <f t="shared" si="7"/>
        <v>-435</v>
      </c>
      <c r="D30" s="476">
        <f t="shared" si="8"/>
        <v>0</v>
      </c>
      <c r="E30" s="476">
        <f t="shared" si="9"/>
        <v>-435</v>
      </c>
      <c r="F30" s="476">
        <f t="shared" si="10"/>
        <v>-52</v>
      </c>
      <c r="J30" s="477" t="s">
        <v>1323</v>
      </c>
      <c r="K30" s="782">
        <f t="shared" si="3"/>
        <v>52</v>
      </c>
      <c r="L30" s="476">
        <f t="shared" si="4"/>
        <v>-435</v>
      </c>
      <c r="M30" s="476">
        <f t="shared" si="5"/>
        <v>0</v>
      </c>
      <c r="N30" s="476">
        <f t="shared" si="6"/>
        <v>-435</v>
      </c>
      <c r="O30" s="476">
        <f t="shared" si="11"/>
        <v>-52</v>
      </c>
    </row>
    <row r="31" spans="1:15" x14ac:dyDescent="0.25">
      <c r="A31" s="34" t="s">
        <v>1233</v>
      </c>
      <c r="B31" s="782">
        <v>20</v>
      </c>
      <c r="C31" s="476">
        <f t="shared" si="7"/>
        <v>-415</v>
      </c>
      <c r="D31" s="476">
        <f t="shared" si="8"/>
        <v>0</v>
      </c>
      <c r="E31" s="476">
        <f t="shared" si="9"/>
        <v>-415</v>
      </c>
      <c r="F31" s="476">
        <f t="shared" si="10"/>
        <v>-20</v>
      </c>
      <c r="J31" s="477" t="s">
        <v>982</v>
      </c>
      <c r="K31" s="782">
        <f t="shared" si="3"/>
        <v>20</v>
      </c>
      <c r="L31" s="476">
        <f t="shared" si="4"/>
        <v>-415</v>
      </c>
      <c r="M31" s="476">
        <f t="shared" si="5"/>
        <v>0</v>
      </c>
      <c r="N31" s="476">
        <f t="shared" si="6"/>
        <v>-415</v>
      </c>
      <c r="O31" s="476">
        <f t="shared" si="11"/>
        <v>-20</v>
      </c>
    </row>
    <row r="32" spans="1:15" x14ac:dyDescent="0.25">
      <c r="A32" s="34" t="s">
        <v>1231</v>
      </c>
      <c r="B32" s="782">
        <v>13</v>
      </c>
      <c r="C32" s="476">
        <f t="shared" si="7"/>
        <v>-402</v>
      </c>
      <c r="D32" s="476">
        <f t="shared" si="8"/>
        <v>0</v>
      </c>
      <c r="E32" s="476">
        <f t="shared" si="9"/>
        <v>-402</v>
      </c>
      <c r="F32" s="476">
        <f t="shared" si="10"/>
        <v>-13</v>
      </c>
      <c r="J32" s="477" t="s">
        <v>1319</v>
      </c>
      <c r="K32" s="782">
        <f t="shared" si="3"/>
        <v>13</v>
      </c>
      <c r="L32" s="476">
        <f t="shared" si="4"/>
        <v>-402</v>
      </c>
      <c r="M32" s="476">
        <f t="shared" si="5"/>
        <v>0</v>
      </c>
      <c r="N32" s="476">
        <f t="shared" si="6"/>
        <v>-402</v>
      </c>
      <c r="O32" s="476">
        <f t="shared" si="11"/>
        <v>-13</v>
      </c>
    </row>
    <row r="33" spans="1:15" x14ac:dyDescent="0.25">
      <c r="A33" s="34" t="s">
        <v>1232</v>
      </c>
      <c r="B33" s="782">
        <v>-105</v>
      </c>
      <c r="C33" s="476">
        <f t="shared" si="7"/>
        <v>-507</v>
      </c>
      <c r="D33" s="476">
        <f t="shared" si="8"/>
        <v>0</v>
      </c>
      <c r="E33" s="476">
        <f t="shared" si="9"/>
        <v>-402</v>
      </c>
      <c r="F33" s="476">
        <f t="shared" si="10"/>
        <v>-105</v>
      </c>
      <c r="J33" s="477" t="s">
        <v>1320</v>
      </c>
      <c r="K33" s="782">
        <f t="shared" si="3"/>
        <v>-105</v>
      </c>
      <c r="L33" s="476">
        <f t="shared" si="4"/>
        <v>-507</v>
      </c>
      <c r="M33" s="476">
        <f t="shared" si="5"/>
        <v>0</v>
      </c>
      <c r="N33" s="476">
        <f t="shared" si="6"/>
        <v>-402</v>
      </c>
      <c r="O33" s="476">
        <f t="shared" si="11"/>
        <v>-105</v>
      </c>
    </row>
    <row r="34" spans="1:15" x14ac:dyDescent="0.25">
      <c r="A34" s="34" t="s">
        <v>499</v>
      </c>
      <c r="B34" s="782">
        <v>-106</v>
      </c>
      <c r="C34" s="476">
        <f t="shared" si="7"/>
        <v>-613</v>
      </c>
      <c r="D34" s="476">
        <f t="shared" si="8"/>
        <v>0</v>
      </c>
      <c r="E34" s="476">
        <f t="shared" si="9"/>
        <v>-507</v>
      </c>
      <c r="F34" s="476">
        <f t="shared" si="10"/>
        <v>-106</v>
      </c>
      <c r="J34" s="477" t="s">
        <v>1321</v>
      </c>
      <c r="K34" s="782">
        <f t="shared" si="3"/>
        <v>-106</v>
      </c>
      <c r="L34" s="476">
        <f t="shared" si="4"/>
        <v>-613</v>
      </c>
      <c r="M34" s="476">
        <f t="shared" si="5"/>
        <v>0</v>
      </c>
      <c r="N34" s="476">
        <f t="shared" si="6"/>
        <v>-507</v>
      </c>
      <c r="O34" s="476">
        <f t="shared" si="11"/>
        <v>-106</v>
      </c>
    </row>
    <row r="35" spans="1:15" x14ac:dyDescent="0.25">
      <c r="A35" s="34" t="s">
        <v>1234</v>
      </c>
      <c r="B35" s="782">
        <v>-99</v>
      </c>
      <c r="C35" s="476">
        <f t="shared" si="7"/>
        <v>-712</v>
      </c>
      <c r="D35" s="476">
        <f t="shared" si="8"/>
        <v>0</v>
      </c>
      <c r="E35" s="476">
        <f t="shared" si="9"/>
        <v>-613</v>
      </c>
      <c r="F35" s="476">
        <f t="shared" si="10"/>
        <v>-99</v>
      </c>
      <c r="J35" s="477" t="s">
        <v>540</v>
      </c>
      <c r="K35" s="782">
        <f t="shared" si="3"/>
        <v>-99</v>
      </c>
      <c r="L35" s="476">
        <f t="shared" si="4"/>
        <v>-712</v>
      </c>
      <c r="M35" s="476">
        <f t="shared" si="5"/>
        <v>0</v>
      </c>
      <c r="N35" s="476">
        <f t="shared" si="6"/>
        <v>-613</v>
      </c>
      <c r="O35" s="476">
        <f t="shared" si="11"/>
        <v>-99</v>
      </c>
    </row>
    <row r="36" spans="1:15" x14ac:dyDescent="0.25">
      <c r="A36" s="477" t="s">
        <v>761</v>
      </c>
      <c r="B36" s="782">
        <v>-8</v>
      </c>
      <c r="C36" s="476">
        <f t="shared" si="7"/>
        <v>-720</v>
      </c>
      <c r="D36" s="476">
        <f t="shared" si="8"/>
        <v>0</v>
      </c>
      <c r="E36" s="476">
        <f t="shared" si="9"/>
        <v>-712</v>
      </c>
      <c r="F36" s="476">
        <f t="shared" si="10"/>
        <v>-8</v>
      </c>
      <c r="J36" s="477" t="s">
        <v>343</v>
      </c>
      <c r="K36" s="782">
        <f t="shared" si="3"/>
        <v>-8</v>
      </c>
      <c r="L36" s="476">
        <f>K36+L35</f>
        <v>-720</v>
      </c>
      <c r="M36" s="476">
        <f t="shared" si="5"/>
        <v>0</v>
      </c>
      <c r="N36" s="476">
        <f t="shared" si="6"/>
        <v>-712</v>
      </c>
      <c r="O36" s="476">
        <f t="shared" si="11"/>
        <v>-8</v>
      </c>
    </row>
    <row r="37" spans="1:15" x14ac:dyDescent="0.25">
      <c r="A37" s="783" t="s">
        <v>1465</v>
      </c>
      <c r="B37" s="906">
        <v>-720</v>
      </c>
      <c r="C37" s="784">
        <f>C26+SUM(B27:B36)</f>
        <v>-720</v>
      </c>
      <c r="D37" s="784"/>
      <c r="E37" s="784"/>
      <c r="F37" s="784">
        <f>C37</f>
        <v>-720</v>
      </c>
      <c r="J37" s="783" t="s">
        <v>1466</v>
      </c>
      <c r="K37" s="906">
        <f>B37</f>
        <v>-720</v>
      </c>
      <c r="L37" s="784">
        <f>C37</f>
        <v>-720</v>
      </c>
      <c r="M37" s="784">
        <f>D37</f>
        <v>0</v>
      </c>
      <c r="N37" s="784">
        <f>E37</f>
        <v>0</v>
      </c>
      <c r="O37" s="784">
        <f>F37</f>
        <v>-720</v>
      </c>
    </row>
    <row r="38" spans="1:15" x14ac:dyDescent="0.25">
      <c r="A38" s="105"/>
      <c r="B38" s="105"/>
      <c r="C38" s="105"/>
      <c r="D38" s="105"/>
      <c r="E38" s="981" t="s">
        <v>422</v>
      </c>
      <c r="F38" s="981"/>
    </row>
    <row r="39" spans="1:15" x14ac:dyDescent="0.25">
      <c r="A39" s="477"/>
      <c r="B39" s="782"/>
      <c r="C39" s="476"/>
      <c r="D39" s="476"/>
      <c r="E39" s="476"/>
      <c r="F39" s="476"/>
      <c r="J39" s="477"/>
      <c r="K39" s="782"/>
      <c r="L39" s="476"/>
      <c r="M39" s="476"/>
      <c r="N39" s="476"/>
      <c r="O39" s="476"/>
    </row>
    <row r="42" spans="1:15" x14ac:dyDescent="0.25">
      <c r="A42" s="105"/>
      <c r="B42" s="105"/>
      <c r="C42" s="105"/>
      <c r="D42" s="105"/>
      <c r="E42" s="105"/>
      <c r="F42" s="105"/>
      <c r="J42" s="477"/>
    </row>
    <row r="43" spans="1:15" x14ac:dyDescent="0.25">
      <c r="J43" s="477"/>
    </row>
    <row r="44" spans="1:15" x14ac:dyDescent="0.25">
      <c r="J44" s="477"/>
    </row>
    <row r="45" spans="1:15" x14ac:dyDescent="0.25">
      <c r="J45" s="477"/>
    </row>
    <row r="46" spans="1:15" x14ac:dyDescent="0.25">
      <c r="J46" s="477"/>
    </row>
    <row r="47" spans="1:15" x14ac:dyDescent="0.25">
      <c r="J47" s="477"/>
    </row>
    <row r="48" spans="1:15" x14ac:dyDescent="0.25">
      <c r="J48" s="477"/>
    </row>
    <row r="49" spans="10:10" x14ac:dyDescent="0.25">
      <c r="J49" s="477"/>
    </row>
    <row r="50" spans="10:10" x14ac:dyDescent="0.25">
      <c r="J50" s="477"/>
    </row>
    <row r="51" spans="10:10" x14ac:dyDescent="0.25">
      <c r="J51" s="477"/>
    </row>
    <row r="52" spans="10:10" x14ac:dyDescent="0.25">
      <c r="J52" s="477"/>
    </row>
    <row r="53" spans="10:10" x14ac:dyDescent="0.25">
      <c r="J53" s="477"/>
    </row>
    <row r="54" spans="10:10" x14ac:dyDescent="0.25">
      <c r="J54" s="477"/>
    </row>
  </sheetData>
  <mergeCells count="3">
    <mergeCell ref="A3:F3"/>
    <mergeCell ref="J3:O3"/>
    <mergeCell ref="E38:F38"/>
  </mergeCells>
  <pageMargins left="0.7" right="0.7" top="0.75" bottom="0.75" header="0.3" footer="0.3"/>
  <ignoredErrors>
    <ignoredError sqref="C26:J26 C36:I36 C31:I31 G38:I39 G40:I40 C28:J28 C27:E27 G27:J27 G37:I37 C30:I30 C29:I29 C32:I32 C33:I33 C34:I34 C35:I35" unlocked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3"/>
  <dimension ref="A4:G25"/>
  <sheetViews>
    <sheetView showGridLines="0" zoomScale="90" zoomScaleNormal="90" workbookViewId="0">
      <selection activeCell="A16" sqref="A16:G16"/>
    </sheetView>
  </sheetViews>
  <sheetFormatPr defaultColWidth="9.140625" defaultRowHeight="13.5" x14ac:dyDescent="0.25"/>
  <cols>
    <col min="1" max="1" width="48.140625" style="34" bestFit="1" customWidth="1"/>
    <col min="2" max="16384" width="9.140625" style="34"/>
  </cols>
  <sheetData>
    <row r="4" spans="1:7" ht="14.25" thickBot="1" x14ac:dyDescent="0.3">
      <c r="A4" s="919" t="s">
        <v>1240</v>
      </c>
      <c r="B4" s="919"/>
      <c r="C4" s="919"/>
      <c r="D4" s="919"/>
      <c r="E4" s="919"/>
      <c r="F4" s="919"/>
      <c r="G4" s="919"/>
    </row>
    <row r="5" spans="1:7" ht="14.25" thickBot="1" x14ac:dyDescent="0.3">
      <c r="A5" s="152"/>
      <c r="B5" s="152">
        <v>2016</v>
      </c>
      <c r="C5" s="152">
        <v>2017</v>
      </c>
      <c r="D5" s="152">
        <v>2018</v>
      </c>
      <c r="E5" s="152">
        <v>2019</v>
      </c>
      <c r="F5" s="152">
        <v>2020</v>
      </c>
      <c r="G5" s="152">
        <v>2021</v>
      </c>
    </row>
    <row r="6" spans="1:7" x14ac:dyDescent="0.25">
      <c r="A6" s="5" t="s">
        <v>1107</v>
      </c>
      <c r="B6" s="101">
        <v>-1.93</v>
      </c>
      <c r="C6" s="101">
        <v>-0.42</v>
      </c>
      <c r="D6" s="101">
        <v>0</v>
      </c>
      <c r="E6" s="659" t="s">
        <v>14</v>
      </c>
      <c r="F6" s="659" t="s">
        <v>14</v>
      </c>
      <c r="G6" s="153" t="s">
        <v>14</v>
      </c>
    </row>
    <row r="7" spans="1:7" x14ac:dyDescent="0.25">
      <c r="A7" s="5" t="s">
        <v>1108</v>
      </c>
      <c r="B7" s="101">
        <v>-1.93</v>
      </c>
      <c r="C7" s="101">
        <v>-1.29</v>
      </c>
      <c r="D7" s="101">
        <v>-0.44</v>
      </c>
      <c r="E7" s="101">
        <v>0.16</v>
      </c>
      <c r="F7" s="659" t="s">
        <v>14</v>
      </c>
      <c r="G7" s="153" t="s">
        <v>14</v>
      </c>
    </row>
    <row r="8" spans="1:7" x14ac:dyDescent="0.25">
      <c r="A8" s="5" t="s">
        <v>1105</v>
      </c>
      <c r="B8" s="101">
        <v>-2.19</v>
      </c>
      <c r="C8" s="129">
        <v>-1.29</v>
      </c>
      <c r="D8" s="101">
        <v>-0.83</v>
      </c>
      <c r="E8" s="144">
        <v>-0.1</v>
      </c>
      <c r="F8" s="659">
        <v>0</v>
      </c>
      <c r="G8" s="659" t="s">
        <v>14</v>
      </c>
    </row>
    <row r="9" spans="1:7" ht="14.25" thickBot="1" x14ac:dyDescent="0.3">
      <c r="A9" s="6" t="s">
        <v>1106</v>
      </c>
      <c r="B9" s="62">
        <v>-2.21</v>
      </c>
      <c r="C9" s="706">
        <v>-1.04</v>
      </c>
      <c r="D9" s="706">
        <v>-0.8</v>
      </c>
      <c r="E9" s="706">
        <v>-0.315</v>
      </c>
      <c r="F9" s="706">
        <f>ESA2010_source!Q89*100</f>
        <v>0</v>
      </c>
      <c r="G9" s="706">
        <f>ESA2010_source!R89*100</f>
        <v>0</v>
      </c>
    </row>
    <row r="10" spans="1:7" x14ac:dyDescent="0.25">
      <c r="A10" s="5" t="s">
        <v>1109</v>
      </c>
      <c r="B10" s="144">
        <f>B9-B6</f>
        <v>-0.28000000000000003</v>
      </c>
      <c r="C10" s="144">
        <f>C9-C6</f>
        <v>-0.62000000000000011</v>
      </c>
      <c r="D10" s="144">
        <f>D9-D6</f>
        <v>-0.8</v>
      </c>
      <c r="E10" s="101" t="s">
        <v>14</v>
      </c>
      <c r="F10" s="101" t="s">
        <v>14</v>
      </c>
      <c r="G10" s="101" t="s">
        <v>14</v>
      </c>
    </row>
    <row r="11" spans="1:7" x14ac:dyDescent="0.25">
      <c r="A11" s="5" t="s">
        <v>1110</v>
      </c>
      <c r="B11" s="144">
        <f>B9-B7</f>
        <v>-0.28000000000000003</v>
      </c>
      <c r="C11" s="144">
        <f>C9-C7</f>
        <v>0.25</v>
      </c>
      <c r="D11" s="144">
        <f>D9-D7</f>
        <v>-0.36000000000000004</v>
      </c>
      <c r="E11" s="144">
        <f>E9-E7</f>
        <v>-0.47499999999999998</v>
      </c>
      <c r="F11" s="659" t="s">
        <v>14</v>
      </c>
      <c r="G11" s="153" t="s">
        <v>14</v>
      </c>
    </row>
    <row r="12" spans="1:7" ht="14.25" thickBot="1" x14ac:dyDescent="0.3">
      <c r="A12" s="5" t="s">
        <v>1111</v>
      </c>
      <c r="B12" s="62">
        <f>B9-B8</f>
        <v>-2.0000000000000018E-2</v>
      </c>
      <c r="C12" s="62">
        <f>C9-C8</f>
        <v>0.25</v>
      </c>
      <c r="D12" s="62">
        <f t="shared" ref="D12:F12" si="0">D9-D8</f>
        <v>2.9999999999999916E-2</v>
      </c>
      <c r="E12" s="62">
        <f t="shared" si="0"/>
        <v>-0.215</v>
      </c>
      <c r="F12" s="62">
        <f t="shared" si="0"/>
        <v>0</v>
      </c>
      <c r="G12" s="62" t="s">
        <v>14</v>
      </c>
    </row>
    <row r="13" spans="1:7" x14ac:dyDescent="0.25">
      <c r="A13" s="982" t="s">
        <v>19</v>
      </c>
      <c r="B13" s="982"/>
      <c r="C13" s="982"/>
      <c r="D13" s="982"/>
      <c r="E13" s="982"/>
      <c r="F13" s="982"/>
      <c r="G13" s="982"/>
    </row>
    <row r="16" spans="1:7" ht="14.25" thickBot="1" x14ac:dyDescent="0.3">
      <c r="A16" s="919" t="s">
        <v>1241</v>
      </c>
      <c r="B16" s="919"/>
      <c r="C16" s="919"/>
      <c r="D16" s="919"/>
      <c r="E16" s="919"/>
      <c r="F16" s="919"/>
      <c r="G16" s="919"/>
    </row>
    <row r="17" spans="1:7" ht="14.25" thickBot="1" x14ac:dyDescent="0.3">
      <c r="A17" s="152"/>
      <c r="B17" s="152">
        <f t="shared" ref="B17:G17" si="1">B5</f>
        <v>2016</v>
      </c>
      <c r="C17" s="152">
        <f t="shared" si="1"/>
        <v>2017</v>
      </c>
      <c r="D17" s="152">
        <f t="shared" si="1"/>
        <v>2018</v>
      </c>
      <c r="E17" s="152">
        <f t="shared" si="1"/>
        <v>2019</v>
      </c>
      <c r="F17" s="152">
        <f t="shared" si="1"/>
        <v>2020</v>
      </c>
      <c r="G17" s="152">
        <f t="shared" si="1"/>
        <v>2021</v>
      </c>
    </row>
    <row r="18" spans="1:7" x14ac:dyDescent="0.25">
      <c r="A18" s="5" t="s">
        <v>1112</v>
      </c>
      <c r="B18" s="101">
        <f>B6</f>
        <v>-1.93</v>
      </c>
      <c r="C18" s="101">
        <f t="shared" ref="C18:G18" si="2">C6</f>
        <v>-0.42</v>
      </c>
      <c r="D18" s="101">
        <f t="shared" si="2"/>
        <v>0</v>
      </c>
      <c r="E18" s="101" t="str">
        <f t="shared" si="2"/>
        <v>-</v>
      </c>
      <c r="F18" s="101" t="str">
        <f t="shared" si="2"/>
        <v>-</v>
      </c>
      <c r="G18" s="101" t="str">
        <f t="shared" si="2"/>
        <v>-</v>
      </c>
    </row>
    <row r="19" spans="1:7" x14ac:dyDescent="0.25">
      <c r="A19" s="5" t="s">
        <v>1113</v>
      </c>
      <c r="B19" s="101">
        <f t="shared" ref="B19:G19" si="3">B6</f>
        <v>-1.93</v>
      </c>
      <c r="C19" s="101">
        <f t="shared" si="3"/>
        <v>-0.42</v>
      </c>
      <c r="D19" s="101">
        <f t="shared" si="3"/>
        <v>0</v>
      </c>
      <c r="E19" s="101" t="str">
        <f t="shared" si="3"/>
        <v>-</v>
      </c>
      <c r="F19" s="153" t="str">
        <f t="shared" si="3"/>
        <v>-</v>
      </c>
      <c r="G19" s="153" t="str">
        <f t="shared" si="3"/>
        <v>-</v>
      </c>
    </row>
    <row r="20" spans="1:7" x14ac:dyDescent="0.25">
      <c r="A20" s="5" t="s">
        <v>1114</v>
      </c>
      <c r="B20" s="101">
        <f t="shared" ref="B20:G20" si="4">B7</f>
        <v>-1.93</v>
      </c>
      <c r="C20" s="101">
        <f t="shared" si="4"/>
        <v>-1.29</v>
      </c>
      <c r="D20" s="101">
        <f t="shared" si="4"/>
        <v>-0.44</v>
      </c>
      <c r="E20" s="101">
        <f t="shared" si="4"/>
        <v>0.16</v>
      </c>
      <c r="F20" s="101" t="str">
        <f t="shared" si="4"/>
        <v>-</v>
      </c>
      <c r="G20" s="153" t="str">
        <f t="shared" si="4"/>
        <v>-</v>
      </c>
    </row>
    <row r="21" spans="1:7" ht="14.25" thickBot="1" x14ac:dyDescent="0.3">
      <c r="A21" s="5" t="s">
        <v>1115</v>
      </c>
      <c r="B21" s="62">
        <f t="shared" ref="B21:G21" si="5">B9</f>
        <v>-2.21</v>
      </c>
      <c r="C21" s="62">
        <f t="shared" si="5"/>
        <v>-1.04</v>
      </c>
      <c r="D21" s="62">
        <f t="shared" si="5"/>
        <v>-0.8</v>
      </c>
      <c r="E21" s="62">
        <f t="shared" si="5"/>
        <v>-0.315</v>
      </c>
      <c r="F21" s="62">
        <f t="shared" si="5"/>
        <v>0</v>
      </c>
      <c r="G21" s="62">
        <f t="shared" si="5"/>
        <v>0</v>
      </c>
    </row>
    <row r="22" spans="1:7" x14ac:dyDescent="0.25">
      <c r="A22" s="12" t="s">
        <v>1116</v>
      </c>
      <c r="B22" s="144">
        <f>B10</f>
        <v>-0.28000000000000003</v>
      </c>
      <c r="C22" s="144">
        <f t="shared" ref="C22:G22" si="6">C10</f>
        <v>-0.62000000000000011</v>
      </c>
      <c r="D22" s="144">
        <f t="shared" si="6"/>
        <v>-0.8</v>
      </c>
      <c r="E22" s="101" t="str">
        <f t="shared" si="6"/>
        <v>-</v>
      </c>
      <c r="F22" s="101" t="str">
        <f t="shared" si="6"/>
        <v>-</v>
      </c>
      <c r="G22" s="101" t="str">
        <f t="shared" si="6"/>
        <v>-</v>
      </c>
    </row>
    <row r="23" spans="1:7" x14ac:dyDescent="0.25">
      <c r="A23" s="5" t="s">
        <v>1117</v>
      </c>
      <c r="B23" s="144">
        <f t="shared" ref="B23:G23" si="7">B11</f>
        <v>-0.28000000000000003</v>
      </c>
      <c r="C23" s="144">
        <f t="shared" si="7"/>
        <v>0.25</v>
      </c>
      <c r="D23" s="144">
        <f t="shared" si="7"/>
        <v>-0.36000000000000004</v>
      </c>
      <c r="E23" s="144">
        <f t="shared" si="7"/>
        <v>-0.47499999999999998</v>
      </c>
      <c r="F23" s="153" t="str">
        <f t="shared" si="7"/>
        <v>-</v>
      </c>
      <c r="G23" s="153" t="str">
        <f t="shared" si="7"/>
        <v>-</v>
      </c>
    </row>
    <row r="24" spans="1:7" ht="14.25" thickBot="1" x14ac:dyDescent="0.3">
      <c r="A24" s="4" t="s">
        <v>1118</v>
      </c>
      <c r="B24" s="62">
        <f t="shared" ref="B24:G24" si="8">B12</f>
        <v>-2.0000000000000018E-2</v>
      </c>
      <c r="C24" s="62">
        <f t="shared" si="8"/>
        <v>0.25</v>
      </c>
      <c r="D24" s="62">
        <f t="shared" si="8"/>
        <v>2.9999999999999916E-2</v>
      </c>
      <c r="E24" s="62">
        <f t="shared" si="8"/>
        <v>-0.215</v>
      </c>
      <c r="F24" s="62">
        <f t="shared" si="8"/>
        <v>0</v>
      </c>
      <c r="G24" s="62" t="str">
        <f t="shared" si="8"/>
        <v>-</v>
      </c>
    </row>
    <row r="25" spans="1:7" x14ac:dyDescent="0.25">
      <c r="A25" s="982" t="s">
        <v>235</v>
      </c>
      <c r="B25" s="982"/>
      <c r="C25" s="982"/>
      <c r="D25" s="982"/>
      <c r="E25" s="982"/>
      <c r="F25" s="982"/>
      <c r="G25" s="982"/>
    </row>
  </sheetData>
  <mergeCells count="4">
    <mergeCell ref="A4:G4"/>
    <mergeCell ref="A13:G13"/>
    <mergeCell ref="A16:G16"/>
    <mergeCell ref="A25:G25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9"/>
  <dimension ref="A3:N36"/>
  <sheetViews>
    <sheetView showGridLines="0" zoomScale="90" zoomScaleNormal="90" workbookViewId="0">
      <selection activeCell="A26" sqref="A26"/>
    </sheetView>
  </sheetViews>
  <sheetFormatPr defaultColWidth="9.140625" defaultRowHeight="13.5" x14ac:dyDescent="0.25"/>
  <cols>
    <col min="1" max="1" width="41.85546875" style="34" bestFit="1" customWidth="1"/>
    <col min="2" max="4" width="9" style="34" customWidth="1"/>
    <col min="5" max="5" width="10" style="34" customWidth="1"/>
    <col min="6" max="7" width="9" style="34" customWidth="1"/>
    <col min="8" max="10" width="9.140625" style="34"/>
    <col min="11" max="11" width="83.85546875" style="34" customWidth="1"/>
    <col min="12" max="16384" width="9.140625" style="34"/>
  </cols>
  <sheetData>
    <row r="3" spans="1:7" x14ac:dyDescent="0.25">
      <c r="A3" s="983" t="s">
        <v>1467</v>
      </c>
      <c r="B3" s="983"/>
      <c r="C3" s="983"/>
      <c r="D3" s="983"/>
      <c r="E3" s="983"/>
      <c r="F3" s="983"/>
      <c r="G3" s="983"/>
    </row>
    <row r="4" spans="1:7" x14ac:dyDescent="0.25">
      <c r="A4" s="455"/>
      <c r="B4" s="456" t="s">
        <v>1023</v>
      </c>
      <c r="C4" s="456" t="s">
        <v>1697</v>
      </c>
      <c r="D4" s="456">
        <v>2018</v>
      </c>
      <c r="E4" s="456">
        <v>2019</v>
      </c>
      <c r="F4" s="456">
        <v>2020</v>
      </c>
      <c r="G4" s="456">
        <v>2021</v>
      </c>
    </row>
    <row r="5" spans="1:7" x14ac:dyDescent="0.25">
      <c r="A5" s="217" t="s">
        <v>0</v>
      </c>
      <c r="B5" s="911">
        <v>-2.2064959832030882</v>
      </c>
      <c r="C5" s="911">
        <v>-1.0407271892731618</v>
      </c>
      <c r="D5" s="911">
        <v>-0.79910212580028939</v>
      </c>
      <c r="E5" s="911">
        <v>-0.31517668539133092</v>
      </c>
      <c r="F5" s="911">
        <v>0</v>
      </c>
      <c r="G5" s="911">
        <v>0</v>
      </c>
    </row>
    <row r="6" spans="1:7" x14ac:dyDescent="0.25">
      <c r="A6" s="218" t="s">
        <v>1</v>
      </c>
      <c r="B6" s="896">
        <v>-0.12891691784362883</v>
      </c>
      <c r="C6" s="896">
        <v>3.6261272723151522E-2</v>
      </c>
      <c r="D6" s="896">
        <v>0.22282606248901457</v>
      </c>
      <c r="E6" s="896">
        <v>0.43249871640529558</v>
      </c>
      <c r="F6" s="896">
        <v>0.42765578470995369</v>
      </c>
      <c r="G6" s="896">
        <v>0.31261420543608148</v>
      </c>
    </row>
    <row r="7" spans="1:7" x14ac:dyDescent="0.25">
      <c r="A7" s="218" t="s">
        <v>2</v>
      </c>
      <c r="B7" s="896">
        <v>-4.137191335638802E-2</v>
      </c>
      <c r="C7" s="896">
        <v>0</v>
      </c>
      <c r="D7" s="896">
        <v>0</v>
      </c>
      <c r="E7" s="896">
        <v>0</v>
      </c>
      <c r="F7" s="896">
        <v>0</v>
      </c>
      <c r="G7" s="896">
        <v>0</v>
      </c>
    </row>
    <row r="8" spans="1:7" x14ac:dyDescent="0.25">
      <c r="A8" s="220" t="s">
        <v>1704</v>
      </c>
      <c r="B8" s="910">
        <f>B5-B6-B7</f>
        <v>-2.0362071520030711</v>
      </c>
      <c r="C8" s="910">
        <f>C5-C6-C7</f>
        <v>-1.0769884619963133</v>
      </c>
      <c r="D8" s="910">
        <f>D5-D6-D7</f>
        <v>-1.0219281882893039</v>
      </c>
      <c r="E8" s="221">
        <f>E5-E6-E7</f>
        <v>-0.7476754017966265</v>
      </c>
      <c r="F8" s="910">
        <f t="shared" ref="F8" si="0">F5-F6-F7</f>
        <v>-0.42765578470995369</v>
      </c>
      <c r="G8" s="910">
        <f t="shared" ref="G8" si="1">G5-G6-G7</f>
        <v>-0.31261420543608148</v>
      </c>
    </row>
    <row r="9" spans="1:7" x14ac:dyDescent="0.25">
      <c r="A9" s="222" t="s">
        <v>1701</v>
      </c>
      <c r="B9" s="223">
        <v>0.75179018100000006</v>
      </c>
      <c r="C9" s="912">
        <f t="shared" ref="C9:E9" si="2">C8-B8</f>
        <v>0.95921869000675786</v>
      </c>
      <c r="D9" s="912">
        <f t="shared" si="2"/>
        <v>5.5060273707009388E-2</v>
      </c>
      <c r="E9" s="912">
        <f t="shared" si="2"/>
        <v>0.27425278649267737</v>
      </c>
      <c r="F9" s="912">
        <f>F8-E8</f>
        <v>0.32001961708667281</v>
      </c>
      <c r="G9" s="912">
        <f>G8-F8</f>
        <v>0.11504157927387221</v>
      </c>
    </row>
    <row r="10" spans="1:7" x14ac:dyDescent="0.25">
      <c r="A10" s="224" t="s">
        <v>200</v>
      </c>
      <c r="B10" s="660">
        <v>0.25</v>
      </c>
      <c r="C10" s="660">
        <v>0.5</v>
      </c>
      <c r="D10" s="660">
        <v>0.5</v>
      </c>
      <c r="E10" s="660">
        <v>0.5</v>
      </c>
      <c r="F10" s="660">
        <v>0.5</v>
      </c>
      <c r="G10" s="660">
        <v>0</v>
      </c>
    </row>
    <row r="11" spans="1:7" ht="12" customHeight="1" x14ac:dyDescent="0.25">
      <c r="A11" s="110" t="s">
        <v>546</v>
      </c>
      <c r="B11" s="707">
        <f t="shared" ref="B11:C11" si="3">IF(B8&gt;-0.5,"MTO",B9-B10)</f>
        <v>0.50179018100000006</v>
      </c>
      <c r="C11" s="707">
        <f t="shared" si="3"/>
        <v>0.45921869000675786</v>
      </c>
      <c r="D11" s="707">
        <f>IF(D8&gt;-0.75,"MTO",D9-D10)</f>
        <v>-0.44493972629299061</v>
      </c>
      <c r="E11" s="226" t="str">
        <f>IF(E8&gt;=-0.75,"MTO",E9-E10)</f>
        <v>MTO</v>
      </c>
      <c r="F11" s="226" t="str">
        <f t="shared" ref="F11:G11" si="4">IF(F8&gt;=-0.75,"MTO",F9-F10)</f>
        <v>MTO</v>
      </c>
      <c r="G11" s="226" t="str">
        <f t="shared" si="4"/>
        <v>MTO</v>
      </c>
    </row>
    <row r="12" spans="1:7" ht="13.5" customHeight="1" x14ac:dyDescent="0.25">
      <c r="A12" s="228" t="s">
        <v>547</v>
      </c>
      <c r="B12" s="897">
        <v>9.1089761737604968E-2</v>
      </c>
      <c r="C12" s="897">
        <f>IF(C8&gt;-0.75,"MTO",AVERAGE(0.17,C11))</f>
        <v>0.31460934500337895</v>
      </c>
      <c r="D12" s="708">
        <f>IF(D8&gt;-0.75,"MTO",AVERAGE(C11:D11))</f>
        <v>7.1394818568836227E-3</v>
      </c>
      <c r="E12" s="227" t="str">
        <f>IF(E8&gt;=-0.75,"MTO",AVERAGE(D11:E11))</f>
        <v>MTO</v>
      </c>
      <c r="F12" s="227" t="str">
        <f t="shared" ref="F12:G12" si="5">IF(F8&gt;=-0.75,"MTO",AVERAGE(E11:F11))</f>
        <v>MTO</v>
      </c>
      <c r="G12" s="227" t="str">
        <f t="shared" si="5"/>
        <v>MTO</v>
      </c>
    </row>
    <row r="13" spans="1:7" x14ac:dyDescent="0.25">
      <c r="A13" s="908" t="s">
        <v>1703</v>
      </c>
      <c r="F13" s="968" t="s">
        <v>19</v>
      </c>
      <c r="G13" s="968"/>
    </row>
    <row r="14" spans="1:7" x14ac:dyDescent="0.25">
      <c r="A14" s="908" t="s">
        <v>1702</v>
      </c>
      <c r="F14" s="907"/>
      <c r="G14" s="907"/>
    </row>
    <row r="15" spans="1:7" x14ac:dyDescent="0.25">
      <c r="A15" s="908" t="s">
        <v>1705</v>
      </c>
      <c r="F15" s="909"/>
      <c r="G15" s="909"/>
    </row>
    <row r="16" spans="1:7" ht="14.25" thickBot="1" x14ac:dyDescent="0.3">
      <c r="A16" s="786" t="s">
        <v>1468</v>
      </c>
      <c r="B16" s="786"/>
      <c r="C16" s="786"/>
      <c r="D16" s="786"/>
      <c r="E16" s="786"/>
      <c r="F16" s="786"/>
      <c r="G16" s="786"/>
    </row>
    <row r="17" spans="1:14" x14ac:dyDescent="0.25">
      <c r="A17" s="455"/>
      <c r="B17" s="456" t="str">
        <f t="shared" ref="B17:G23" si="6">B4</f>
        <v>2016*</v>
      </c>
      <c r="C17" s="456" t="str">
        <f t="shared" si="6"/>
        <v>2017**</v>
      </c>
      <c r="D17" s="456">
        <f t="shared" si="6"/>
        <v>2018</v>
      </c>
      <c r="E17" s="456">
        <f t="shared" si="6"/>
        <v>2019</v>
      </c>
      <c r="F17" s="456">
        <f t="shared" si="6"/>
        <v>2020</v>
      </c>
      <c r="G17" s="456">
        <f t="shared" si="6"/>
        <v>2021</v>
      </c>
    </row>
    <row r="18" spans="1:14" x14ac:dyDescent="0.25">
      <c r="A18" s="217" t="s">
        <v>360</v>
      </c>
      <c r="B18" s="911">
        <f t="shared" si="6"/>
        <v>-2.2064959832030882</v>
      </c>
      <c r="C18" s="911">
        <f t="shared" si="6"/>
        <v>-1.0407271892731618</v>
      </c>
      <c r="D18" s="911">
        <f t="shared" si="6"/>
        <v>-0.79910212580028939</v>
      </c>
      <c r="E18" s="911">
        <f t="shared" si="6"/>
        <v>-0.31517668539133092</v>
      </c>
      <c r="F18" s="911">
        <f t="shared" si="6"/>
        <v>0</v>
      </c>
      <c r="G18" s="911">
        <f t="shared" si="6"/>
        <v>0</v>
      </c>
      <c r="I18" s="83"/>
      <c r="J18" s="83"/>
      <c r="K18" s="83"/>
      <c r="L18" s="59"/>
      <c r="M18" s="59"/>
      <c r="N18" s="59"/>
    </row>
    <row r="19" spans="1:14" ht="15" customHeight="1" x14ac:dyDescent="0.25">
      <c r="A19" s="218" t="s">
        <v>324</v>
      </c>
      <c r="B19" s="219">
        <f t="shared" si="6"/>
        <v>-0.12891691784362883</v>
      </c>
      <c r="C19" s="219">
        <f t="shared" si="6"/>
        <v>3.6261272723151522E-2</v>
      </c>
      <c r="D19" s="219">
        <f t="shared" si="6"/>
        <v>0.22282606248901457</v>
      </c>
      <c r="E19" s="219">
        <f t="shared" si="6"/>
        <v>0.43249871640529558</v>
      </c>
      <c r="F19" s="219">
        <f t="shared" si="6"/>
        <v>0.42765578470995369</v>
      </c>
      <c r="G19" s="219">
        <f t="shared" si="6"/>
        <v>0.31261420543608148</v>
      </c>
      <c r="I19" s="83"/>
      <c r="J19" s="83"/>
      <c r="K19" s="83"/>
      <c r="L19" s="59"/>
      <c r="M19" s="59"/>
      <c r="N19" s="59"/>
    </row>
    <row r="20" spans="1:14" x14ac:dyDescent="0.25">
      <c r="A20" s="218" t="s">
        <v>433</v>
      </c>
      <c r="B20" s="219">
        <f t="shared" si="6"/>
        <v>-4.137191335638802E-2</v>
      </c>
      <c r="C20" s="219">
        <f t="shared" si="6"/>
        <v>0</v>
      </c>
      <c r="D20" s="219">
        <f t="shared" si="6"/>
        <v>0</v>
      </c>
      <c r="E20" s="219">
        <f t="shared" si="6"/>
        <v>0</v>
      </c>
      <c r="F20" s="219">
        <f t="shared" si="6"/>
        <v>0</v>
      </c>
      <c r="G20" s="219">
        <f t="shared" si="6"/>
        <v>0</v>
      </c>
      <c r="I20" s="83"/>
      <c r="J20" s="83"/>
      <c r="K20" s="83"/>
      <c r="L20" s="59"/>
      <c r="M20" s="59"/>
      <c r="N20" s="59"/>
    </row>
    <row r="21" spans="1:14" x14ac:dyDescent="0.25">
      <c r="A21" s="220" t="s">
        <v>326</v>
      </c>
      <c r="B21" s="221">
        <f t="shared" si="6"/>
        <v>-2.0362071520030711</v>
      </c>
      <c r="C21" s="221">
        <f t="shared" si="6"/>
        <v>-1.0769884619963133</v>
      </c>
      <c r="D21" s="221">
        <f t="shared" si="6"/>
        <v>-1.0219281882893039</v>
      </c>
      <c r="E21" s="221">
        <f t="shared" si="6"/>
        <v>-0.7476754017966265</v>
      </c>
      <c r="F21" s="221">
        <f t="shared" si="6"/>
        <v>-0.42765578470995369</v>
      </c>
      <c r="G21" s="221">
        <f t="shared" si="6"/>
        <v>-0.31261420543608148</v>
      </c>
    </row>
    <row r="22" spans="1:14" x14ac:dyDescent="0.25">
      <c r="A22" s="222" t="s">
        <v>434</v>
      </c>
      <c r="B22" s="223">
        <f>B9</f>
        <v>0.75179018100000006</v>
      </c>
      <c r="C22" s="223">
        <f t="shared" si="6"/>
        <v>0.95921869000675786</v>
      </c>
      <c r="D22" s="223">
        <f t="shared" si="6"/>
        <v>5.5060273707009388E-2</v>
      </c>
      <c r="E22" s="223">
        <f t="shared" si="6"/>
        <v>0.27425278649267737</v>
      </c>
      <c r="F22" s="223">
        <f t="shared" si="6"/>
        <v>0.32001961708667281</v>
      </c>
      <c r="G22" s="223">
        <f t="shared" si="6"/>
        <v>0.11504157927387221</v>
      </c>
    </row>
    <row r="23" spans="1:14" ht="15" customHeight="1" x14ac:dyDescent="0.25">
      <c r="A23" s="224" t="s">
        <v>548</v>
      </c>
      <c r="B23" s="225">
        <f t="shared" si="6"/>
        <v>0.25</v>
      </c>
      <c r="C23" s="225">
        <f t="shared" si="6"/>
        <v>0.5</v>
      </c>
      <c r="D23" s="225">
        <f t="shared" si="6"/>
        <v>0.5</v>
      </c>
      <c r="E23" s="225">
        <f t="shared" si="6"/>
        <v>0.5</v>
      </c>
      <c r="F23" s="225">
        <f t="shared" si="6"/>
        <v>0.5</v>
      </c>
      <c r="G23" s="225">
        <f t="shared" si="6"/>
        <v>0</v>
      </c>
    </row>
    <row r="24" spans="1:14" x14ac:dyDescent="0.25">
      <c r="A24" s="110" t="s">
        <v>1698</v>
      </c>
      <c r="B24" s="707">
        <f>B11</f>
        <v>0.50179018100000006</v>
      </c>
      <c r="C24" s="707">
        <f t="shared" ref="C24:G24" si="7">C11</f>
        <v>0.45921869000675786</v>
      </c>
      <c r="D24" s="707">
        <f t="shared" si="7"/>
        <v>-0.44493972629299061</v>
      </c>
      <c r="E24" s="226" t="str">
        <f t="shared" si="7"/>
        <v>MTO</v>
      </c>
      <c r="F24" s="226" t="str">
        <f t="shared" si="7"/>
        <v>MTO</v>
      </c>
      <c r="G24" s="226" t="str">
        <f t="shared" si="7"/>
        <v>MTO</v>
      </c>
    </row>
    <row r="25" spans="1:14" x14ac:dyDescent="0.25">
      <c r="A25" s="228" t="s">
        <v>1699</v>
      </c>
      <c r="B25" s="708">
        <f>B12</f>
        <v>9.1089761737604968E-2</v>
      </c>
      <c r="C25" s="708">
        <f t="shared" ref="C25:G25" si="8">C12</f>
        <v>0.31460934500337895</v>
      </c>
      <c r="D25" s="708">
        <f t="shared" si="8"/>
        <v>7.1394818568836227E-3</v>
      </c>
      <c r="E25" s="227" t="str">
        <f t="shared" si="8"/>
        <v>MTO</v>
      </c>
      <c r="F25" s="227" t="str">
        <f t="shared" si="8"/>
        <v>MTO</v>
      </c>
      <c r="G25" s="227" t="str">
        <f t="shared" si="8"/>
        <v>MTO</v>
      </c>
    </row>
    <row r="26" spans="1:14" x14ac:dyDescent="0.25">
      <c r="A26" s="908" t="s">
        <v>1700</v>
      </c>
      <c r="G26" s="811" t="s">
        <v>235</v>
      </c>
    </row>
    <row r="27" spans="1:14" x14ac:dyDescent="0.25">
      <c r="A27" s="908" t="s">
        <v>1706</v>
      </c>
    </row>
    <row r="28" spans="1:14" x14ac:dyDescent="0.25">
      <c r="A28" s="34" t="s">
        <v>1707</v>
      </c>
    </row>
    <row r="29" spans="1:14" x14ac:dyDescent="0.25">
      <c r="A29" s="300"/>
    </row>
    <row r="36" ht="15" customHeight="1" x14ac:dyDescent="0.25"/>
  </sheetData>
  <mergeCells count="3">
    <mergeCell ref="A3:D3"/>
    <mergeCell ref="E3:G3"/>
    <mergeCell ref="F13:G13"/>
  </mergeCells>
  <conditionalFormatting sqref="B11:F11">
    <cfRule type="cellIs" dxfId="38" priority="40" operator="lessThan">
      <formula>-0.501111</formula>
    </cfRule>
    <cfRule type="cellIs" dxfId="37" priority="41" operator="between">
      <formula>-0.0001</formula>
      <formula>-0.5</formula>
    </cfRule>
    <cfRule type="cellIs" dxfId="36" priority="42" operator="greaterThan">
      <formula>0</formula>
    </cfRule>
  </conditionalFormatting>
  <conditionalFormatting sqref="B12:F12">
    <cfRule type="cellIs" dxfId="35" priority="37" operator="lessThan">
      <formula>-0.250001</formula>
    </cfRule>
    <cfRule type="cellIs" dxfId="34" priority="38" operator="between">
      <formula>-0.001</formula>
      <formula>-0.25</formula>
    </cfRule>
    <cfRule type="cellIs" dxfId="33" priority="39" operator="greaterThan">
      <formula>0</formula>
    </cfRule>
  </conditionalFormatting>
  <conditionalFormatting sqref="B24:G24">
    <cfRule type="cellIs" dxfId="32" priority="10" operator="lessThan">
      <formula>-0.501111</formula>
    </cfRule>
    <cfRule type="cellIs" dxfId="31" priority="11" operator="between">
      <formula>-0.0001</formula>
      <formula>-0.5</formula>
    </cfRule>
    <cfRule type="cellIs" dxfId="30" priority="12" operator="greaterThan">
      <formula>0</formula>
    </cfRule>
  </conditionalFormatting>
  <conditionalFormatting sqref="B25:G25">
    <cfRule type="cellIs" dxfId="29" priority="7" operator="lessThan">
      <formula>-0.250001</formula>
    </cfRule>
    <cfRule type="cellIs" dxfId="28" priority="8" operator="between">
      <formula>-0.001</formula>
      <formula>-0.25</formula>
    </cfRule>
    <cfRule type="cellIs" dxfId="27" priority="9" operator="greaterThan">
      <formula>0</formula>
    </cfRule>
  </conditionalFormatting>
  <conditionalFormatting sqref="G11">
    <cfRule type="cellIs" dxfId="26" priority="4" operator="lessThan">
      <formula>-0.501111</formula>
    </cfRule>
    <cfRule type="cellIs" dxfId="25" priority="5" operator="between">
      <formula>-0.0001</formula>
      <formula>-0.5</formula>
    </cfRule>
    <cfRule type="cellIs" dxfId="24" priority="6" operator="greaterThan">
      <formula>0</formula>
    </cfRule>
  </conditionalFormatting>
  <conditionalFormatting sqref="G12">
    <cfRule type="cellIs" dxfId="23" priority="1" operator="lessThan">
      <formula>-0.250001</formula>
    </cfRule>
    <cfRule type="cellIs" dxfId="22" priority="2" operator="between">
      <formula>-0.001</formula>
      <formula>-0.25</formula>
    </cfRule>
    <cfRule type="cellIs" dxfId="21" priority="3" operator="greaterThan">
      <formula>0</formula>
    </cfRule>
  </conditionalFormatting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0"/>
  <dimension ref="A3:Y19"/>
  <sheetViews>
    <sheetView showGridLines="0" zoomScale="90" zoomScaleNormal="90" workbookViewId="0">
      <selection activeCell="I6" sqref="I6"/>
    </sheetView>
  </sheetViews>
  <sheetFormatPr defaultColWidth="9.140625" defaultRowHeight="13.5" x14ac:dyDescent="0.25"/>
  <cols>
    <col min="1" max="1" width="35.28515625" style="34" customWidth="1"/>
    <col min="2" max="12" width="6.85546875" style="34" customWidth="1"/>
    <col min="13" max="13" width="9" style="34" customWidth="1"/>
    <col min="14" max="15" width="10.42578125" style="34" bestFit="1" customWidth="1"/>
    <col min="16" max="16" width="28" style="34" customWidth="1"/>
    <col min="17" max="25" width="10.42578125" style="34" bestFit="1" customWidth="1"/>
    <col min="26" max="16384" width="9.140625" style="34"/>
  </cols>
  <sheetData>
    <row r="3" spans="1:25" x14ac:dyDescent="0.25">
      <c r="A3" s="297"/>
      <c r="B3" s="228">
        <v>2010</v>
      </c>
      <c r="C3" s="228">
        <v>2011</v>
      </c>
      <c r="D3" s="228">
        <v>2012</v>
      </c>
      <c r="E3" s="228">
        <v>2013</v>
      </c>
      <c r="F3" s="228">
        <v>2014</v>
      </c>
      <c r="G3" s="228">
        <v>2015</v>
      </c>
      <c r="H3" s="228">
        <v>2016</v>
      </c>
      <c r="I3" s="228">
        <v>2017</v>
      </c>
      <c r="J3" s="228">
        <v>2018</v>
      </c>
      <c r="K3" s="228">
        <v>2019</v>
      </c>
      <c r="L3" s="228">
        <v>2020</v>
      </c>
      <c r="M3" s="228">
        <v>2021</v>
      </c>
      <c r="P3" s="393" t="s">
        <v>1273</v>
      </c>
    </row>
    <row r="4" spans="1:25" ht="14.25" thickBot="1" x14ac:dyDescent="0.3">
      <c r="A4" s="34" t="s">
        <v>508</v>
      </c>
      <c r="B4" s="901">
        <v>-6.7070214070308927</v>
      </c>
      <c r="C4" s="901">
        <v>-4.310080627655636</v>
      </c>
      <c r="D4" s="901">
        <v>-3.6347000193760159</v>
      </c>
      <c r="E4" s="901">
        <v>-1.9994854438767145</v>
      </c>
      <c r="F4" s="901">
        <v>-2.3910903869335618</v>
      </c>
      <c r="G4" s="901">
        <v>-2.4558019022855899</v>
      </c>
      <c r="H4" s="709">
        <f>'Tab 11 '!B8</f>
        <v>-2.0362071520030711</v>
      </c>
      <c r="I4" s="915">
        <f>'Tab 11 '!C8</f>
        <v>-1.0769884619963133</v>
      </c>
      <c r="J4" s="709">
        <f>'Tab 11 '!D8</f>
        <v>-1.0219281882893039</v>
      </c>
      <c r="K4" s="709">
        <f>'Tab 11 '!E8</f>
        <v>-0.7476754017966265</v>
      </c>
      <c r="L4" s="709">
        <f>'Tab 11 '!F8</f>
        <v>-0.42765578470995369</v>
      </c>
      <c r="M4" s="709">
        <f>'Tab 11 '!G8</f>
        <v>-0.31261420543608148</v>
      </c>
      <c r="P4" s="152"/>
      <c r="Q4" s="152">
        <v>2016</v>
      </c>
      <c r="R4" s="152">
        <v>2017</v>
      </c>
      <c r="S4" s="152">
        <v>2018</v>
      </c>
      <c r="T4" s="152">
        <v>2019</v>
      </c>
      <c r="U4" s="152">
        <v>2020</v>
      </c>
      <c r="V4" s="152">
        <v>2021</v>
      </c>
    </row>
    <row r="5" spans="1:25" x14ac:dyDescent="0.25">
      <c r="A5" s="34" t="s">
        <v>509</v>
      </c>
      <c r="B5" s="43">
        <f>ESA2010_source!F59/ESA2010_source!F90*100</f>
        <v>1.2981933282330014</v>
      </c>
      <c r="C5" s="43">
        <f>ESA2010_source!G59/ESA2010_source!G90*100</f>
        <v>1.5280669821211246</v>
      </c>
      <c r="D5" s="43">
        <f>ESA2010_source!H59/ESA2010_source!H90*100</f>
        <v>1.7650687663469575</v>
      </c>
      <c r="E5" s="43">
        <f>ESA2010_source!I59/ESA2010_source!I90*100</f>
        <v>1.8700827490967928</v>
      </c>
      <c r="F5" s="43">
        <f>ESA2010_source!J59/ESA2010_source!J90*100</f>
        <v>1.8972834129797094</v>
      </c>
      <c r="G5" s="43">
        <f>ESA2010_source!K59/ESA2010_source!K90*100</f>
        <v>1.7483766663599778</v>
      </c>
      <c r="H5" s="43">
        <f>ESA2010_source!L59/ESA2010_source!L90*100</f>
        <v>1.6460169056925698</v>
      </c>
      <c r="I5" s="914">
        <f>ESA2010_source!M59/ESA2010_source!M90*100</f>
        <v>1.3956854977747184</v>
      </c>
      <c r="J5" s="43">
        <f>ESA2010_source!O59/ESA2010_source!O90*100</f>
        <v>1.2674870324525316</v>
      </c>
      <c r="K5" s="43">
        <f>ESA2010_source!P59/ESA2010_source!P90*100</f>
        <v>1.1935180988296663</v>
      </c>
      <c r="L5" s="43">
        <f>ESA2010_source!Q59/ESA2010_source!Q90*100</f>
        <v>1.087798872201877</v>
      </c>
      <c r="M5" s="43">
        <f>ESA2010_source!R59/ESA2010_source!R90*100</f>
        <v>1.0594995220079289</v>
      </c>
      <c r="P5" s="5" t="s">
        <v>676</v>
      </c>
      <c r="Q5" s="131">
        <f>H6</f>
        <v>-0.39019024631050137</v>
      </c>
      <c r="R5" s="144">
        <f>I6</f>
        <v>0.31869703577840514</v>
      </c>
      <c r="S5" s="131">
        <f t="shared" ref="S5:V5" si="0">J6</f>
        <v>0.24555884416322771</v>
      </c>
      <c r="T5" s="131">
        <f t="shared" si="0"/>
        <v>0.4458426970330398</v>
      </c>
      <c r="U5" s="131">
        <f t="shared" si="0"/>
        <v>0.6601430874919233</v>
      </c>
      <c r="V5" s="131">
        <f t="shared" si="0"/>
        <v>0.74688531657184742</v>
      </c>
    </row>
    <row r="6" spans="1:25" ht="14.25" thickBot="1" x14ac:dyDescent="0.3">
      <c r="A6" s="34" t="s">
        <v>510</v>
      </c>
      <c r="B6" s="43">
        <f t="shared" ref="B6:M6" si="1">B4+B5</f>
        <v>-5.4088280787978915</v>
      </c>
      <c r="C6" s="43">
        <f t="shared" si="1"/>
        <v>-2.7820136455345112</v>
      </c>
      <c r="D6" s="43">
        <f t="shared" si="1"/>
        <v>-1.8696312530290584</v>
      </c>
      <c r="E6" s="43">
        <f>E4+E5</f>
        <v>-0.12940269477992161</v>
      </c>
      <c r="F6" s="43">
        <f t="shared" si="1"/>
        <v>-0.49380697395385242</v>
      </c>
      <c r="G6" s="43">
        <f t="shared" si="1"/>
        <v>-0.70742523592561213</v>
      </c>
      <c r="H6" s="43">
        <f t="shared" si="1"/>
        <v>-0.39019024631050137</v>
      </c>
      <c r="I6" s="916">
        <f t="shared" si="1"/>
        <v>0.31869703577840514</v>
      </c>
      <c r="J6" s="43">
        <f t="shared" si="1"/>
        <v>0.24555884416322771</v>
      </c>
      <c r="K6" s="43">
        <f t="shared" si="1"/>
        <v>0.4458426970330398</v>
      </c>
      <c r="L6" s="43">
        <f t="shared" si="1"/>
        <v>0.6601430874919233</v>
      </c>
      <c r="M6" s="43">
        <f t="shared" si="1"/>
        <v>0.74688531657184742</v>
      </c>
      <c r="N6" s="454"/>
      <c r="O6" s="454"/>
      <c r="P6" s="6" t="s">
        <v>677</v>
      </c>
      <c r="Q6" s="205">
        <f>H8</f>
        <v>-0.32770656322884495</v>
      </c>
      <c r="R6" s="205">
        <f t="shared" ref="R6:V6" si="2">I8</f>
        <v>9.2176087213173427E-2</v>
      </c>
      <c r="S6" s="205">
        <f t="shared" si="2"/>
        <v>0.56642343268447592</v>
      </c>
      <c r="T6" s="205">
        <f t="shared" si="2"/>
        <v>1.0994109254611752</v>
      </c>
      <c r="U6" s="205">
        <f t="shared" si="2"/>
        <v>1.0871002021800185</v>
      </c>
      <c r="V6" s="205">
        <f t="shared" si="2"/>
        <v>0.79466472355658557</v>
      </c>
      <c r="W6" s="454"/>
      <c r="X6" s="454"/>
      <c r="Y6" s="454"/>
    </row>
    <row r="7" spans="1:25" x14ac:dyDescent="0.25">
      <c r="A7" s="34" t="s">
        <v>517</v>
      </c>
      <c r="B7" s="35">
        <v>-9.6281811955369001E-2</v>
      </c>
      <c r="C7" s="35">
        <f t="shared" ref="C7:M7" si="3">(C6-B6)</f>
        <v>2.6268144332633803</v>
      </c>
      <c r="D7" s="35">
        <f t="shared" si="3"/>
        <v>0.91238239250545283</v>
      </c>
      <c r="E7" s="35">
        <f t="shared" si="3"/>
        <v>1.7402285582491368</v>
      </c>
      <c r="F7" s="35">
        <f t="shared" si="3"/>
        <v>-0.36440427917393081</v>
      </c>
      <c r="G7" s="35">
        <f t="shared" si="3"/>
        <v>-0.2136182619717597</v>
      </c>
      <c r="H7" s="35">
        <f t="shared" si="3"/>
        <v>0.31723498961511076</v>
      </c>
      <c r="I7" s="35">
        <f t="shared" si="3"/>
        <v>0.7088872820889065</v>
      </c>
      <c r="J7" s="35">
        <f t="shared" si="3"/>
        <v>-7.3138191615177428E-2</v>
      </c>
      <c r="K7" s="35">
        <f t="shared" si="3"/>
        <v>0.2002838528698121</v>
      </c>
      <c r="L7" s="35">
        <f t="shared" si="3"/>
        <v>0.21430039045888349</v>
      </c>
      <c r="M7" s="35">
        <f t="shared" si="3"/>
        <v>8.6742229079924127E-2</v>
      </c>
      <c r="V7" s="34" t="s">
        <v>19</v>
      </c>
    </row>
    <row r="8" spans="1:25" x14ac:dyDescent="0.25">
      <c r="A8" s="34" t="s">
        <v>194</v>
      </c>
      <c r="B8" s="902">
        <v>-0.43078899999999998</v>
      </c>
      <c r="C8" s="902">
        <v>-1.0340959999999999</v>
      </c>
      <c r="D8" s="902">
        <v>-1.8512535686031399</v>
      </c>
      <c r="E8" s="902">
        <v>-1.8038250600106522</v>
      </c>
      <c r="F8" s="902">
        <v>-1.4859985814303251</v>
      </c>
      <c r="G8" s="902">
        <v>-0.68730045660982964</v>
      </c>
      <c r="H8" s="902">
        <v>-0.32770656322884495</v>
      </c>
      <c r="I8" s="902">
        <v>9.2176087213173427E-2</v>
      </c>
      <c r="J8" s="902">
        <v>0.56642343268447592</v>
      </c>
      <c r="K8" s="902">
        <v>1.0994109254611752</v>
      </c>
      <c r="L8" s="902">
        <v>1.0871002021800185</v>
      </c>
      <c r="M8" s="902">
        <v>0.79466472355658557</v>
      </c>
    </row>
    <row r="9" spans="1:25" x14ac:dyDescent="0.25">
      <c r="A9" s="34" t="s">
        <v>515</v>
      </c>
      <c r="B9" s="43">
        <v>1.5776440000000003</v>
      </c>
      <c r="C9" s="43">
        <f>(C8-B8)</f>
        <v>-0.60330699999999993</v>
      </c>
      <c r="D9" s="43">
        <f>(D8-C8)</f>
        <v>-0.81715756860314004</v>
      </c>
      <c r="E9" s="43">
        <f t="shared" ref="E9:M9" si="4">(E8-D8)</f>
        <v>4.7428508592487706E-2</v>
      </c>
      <c r="F9" s="43">
        <f t="shared" si="4"/>
        <v>0.31782647858032709</v>
      </c>
      <c r="G9" s="43">
        <f t="shared" si="4"/>
        <v>0.79869812482049551</v>
      </c>
      <c r="H9" s="43">
        <f t="shared" si="4"/>
        <v>0.35959389338098469</v>
      </c>
      <c r="I9" s="43">
        <f>(I8-H8)</f>
        <v>0.41988265044201839</v>
      </c>
      <c r="J9" s="43">
        <f>(J8-I8)</f>
        <v>0.47424734547130248</v>
      </c>
      <c r="K9" s="43">
        <f>(K8-J8)</f>
        <v>0.53298749277669932</v>
      </c>
      <c r="L9" s="43">
        <f t="shared" si="4"/>
        <v>-1.2310723281156788E-2</v>
      </c>
      <c r="M9" s="43">
        <f t="shared" si="4"/>
        <v>-0.29243547862343289</v>
      </c>
      <c r="P9" s="393" t="s">
        <v>1274</v>
      </c>
    </row>
    <row r="10" spans="1:25" ht="14.25" thickBot="1" x14ac:dyDescent="0.3">
      <c r="P10" s="152"/>
      <c r="Q10" s="152">
        <f>Q4</f>
        <v>2016</v>
      </c>
      <c r="R10" s="152">
        <f t="shared" ref="R10:V10" si="5">R4</f>
        <v>2017</v>
      </c>
      <c r="S10" s="152">
        <f t="shared" si="5"/>
        <v>2018</v>
      </c>
      <c r="T10" s="152">
        <f t="shared" si="5"/>
        <v>2019</v>
      </c>
      <c r="U10" s="152">
        <f t="shared" si="5"/>
        <v>2020</v>
      </c>
      <c r="V10" s="152">
        <f t="shared" si="5"/>
        <v>2021</v>
      </c>
    </row>
    <row r="11" spans="1:25" x14ac:dyDescent="0.25">
      <c r="A11" s="297"/>
      <c r="B11" s="228">
        <f t="shared" ref="B11:M11" si="6">B3</f>
        <v>2010</v>
      </c>
      <c r="C11" s="228">
        <f t="shared" si="6"/>
        <v>2011</v>
      </c>
      <c r="D11" s="228">
        <f t="shared" si="6"/>
        <v>2012</v>
      </c>
      <c r="E11" s="228">
        <f t="shared" si="6"/>
        <v>2013</v>
      </c>
      <c r="F11" s="228">
        <f t="shared" si="6"/>
        <v>2014</v>
      </c>
      <c r="G11" s="228">
        <f t="shared" si="6"/>
        <v>2015</v>
      </c>
      <c r="H11" s="228">
        <f t="shared" si="6"/>
        <v>2016</v>
      </c>
      <c r="I11" s="228">
        <f t="shared" si="6"/>
        <v>2017</v>
      </c>
      <c r="J11" s="228">
        <f t="shared" si="6"/>
        <v>2018</v>
      </c>
      <c r="K11" s="228">
        <f t="shared" si="6"/>
        <v>2019</v>
      </c>
      <c r="L11" s="228">
        <f t="shared" si="6"/>
        <v>2020</v>
      </c>
      <c r="M11" s="228">
        <f t="shared" si="6"/>
        <v>2021</v>
      </c>
      <c r="P11" s="5" t="s">
        <v>423</v>
      </c>
      <c r="Q11" s="131">
        <f>Q5</f>
        <v>-0.39019024631050137</v>
      </c>
      <c r="R11" s="131">
        <f>R5</f>
        <v>0.31869703577840514</v>
      </c>
      <c r="S11" s="131">
        <f t="shared" ref="S11:U11" si="7">S5</f>
        <v>0.24555884416322771</v>
      </c>
      <c r="T11" s="131">
        <f t="shared" si="7"/>
        <v>0.4458426970330398</v>
      </c>
      <c r="U11" s="131">
        <f t="shared" si="7"/>
        <v>0.6601430874919233</v>
      </c>
      <c r="V11" s="131">
        <f>V5</f>
        <v>0.74688531657184742</v>
      </c>
    </row>
    <row r="12" spans="1:25" ht="14.25" thickBot="1" x14ac:dyDescent="0.3">
      <c r="A12" s="34" t="s">
        <v>511</v>
      </c>
      <c r="B12" s="43">
        <f t="shared" ref="B12:M12" si="8">B4</f>
        <v>-6.7070214070308927</v>
      </c>
      <c r="C12" s="43">
        <f t="shared" si="8"/>
        <v>-4.310080627655636</v>
      </c>
      <c r="D12" s="43">
        <f t="shared" si="8"/>
        <v>-3.6347000193760159</v>
      </c>
      <c r="E12" s="43">
        <f t="shared" si="8"/>
        <v>-1.9994854438767145</v>
      </c>
      <c r="F12" s="43">
        <f t="shared" si="8"/>
        <v>-2.3910903869335618</v>
      </c>
      <c r="G12" s="43">
        <f t="shared" si="8"/>
        <v>-2.4558019022855899</v>
      </c>
      <c r="H12" s="43">
        <f t="shared" si="8"/>
        <v>-2.0362071520030711</v>
      </c>
      <c r="I12" s="43">
        <f t="shared" si="8"/>
        <v>-1.0769884619963133</v>
      </c>
      <c r="J12" s="43">
        <f t="shared" si="8"/>
        <v>-1.0219281882893039</v>
      </c>
      <c r="K12" s="43">
        <f t="shared" si="8"/>
        <v>-0.7476754017966265</v>
      </c>
      <c r="L12" s="43">
        <f t="shared" si="8"/>
        <v>-0.42765578470995369</v>
      </c>
      <c r="M12" s="43">
        <f t="shared" si="8"/>
        <v>-0.31261420543608148</v>
      </c>
      <c r="P12" s="6" t="s">
        <v>318</v>
      </c>
      <c r="Q12" s="205">
        <f>Q6</f>
        <v>-0.32770656322884495</v>
      </c>
      <c r="R12" s="205">
        <f t="shared" ref="R12:U12" si="9">R6</f>
        <v>9.2176087213173427E-2</v>
      </c>
      <c r="S12" s="205">
        <f t="shared" si="9"/>
        <v>0.56642343268447592</v>
      </c>
      <c r="T12" s="205">
        <f t="shared" si="9"/>
        <v>1.0994109254611752</v>
      </c>
      <c r="U12" s="205">
        <f t="shared" si="9"/>
        <v>1.0871002021800185</v>
      </c>
      <c r="V12" s="205">
        <f>V6</f>
        <v>0.79466472355658557</v>
      </c>
    </row>
    <row r="13" spans="1:25" x14ac:dyDescent="0.25">
      <c r="A13" s="34" t="s">
        <v>512</v>
      </c>
      <c r="B13" s="43">
        <f t="shared" ref="B13:M13" si="10">B5</f>
        <v>1.2981933282330014</v>
      </c>
      <c r="C13" s="43">
        <f t="shared" si="10"/>
        <v>1.5280669821211246</v>
      </c>
      <c r="D13" s="43">
        <f t="shared" si="10"/>
        <v>1.7650687663469575</v>
      </c>
      <c r="E13" s="43">
        <f t="shared" si="10"/>
        <v>1.8700827490967928</v>
      </c>
      <c r="F13" s="43">
        <f t="shared" si="10"/>
        <v>1.8972834129797094</v>
      </c>
      <c r="G13" s="43">
        <f t="shared" si="10"/>
        <v>1.7483766663599778</v>
      </c>
      <c r="H13" s="43">
        <f t="shared" si="10"/>
        <v>1.6460169056925698</v>
      </c>
      <c r="I13" s="43">
        <f t="shared" si="10"/>
        <v>1.3956854977747184</v>
      </c>
      <c r="J13" s="43">
        <f t="shared" si="10"/>
        <v>1.2674870324525316</v>
      </c>
      <c r="K13" s="43">
        <f t="shared" si="10"/>
        <v>1.1935180988296663</v>
      </c>
      <c r="L13" s="43">
        <f t="shared" si="10"/>
        <v>1.087798872201877</v>
      </c>
      <c r="M13" s="43">
        <f t="shared" si="10"/>
        <v>1.0594995220079289</v>
      </c>
      <c r="V13" s="34" t="s">
        <v>235</v>
      </c>
    </row>
    <row r="14" spans="1:25" x14ac:dyDescent="0.25">
      <c r="A14" s="34" t="s">
        <v>513</v>
      </c>
      <c r="B14" s="43">
        <f t="shared" ref="B14:M14" si="11">B6</f>
        <v>-5.4088280787978915</v>
      </c>
      <c r="C14" s="43">
        <f t="shared" si="11"/>
        <v>-2.7820136455345112</v>
      </c>
      <c r="D14" s="43">
        <f t="shared" si="11"/>
        <v>-1.8696312530290584</v>
      </c>
      <c r="E14" s="43">
        <f t="shared" si="11"/>
        <v>-0.12940269477992161</v>
      </c>
      <c r="F14" s="43">
        <f t="shared" si="11"/>
        <v>-0.49380697395385242</v>
      </c>
      <c r="G14" s="43">
        <f t="shared" si="11"/>
        <v>-0.70742523592561213</v>
      </c>
      <c r="H14" s="43">
        <f t="shared" si="11"/>
        <v>-0.39019024631050137</v>
      </c>
      <c r="I14" s="43">
        <f t="shared" si="11"/>
        <v>0.31869703577840514</v>
      </c>
      <c r="J14" s="43">
        <f t="shared" si="11"/>
        <v>0.24555884416322771</v>
      </c>
      <c r="K14" s="43">
        <f t="shared" si="11"/>
        <v>0.4458426970330398</v>
      </c>
      <c r="L14" s="43">
        <f t="shared" si="11"/>
        <v>0.6601430874919233</v>
      </c>
      <c r="M14" s="43">
        <f t="shared" si="11"/>
        <v>0.74688531657184742</v>
      </c>
    </row>
    <row r="15" spans="1:25" x14ac:dyDescent="0.25">
      <c r="A15" s="34" t="s">
        <v>514</v>
      </c>
      <c r="B15" s="43">
        <f t="shared" ref="B15:M15" si="12">B7</f>
        <v>-9.6281811955369001E-2</v>
      </c>
      <c r="C15" s="43">
        <f t="shared" si="12"/>
        <v>2.6268144332633803</v>
      </c>
      <c r="D15" s="43">
        <f t="shared" si="12"/>
        <v>0.91238239250545283</v>
      </c>
      <c r="E15" s="43">
        <f t="shared" si="12"/>
        <v>1.7402285582491368</v>
      </c>
      <c r="F15" s="43">
        <f t="shared" si="12"/>
        <v>-0.36440427917393081</v>
      </c>
      <c r="G15" s="43">
        <f t="shared" si="12"/>
        <v>-0.2136182619717597</v>
      </c>
      <c r="H15" s="43">
        <f t="shared" si="12"/>
        <v>0.31723498961511076</v>
      </c>
      <c r="I15" s="43">
        <f t="shared" si="12"/>
        <v>0.7088872820889065</v>
      </c>
      <c r="J15" s="43">
        <f t="shared" si="12"/>
        <v>-7.3138191615177428E-2</v>
      </c>
      <c r="K15" s="43">
        <f t="shared" si="12"/>
        <v>0.2002838528698121</v>
      </c>
      <c r="L15" s="43">
        <f t="shared" si="12"/>
        <v>0.21430039045888349</v>
      </c>
      <c r="M15" s="43">
        <f t="shared" si="12"/>
        <v>8.6742229079924127E-2</v>
      </c>
    </row>
    <row r="16" spans="1:25" x14ac:dyDescent="0.25">
      <c r="A16" s="34" t="s">
        <v>316</v>
      </c>
      <c r="B16" s="43">
        <f t="shared" ref="B16:M16" si="13">B8</f>
        <v>-0.43078899999999998</v>
      </c>
      <c r="C16" s="43">
        <f t="shared" si="13"/>
        <v>-1.0340959999999999</v>
      </c>
      <c r="D16" s="43">
        <f t="shared" si="13"/>
        <v>-1.8512535686031399</v>
      </c>
      <c r="E16" s="43">
        <f t="shared" si="13"/>
        <v>-1.8038250600106522</v>
      </c>
      <c r="F16" s="43">
        <f t="shared" si="13"/>
        <v>-1.4859985814303251</v>
      </c>
      <c r="G16" s="43">
        <f t="shared" si="13"/>
        <v>-0.68730045660982964</v>
      </c>
      <c r="H16" s="43">
        <f t="shared" si="13"/>
        <v>-0.32770656322884495</v>
      </c>
      <c r="I16" s="43">
        <f t="shared" si="13"/>
        <v>9.2176087213173427E-2</v>
      </c>
      <c r="J16" s="43">
        <f t="shared" si="13"/>
        <v>0.56642343268447592</v>
      </c>
      <c r="K16" s="43">
        <f t="shared" si="13"/>
        <v>1.0994109254611752</v>
      </c>
      <c r="L16" s="43">
        <f t="shared" si="13"/>
        <v>1.0871002021800185</v>
      </c>
      <c r="M16" s="43">
        <f t="shared" si="13"/>
        <v>0.79466472355658557</v>
      </c>
    </row>
    <row r="17" spans="1:13" x14ac:dyDescent="0.25">
      <c r="A17" s="34" t="s">
        <v>516</v>
      </c>
      <c r="B17" s="43">
        <f t="shared" ref="B17:M17" si="14">B9</f>
        <v>1.5776440000000003</v>
      </c>
      <c r="C17" s="43">
        <f t="shared" si="14"/>
        <v>-0.60330699999999993</v>
      </c>
      <c r="D17" s="43">
        <f t="shared" si="14"/>
        <v>-0.81715756860314004</v>
      </c>
      <c r="E17" s="43">
        <f t="shared" si="14"/>
        <v>4.7428508592487706E-2</v>
      </c>
      <c r="F17" s="43">
        <f t="shared" si="14"/>
        <v>0.31782647858032709</v>
      </c>
      <c r="G17" s="43">
        <f t="shared" si="14"/>
        <v>0.79869812482049551</v>
      </c>
      <c r="H17" s="43">
        <f t="shared" si="14"/>
        <v>0.35959389338098469</v>
      </c>
      <c r="I17" s="43">
        <f t="shared" si="14"/>
        <v>0.41988265044201839</v>
      </c>
      <c r="J17" s="43">
        <f t="shared" si="14"/>
        <v>0.47424734547130248</v>
      </c>
      <c r="K17" s="43">
        <f t="shared" si="14"/>
        <v>0.53298749277669932</v>
      </c>
      <c r="L17" s="43">
        <f t="shared" si="14"/>
        <v>-1.2310723281156788E-2</v>
      </c>
      <c r="M17" s="43">
        <f t="shared" si="14"/>
        <v>-0.29243547862343289</v>
      </c>
    </row>
    <row r="18" spans="1:13" x14ac:dyDescent="0.25">
      <c r="H18" s="35"/>
      <c r="I18" s="35"/>
      <c r="J18" s="35"/>
      <c r="K18" s="35"/>
      <c r="L18" s="35"/>
      <c r="M18" s="35"/>
    </row>
    <row r="19" spans="1:13" x14ac:dyDescent="0.25">
      <c r="A19" s="393" t="s">
        <v>1275</v>
      </c>
      <c r="I19" s="393" t="s">
        <v>1276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4"/>
  <dimension ref="A4:K50"/>
  <sheetViews>
    <sheetView showGridLines="0" workbookViewId="0">
      <selection activeCell="J25" sqref="J25"/>
    </sheetView>
  </sheetViews>
  <sheetFormatPr defaultColWidth="9.140625" defaultRowHeight="13.5" x14ac:dyDescent="0.25"/>
  <cols>
    <col min="1" max="16384" width="9.140625" style="34"/>
  </cols>
  <sheetData>
    <row r="4" spans="1:11" x14ac:dyDescent="0.25">
      <c r="A4" s="334" t="s">
        <v>1470</v>
      </c>
      <c r="K4" s="334" t="s">
        <v>1471</v>
      </c>
    </row>
    <row r="38" spans="2:11" x14ac:dyDescent="0.25">
      <c r="C38" s="110">
        <v>2013</v>
      </c>
      <c r="D38" s="110">
        <v>2014</v>
      </c>
      <c r="E38" s="110">
        <v>2015</v>
      </c>
      <c r="F38" s="110">
        <v>2016</v>
      </c>
      <c r="G38" s="110">
        <v>2017</v>
      </c>
      <c r="H38" s="110">
        <v>2018</v>
      </c>
      <c r="I38" s="110">
        <v>2019</v>
      </c>
      <c r="J38" s="110">
        <v>2020</v>
      </c>
      <c r="K38" s="110">
        <v>2021</v>
      </c>
    </row>
    <row r="39" spans="2:11" x14ac:dyDescent="0.25">
      <c r="B39" s="34" t="s">
        <v>1176</v>
      </c>
      <c r="C39" s="43">
        <v>3.0939999999999999</v>
      </c>
      <c r="D39" s="43">
        <v>2.8709999999999996</v>
      </c>
      <c r="E39" s="43">
        <v>2.8769999999999998</v>
      </c>
      <c r="F39" s="43">
        <v>2.8838508341083759</v>
      </c>
      <c r="G39" s="43">
        <v>2.8662661363799677</v>
      </c>
      <c r="H39" s="43">
        <v>2.9406814386515596</v>
      </c>
      <c r="I39" s="43">
        <v>3.0580967409231512</v>
      </c>
      <c r="J39" s="43">
        <v>3.1815120431947426</v>
      </c>
      <c r="K39" s="43">
        <v>3.2209273454663339</v>
      </c>
    </row>
    <row r="40" spans="2:11" x14ac:dyDescent="0.25">
      <c r="B40" s="34" t="s">
        <v>1177</v>
      </c>
      <c r="C40" s="43">
        <v>2.1888281505478502</v>
      </c>
      <c r="D40" s="43">
        <v>6.8154892169870802</v>
      </c>
      <c r="E40" s="43">
        <v>6.7308240718111811</v>
      </c>
      <c r="F40" s="43">
        <v>4.5740851349401872</v>
      </c>
      <c r="G40" s="43">
        <v>5.2735730272851722</v>
      </c>
      <c r="H40" s="43">
        <v>3.845577281144763</v>
      </c>
      <c r="I40" s="43">
        <v>4.0817199519290304</v>
      </c>
      <c r="J40" s="43">
        <v>3.1364957044861752</v>
      </c>
      <c r="K40" s="43">
        <v>2.4117279224847632</v>
      </c>
    </row>
    <row r="41" spans="2:11" x14ac:dyDescent="0.25">
      <c r="B41" s="34" t="s">
        <v>1469</v>
      </c>
      <c r="C41" s="43">
        <v>1.909534849145389</v>
      </c>
      <c r="D41" s="43">
        <v>-0.17129049049086076</v>
      </c>
      <c r="E41" s="43">
        <v>-0.15288108755917573</v>
      </c>
      <c r="F41" s="43">
        <v>-0.44841208210441019</v>
      </c>
      <c r="G41" s="43">
        <v>1.3197163723987604</v>
      </c>
      <c r="H41" s="43">
        <v>1.8014949929209267</v>
      </c>
      <c r="I41" s="43">
        <v>1.9805121573559736</v>
      </c>
      <c r="J41" s="43">
        <v>2.1997199546600843</v>
      </c>
      <c r="K41" s="43">
        <v>2.3085789900932241</v>
      </c>
    </row>
    <row r="42" spans="2:11" x14ac:dyDescent="0.25">
      <c r="B42" s="34" t="s">
        <v>1178</v>
      </c>
      <c r="C42" s="43">
        <v>1138.082950447355</v>
      </c>
      <c r="D42" s="43">
        <v>-29.897010648782604</v>
      </c>
      <c r="E42" s="43">
        <v>138.72009571650693</v>
      </c>
      <c r="F42" s="43">
        <v>-173.87615788893081</v>
      </c>
      <c r="G42" s="43">
        <v>143.60101217659133</v>
      </c>
      <c r="H42" s="43">
        <v>-97.155927631966435</v>
      </c>
      <c r="I42" s="43">
        <v>120.11496262723145</v>
      </c>
      <c r="J42" s="43">
        <v>-121.985417249205</v>
      </c>
      <c r="K42" s="43">
        <v>-162.81599812707978</v>
      </c>
    </row>
    <row r="46" spans="2:11" x14ac:dyDescent="0.25">
      <c r="C46" s="110">
        <v>2013</v>
      </c>
      <c r="D46" s="110">
        <v>2014</v>
      </c>
      <c r="E46" s="110">
        <v>2015</v>
      </c>
      <c r="F46" s="110">
        <v>2016</v>
      </c>
      <c r="G46" s="110">
        <v>2017</v>
      </c>
      <c r="H46" s="110">
        <v>2018</v>
      </c>
      <c r="I46" s="110">
        <v>2019</v>
      </c>
      <c r="J46" s="110">
        <v>2020</v>
      </c>
      <c r="K46" s="110">
        <v>2021</v>
      </c>
    </row>
    <row r="47" spans="2:11" x14ac:dyDescent="0.25">
      <c r="B47" s="34" t="s">
        <v>1709</v>
      </c>
      <c r="C47" s="902">
        <v>3.0939999999999999</v>
      </c>
      <c r="D47" s="902">
        <v>2.8709999999999996</v>
      </c>
      <c r="E47" s="902">
        <v>2.8769999999999998</v>
      </c>
      <c r="F47" s="902">
        <v>2.8838508341083759</v>
      </c>
      <c r="G47" s="902">
        <v>2.8662661363799677</v>
      </c>
      <c r="H47" s="902">
        <v>2.9406814386515596</v>
      </c>
      <c r="I47" s="902">
        <v>3.0580967409231512</v>
      </c>
      <c r="J47" s="902">
        <v>3.1815120431947426</v>
      </c>
      <c r="K47" s="902">
        <v>3.2209273454663339</v>
      </c>
    </row>
    <row r="48" spans="2:11" x14ac:dyDescent="0.25">
      <c r="B48" s="34" t="s">
        <v>1710</v>
      </c>
      <c r="C48" s="902">
        <v>2.1888281505478502</v>
      </c>
      <c r="D48" s="902">
        <v>6.8154892169870802</v>
      </c>
      <c r="E48" s="902">
        <v>6.7308240718111811</v>
      </c>
      <c r="F48" s="902">
        <v>4.5740851349401872</v>
      </c>
      <c r="G48" s="902">
        <v>5.2735730272851722</v>
      </c>
      <c r="H48" s="902">
        <v>3.845577281144763</v>
      </c>
      <c r="I48" s="902">
        <v>4.0817199519290304</v>
      </c>
      <c r="J48" s="902">
        <v>3.1364957044861752</v>
      </c>
      <c r="K48" s="902">
        <v>2.4117279224847632</v>
      </c>
    </row>
    <row r="49" spans="2:11" x14ac:dyDescent="0.25">
      <c r="B49" s="34" t="s">
        <v>1711</v>
      </c>
      <c r="C49" s="902">
        <v>1.909534849145389</v>
      </c>
      <c r="D49" s="902">
        <v>-0.17129049049086076</v>
      </c>
      <c r="E49" s="902">
        <v>-0.15288108755917573</v>
      </c>
      <c r="F49" s="902">
        <v>-0.44841208210441019</v>
      </c>
      <c r="G49" s="902">
        <v>1.3197163723987604</v>
      </c>
      <c r="H49" s="902">
        <v>1.8014949929209267</v>
      </c>
      <c r="I49" s="902">
        <v>1.9805121573559736</v>
      </c>
      <c r="J49" s="902">
        <v>2.1997199546600843</v>
      </c>
      <c r="K49" s="902">
        <v>2.3085789900932241</v>
      </c>
    </row>
    <row r="50" spans="2:11" x14ac:dyDescent="0.25">
      <c r="B50" s="34" t="s">
        <v>1178</v>
      </c>
      <c r="C50" s="902">
        <v>1138.082950447355</v>
      </c>
      <c r="D50" s="902">
        <v>-29.897010648782604</v>
      </c>
      <c r="E50" s="902">
        <v>138.72009571650693</v>
      </c>
      <c r="F50" s="902">
        <v>-173.87615788893081</v>
      </c>
      <c r="G50" s="902">
        <v>143.60101217659133</v>
      </c>
      <c r="H50" s="902">
        <v>-97.155927631966435</v>
      </c>
      <c r="I50" s="902">
        <v>120.11496262723145</v>
      </c>
      <c r="J50" s="902">
        <v>-121.985417249205</v>
      </c>
      <c r="K50" s="902">
        <v>-162.81599812707978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1"/>
  <dimension ref="A2:X68"/>
  <sheetViews>
    <sheetView showGridLines="0" zoomScale="90" zoomScaleNormal="90" workbookViewId="0">
      <selection activeCell="A32" sqref="A32"/>
    </sheetView>
  </sheetViews>
  <sheetFormatPr defaultColWidth="9.140625" defaultRowHeight="13.5" x14ac:dyDescent="0.25"/>
  <cols>
    <col min="1" max="1" width="51.42578125" style="34" customWidth="1"/>
    <col min="2" max="2" width="10.42578125" style="34" customWidth="1"/>
    <col min="3" max="4" width="7.7109375" style="34" customWidth="1"/>
    <col min="5" max="6" width="7.7109375" style="303" customWidth="1"/>
    <col min="7" max="7" width="9.28515625" style="34" customWidth="1"/>
    <col min="8" max="9" width="7.7109375" style="34" customWidth="1"/>
    <col min="10" max="15" width="10" style="34" customWidth="1"/>
    <col min="16" max="16384" width="9.140625" style="34"/>
  </cols>
  <sheetData>
    <row r="2" spans="1:24" x14ac:dyDescent="0.25">
      <c r="B2" s="106"/>
      <c r="C2" s="105"/>
      <c r="D2" s="105"/>
    </row>
    <row r="3" spans="1:24" x14ac:dyDescent="0.25">
      <c r="A3" s="985" t="s">
        <v>1472</v>
      </c>
      <c r="B3" s="985"/>
      <c r="C3" s="985"/>
      <c r="D3" s="985"/>
      <c r="E3" s="985"/>
      <c r="F3" s="985"/>
      <c r="G3" s="985"/>
      <c r="H3" s="985"/>
      <c r="I3" s="985"/>
      <c r="J3" s="810"/>
      <c r="K3" s="810"/>
      <c r="L3" s="810"/>
      <c r="M3" s="810"/>
      <c r="N3" s="810"/>
      <c r="O3" s="810"/>
      <c r="P3" s="810"/>
      <c r="R3" s="985"/>
      <c r="S3" s="985"/>
      <c r="T3" s="985"/>
      <c r="U3" s="985"/>
      <c r="V3" s="985"/>
      <c r="W3" s="985"/>
      <c r="X3" s="985"/>
    </row>
    <row r="4" spans="1:24" x14ac:dyDescent="0.25">
      <c r="A4" s="304"/>
      <c r="B4" s="305"/>
      <c r="C4" s="235">
        <v>2014</v>
      </c>
      <c r="D4" s="235">
        <v>2015</v>
      </c>
      <c r="E4" s="235">
        <v>2016</v>
      </c>
      <c r="F4" s="235">
        <v>2017</v>
      </c>
      <c r="G4" s="235">
        <v>2018</v>
      </c>
      <c r="H4" s="235">
        <v>2019</v>
      </c>
      <c r="I4" s="235">
        <v>2020</v>
      </c>
      <c r="J4" s="235">
        <v>2021</v>
      </c>
    </row>
    <row r="5" spans="1:24" x14ac:dyDescent="0.25">
      <c r="A5" s="306" t="s">
        <v>69</v>
      </c>
      <c r="B5" s="307" t="s">
        <v>48</v>
      </c>
      <c r="C5" s="628">
        <f>ESA2010_source!J42</f>
        <v>31983.491000000002</v>
      </c>
      <c r="D5" s="628">
        <f>ESA2010_source!K42</f>
        <v>35691.877999999997</v>
      </c>
      <c r="E5" s="628">
        <f>ESA2010_source!L42</f>
        <v>33684.084999999999</v>
      </c>
      <c r="F5" s="628">
        <f>ESA2010_source!M42</f>
        <v>34350.584999999999</v>
      </c>
      <c r="G5" s="628">
        <f>ESA2010_source!O42</f>
        <v>35203.413999999997</v>
      </c>
      <c r="H5" s="628">
        <f>ESA2010_source!P42</f>
        <v>36501.83</v>
      </c>
      <c r="I5" s="628">
        <f>ESA2010_source!Q42</f>
        <v>38707.046999999999</v>
      </c>
      <c r="J5" s="628">
        <f>ESA2010_source!R42</f>
        <v>40032.974000000002</v>
      </c>
    </row>
    <row r="6" spans="1:24" x14ac:dyDescent="0.25">
      <c r="A6" s="308" t="s">
        <v>70</v>
      </c>
      <c r="B6" s="307" t="s">
        <v>48</v>
      </c>
      <c r="C6" s="629">
        <f>ESA2010_source!J59</f>
        <v>1443.6010000000001</v>
      </c>
      <c r="D6" s="629">
        <f>ESA2010_source!K59</f>
        <v>1379.4069999999999</v>
      </c>
      <c r="E6" s="629">
        <f>ESA2010_source!L59</f>
        <v>1335.808</v>
      </c>
      <c r="F6" s="629">
        <f>ESA2010_source!M59</f>
        <v>1186.126</v>
      </c>
      <c r="G6" s="629">
        <f>ESA2010_source!O59</f>
        <v>1142.7829999999999</v>
      </c>
      <c r="H6" s="629">
        <f>ESA2010_source!P59</f>
        <v>1146.877</v>
      </c>
      <c r="I6" s="629">
        <f>ESA2010_source!Q59</f>
        <v>1109.6689999999999</v>
      </c>
      <c r="J6" s="629">
        <f>ESA2010_source!R59</f>
        <v>1143.2539999999999</v>
      </c>
      <c r="K6" s="64"/>
      <c r="L6" s="300"/>
      <c r="M6" s="64"/>
      <c r="N6" s="300"/>
      <c r="O6" s="64"/>
    </row>
    <row r="7" spans="1:24" x14ac:dyDescent="0.25">
      <c r="A7" s="308" t="s">
        <v>549</v>
      </c>
      <c r="B7" s="307" t="s">
        <v>48</v>
      </c>
      <c r="C7" s="629">
        <v>971</v>
      </c>
      <c r="D7" s="629">
        <v>2345.375</v>
      </c>
      <c r="E7" s="629">
        <v>506.88200000000001</v>
      </c>
      <c r="F7" s="629">
        <v>440.24799999999999</v>
      </c>
      <c r="G7" s="629">
        <v>50.597000000000001</v>
      </c>
      <c r="H7" s="629">
        <v>107.75999999999999</v>
      </c>
      <c r="I7" s="629">
        <v>396.79999999999995</v>
      </c>
      <c r="J7" s="629">
        <v>333.50399999999996</v>
      </c>
      <c r="K7" s="64"/>
      <c r="L7" s="300"/>
      <c r="M7" s="64"/>
      <c r="N7" s="300"/>
      <c r="O7" s="64"/>
    </row>
    <row r="8" spans="1:24" x14ac:dyDescent="0.25">
      <c r="A8" s="308" t="s">
        <v>550</v>
      </c>
      <c r="B8" s="307" t="s">
        <v>48</v>
      </c>
      <c r="C8" s="629">
        <v>1281</v>
      </c>
      <c r="D8" s="629">
        <v>2789</v>
      </c>
      <c r="E8" s="629">
        <v>796.34500000000003</v>
      </c>
      <c r="F8" s="629">
        <v>631.81200000000001</v>
      </c>
      <c r="G8" s="629">
        <v>346.04299999999995</v>
      </c>
      <c r="H8" s="629">
        <v>312.04300000000001</v>
      </c>
      <c r="I8" s="629">
        <v>1261.1889999999999</v>
      </c>
      <c r="J8" s="629">
        <v>1251.8609999999999</v>
      </c>
      <c r="K8" s="64"/>
      <c r="L8" s="300"/>
      <c r="M8" s="64"/>
      <c r="N8" s="300"/>
      <c r="O8" s="64"/>
    </row>
    <row r="9" spans="1:24" x14ac:dyDescent="0.25">
      <c r="A9" s="308" t="s">
        <v>205</v>
      </c>
      <c r="B9" s="307" t="s">
        <v>48</v>
      </c>
      <c r="C9" s="629">
        <v>2052.41</v>
      </c>
      <c r="D9" s="629">
        <v>2605.2700000000004</v>
      </c>
      <c r="E9" s="629">
        <v>2092.6889999999999</v>
      </c>
      <c r="F9" s="629">
        <v>2255.9110000000001</v>
      </c>
      <c r="G9" s="629">
        <v>2203.739</v>
      </c>
      <c r="H9" s="629">
        <v>2498.0150000000003</v>
      </c>
      <c r="I9" s="629">
        <v>2582.1949999999997</v>
      </c>
      <c r="J9" s="629">
        <v>2889.277</v>
      </c>
      <c r="K9" s="64"/>
      <c r="L9" s="300"/>
      <c r="M9" s="64"/>
      <c r="N9" s="300"/>
      <c r="O9" s="64"/>
    </row>
    <row r="10" spans="1:24" x14ac:dyDescent="0.25">
      <c r="A10" s="308" t="s">
        <v>206</v>
      </c>
      <c r="B10" s="307" t="s">
        <v>48</v>
      </c>
      <c r="C10" s="629">
        <v>1747.7649999999999</v>
      </c>
      <c r="D10" s="629">
        <v>1944.5080000000003</v>
      </c>
      <c r="E10" s="629">
        <v>2061.7275</v>
      </c>
      <c r="F10" s="629">
        <v>2251.68525</v>
      </c>
      <c r="G10" s="629">
        <v>2289.4022500000001</v>
      </c>
      <c r="H10" s="629">
        <v>2262.5884999999998</v>
      </c>
      <c r="I10" s="629">
        <v>2384.9650000000001</v>
      </c>
      <c r="J10" s="629">
        <v>2543.3065000000001</v>
      </c>
      <c r="K10" s="64"/>
      <c r="L10" s="300"/>
      <c r="M10" s="64"/>
      <c r="N10" s="300"/>
      <c r="O10" s="64"/>
    </row>
    <row r="11" spans="1:24" x14ac:dyDescent="0.25">
      <c r="A11" s="310" t="s">
        <v>71</v>
      </c>
      <c r="B11" s="307" t="s">
        <v>48</v>
      </c>
      <c r="C11" s="629">
        <v>18.499351731183378</v>
      </c>
      <c r="D11" s="629">
        <v>10.961271136020152</v>
      </c>
      <c r="E11" s="629">
        <v>3.7583047315553495</v>
      </c>
      <c r="F11" s="629">
        <v>0</v>
      </c>
      <c r="G11" s="629">
        <v>-5.2193028974969824</v>
      </c>
      <c r="H11" s="629">
        <v>-11.12525783593526</v>
      </c>
      <c r="I11" s="629">
        <v>-11.678219347763436</v>
      </c>
      <c r="J11" s="629">
        <v>-11.678219347763436</v>
      </c>
      <c r="K11" s="56"/>
      <c r="L11" s="300"/>
      <c r="M11" s="56"/>
      <c r="N11" s="300"/>
      <c r="O11" s="56"/>
    </row>
    <row r="12" spans="1:24" x14ac:dyDescent="0.25">
      <c r="A12" s="311" t="s">
        <v>72</v>
      </c>
      <c r="B12" s="307" t="s">
        <v>48</v>
      </c>
      <c r="C12" s="629">
        <v>0</v>
      </c>
      <c r="D12" s="629">
        <v>0</v>
      </c>
      <c r="E12" s="629">
        <v>0</v>
      </c>
      <c r="F12" s="629">
        <v>0</v>
      </c>
      <c r="G12" s="629">
        <v>0</v>
      </c>
      <c r="H12" s="629">
        <v>0</v>
      </c>
      <c r="I12" s="629">
        <v>0</v>
      </c>
      <c r="J12" s="629">
        <v>0</v>
      </c>
      <c r="K12" s="56"/>
      <c r="L12" s="300"/>
      <c r="M12" s="56"/>
      <c r="N12" s="300"/>
      <c r="O12" s="56"/>
    </row>
    <row r="13" spans="1:24" x14ac:dyDescent="0.25">
      <c r="A13" s="312" t="s">
        <v>551</v>
      </c>
      <c r="B13" s="313" t="s">
        <v>48</v>
      </c>
      <c r="C13" s="631">
        <f>C5-C6-C8-C9+C10-C11-C12</f>
        <v>28935.745648268818</v>
      </c>
      <c r="D13" s="631">
        <f t="shared" ref="D13:G13" si="0">D5-D6-D8-D9+D10-D11-D12</f>
        <v>30851.747728863978</v>
      </c>
      <c r="E13" s="632">
        <f>E5-E6-E8-E9+E10-E11-E12</f>
        <v>31517.212195268443</v>
      </c>
      <c r="F13" s="632">
        <f t="shared" si="0"/>
        <v>32528.421249999999</v>
      </c>
      <c r="G13" s="631">
        <f t="shared" si="0"/>
        <v>33805.470552897488</v>
      </c>
      <c r="H13" s="631">
        <f>H5-H6-H8-H9+H10-H11-H12</f>
        <v>34818.608757835937</v>
      </c>
      <c r="I13" s="631">
        <f>I5-I6-I8-I9+I10-I11-I12</f>
        <v>36150.637219347765</v>
      </c>
      <c r="J13" s="631">
        <f>J5-J6-J8-J9+J10-J11-J12</f>
        <v>37303.566719347764</v>
      </c>
      <c r="K13" s="65"/>
      <c r="L13" s="300"/>
      <c r="M13" s="65"/>
      <c r="N13" s="300"/>
      <c r="O13" s="65"/>
    </row>
    <row r="14" spans="1:24" ht="15" x14ac:dyDescent="0.25">
      <c r="A14" s="311" t="s">
        <v>882</v>
      </c>
      <c r="B14" s="307" t="s">
        <v>48</v>
      </c>
      <c r="C14" s="633">
        <v>559.14608660248632</v>
      </c>
      <c r="D14" s="64">
        <f>D13-C13</f>
        <v>1916.0020805951608</v>
      </c>
      <c r="E14" s="64">
        <f t="shared" ref="E14:J14" si="1">E13-D13</f>
        <v>665.46446640446447</v>
      </c>
      <c r="F14" s="64">
        <f t="shared" si="1"/>
        <v>1011.2090547315565</v>
      </c>
      <c r="G14" s="64">
        <f t="shared" si="1"/>
        <v>1277.0493028974888</v>
      </c>
      <c r="H14" s="64">
        <f t="shared" si="1"/>
        <v>1013.1382049384483</v>
      </c>
      <c r="I14" s="64">
        <f t="shared" si="1"/>
        <v>1332.0284615118289</v>
      </c>
      <c r="J14" s="64">
        <f t="shared" si="1"/>
        <v>1152.9294999999984</v>
      </c>
      <c r="K14" s="56"/>
      <c r="L14" s="300"/>
      <c r="M14" s="56"/>
      <c r="N14" s="300"/>
      <c r="O14" s="56"/>
    </row>
    <row r="15" spans="1:24" x14ac:dyDescent="0.25">
      <c r="A15" s="308" t="s">
        <v>73</v>
      </c>
      <c r="B15" s="307" t="s">
        <v>48</v>
      </c>
      <c r="C15" s="629">
        <v>-29.897010648782601</v>
      </c>
      <c r="D15" s="629">
        <v>138.72009571650699</v>
      </c>
      <c r="E15" s="629">
        <f>DRM!I49</f>
        <v>-173.87615788893083</v>
      </c>
      <c r="F15" s="629">
        <f>DRM!J49</f>
        <v>143.6010121765913</v>
      </c>
      <c r="G15" s="629">
        <f>DRM!K49</f>
        <v>-97.155927631966463</v>
      </c>
      <c r="H15" s="629">
        <f>DRM!L49</f>
        <v>120.11496262723146</v>
      </c>
      <c r="I15" s="629">
        <f>DRM!M49</f>
        <v>-121.915135680905</v>
      </c>
      <c r="J15" s="629">
        <f>DRM!N49</f>
        <v>-162.88627969537976</v>
      </c>
      <c r="L15" s="300"/>
      <c r="M15" s="64"/>
      <c r="N15" s="300"/>
      <c r="O15" s="64"/>
    </row>
    <row r="16" spans="1:24" ht="15.75" customHeight="1" x14ac:dyDescent="0.25">
      <c r="A16" s="308" t="s">
        <v>667</v>
      </c>
      <c r="B16" s="307" t="s">
        <v>48</v>
      </c>
      <c r="C16" s="229">
        <v>208.7</v>
      </c>
      <c r="D16" s="229">
        <v>0</v>
      </c>
      <c r="E16" s="229">
        <v>0</v>
      </c>
      <c r="F16" s="229">
        <v>0</v>
      </c>
      <c r="G16" s="229">
        <v>0</v>
      </c>
      <c r="H16" s="229">
        <v>0</v>
      </c>
      <c r="I16" s="229">
        <v>0</v>
      </c>
      <c r="J16" s="229">
        <v>0</v>
      </c>
      <c r="M16" s="66"/>
      <c r="N16" s="300"/>
      <c r="O16" s="66"/>
    </row>
    <row r="17" spans="1:18" x14ac:dyDescent="0.25">
      <c r="A17" s="308" t="s">
        <v>668</v>
      </c>
      <c r="B17" s="307" t="s">
        <v>48</v>
      </c>
      <c r="C17" s="229">
        <v>-0.69499729684279998</v>
      </c>
      <c r="D17" s="229">
        <v>0</v>
      </c>
      <c r="E17" s="229">
        <v>-35.159999999999997</v>
      </c>
      <c r="F17" s="229">
        <v>0</v>
      </c>
      <c r="G17" s="229">
        <v>0</v>
      </c>
      <c r="H17" s="229">
        <v>0</v>
      </c>
      <c r="I17" s="229">
        <v>0</v>
      </c>
      <c r="J17" s="229">
        <v>0</v>
      </c>
      <c r="M17" s="66"/>
      <c r="N17" s="300"/>
      <c r="O17" s="66"/>
    </row>
    <row r="18" spans="1:18" x14ac:dyDescent="0.25">
      <c r="A18" s="314" t="s">
        <v>669</v>
      </c>
      <c r="B18" s="313" t="s">
        <v>48</v>
      </c>
      <c r="C18" s="243">
        <v>0</v>
      </c>
      <c r="D18" s="243">
        <v>0</v>
      </c>
      <c r="E18" s="699">
        <v>-33.5</v>
      </c>
      <c r="F18" s="243">
        <v>0</v>
      </c>
      <c r="G18" s="243">
        <v>0</v>
      </c>
      <c r="H18" s="243">
        <v>0</v>
      </c>
      <c r="I18" s="243">
        <v>0</v>
      </c>
      <c r="J18" s="243">
        <v>0</v>
      </c>
      <c r="M18" s="66"/>
      <c r="N18" s="300"/>
      <c r="O18" s="66"/>
    </row>
    <row r="19" spans="1:18" ht="15" x14ac:dyDescent="0.25">
      <c r="A19" s="315" t="s">
        <v>883</v>
      </c>
      <c r="B19" s="316" t="s">
        <v>28</v>
      </c>
      <c r="C19" s="244">
        <v>3.0745935728751084</v>
      </c>
      <c r="D19" s="244">
        <f>(D14-D15+D16+D17+D18)/C13*100</f>
        <v>6.1421675683860801</v>
      </c>
      <c r="E19" s="244">
        <f t="shared" ref="E19:J19" si="2">(E14-E15+E16+E17+E18)/D13*100</f>
        <v>2.4980128551108609</v>
      </c>
      <c r="F19" s="244">
        <f t="shared" si="2"/>
        <v>2.7528070604075059</v>
      </c>
      <c r="G19" s="244">
        <f t="shared" si="2"/>
        <v>4.2246293478797572</v>
      </c>
      <c r="H19" s="244">
        <f t="shared" si="2"/>
        <v>2.6416530452189648</v>
      </c>
      <c r="I19" s="244">
        <f t="shared" si="2"/>
        <v>4.1757659167399197</v>
      </c>
      <c r="J19" s="244">
        <f t="shared" si="2"/>
        <v>3.6398135161809968</v>
      </c>
      <c r="K19" s="67"/>
    </row>
    <row r="20" spans="1:18" x14ac:dyDescent="0.25">
      <c r="A20" s="314" t="s">
        <v>74</v>
      </c>
      <c r="B20" s="313" t="s">
        <v>28</v>
      </c>
      <c r="C20" s="245">
        <f>(((1+C19/100)/(1+C25/100))-1)*100</f>
        <v>1.1645832405641654</v>
      </c>
      <c r="D20" s="245">
        <f t="shared" ref="D20:J20" si="3">(((1+D19/100)/(1+D25/100))-1)*100</f>
        <v>5.4018414176171259</v>
      </c>
      <c r="E20" s="245">
        <f t="shared" si="3"/>
        <v>1.3205720302342572</v>
      </c>
      <c r="F20" s="245">
        <f t="shared" si="3"/>
        <v>1.573338466134433</v>
      </c>
      <c r="G20" s="245">
        <f t="shared" si="3"/>
        <v>2.6755993749378648</v>
      </c>
      <c r="H20" s="245">
        <f t="shared" si="3"/>
        <v>0.75242097656456064</v>
      </c>
      <c r="I20" s="245">
        <f t="shared" si="3"/>
        <v>2.0503966456655975</v>
      </c>
      <c r="J20" s="245">
        <f t="shared" si="3"/>
        <v>1.4229783393757689</v>
      </c>
      <c r="K20" s="68"/>
      <c r="L20" s="300"/>
      <c r="M20" s="68"/>
      <c r="N20" s="300"/>
      <c r="O20" s="68"/>
    </row>
    <row r="21" spans="1:18" x14ac:dyDescent="0.25">
      <c r="A21" s="315" t="s">
        <v>75</v>
      </c>
      <c r="B21" s="316" t="s">
        <v>76</v>
      </c>
      <c r="C21" s="244">
        <v>4.0098703088112035</v>
      </c>
      <c r="D21" s="244">
        <v>2.8769999999999998</v>
      </c>
      <c r="E21" s="244">
        <v>2.1720568911013736</v>
      </c>
      <c r="F21" s="244">
        <v>1.6093619894584563</v>
      </c>
      <c r="G21" s="244">
        <v>1.6953675637911849</v>
      </c>
      <c r="H21" s="244">
        <v>2.3750351404462489</v>
      </c>
      <c r="I21" s="244">
        <v>2.5588551057645552</v>
      </c>
      <c r="J21" s="244">
        <v>3.2209273454663339</v>
      </c>
      <c r="R21" s="317"/>
    </row>
    <row r="22" spans="1:18" x14ac:dyDescent="0.25">
      <c r="A22" s="314" t="s">
        <v>145</v>
      </c>
      <c r="B22" s="313" t="s">
        <v>76</v>
      </c>
      <c r="C22" s="245">
        <f t="shared" ref="C22:I22" si="4">C21-C20</f>
        <v>2.8452870682470381</v>
      </c>
      <c r="D22" s="245">
        <f t="shared" si="4"/>
        <v>-2.5248414176171261</v>
      </c>
      <c r="E22" s="245">
        <f>E21-E20</f>
        <v>0.85148486086711639</v>
      </c>
      <c r="F22" s="245">
        <f t="shared" si="4"/>
        <v>3.6023523324023365E-2</v>
      </c>
      <c r="G22" s="245">
        <f>G21-G20</f>
        <v>-0.9802318111466799</v>
      </c>
      <c r="H22" s="245">
        <f t="shared" si="4"/>
        <v>1.6226141638816882</v>
      </c>
      <c r="I22" s="245">
        <f t="shared" si="4"/>
        <v>0.50845846009895768</v>
      </c>
      <c r="J22" s="245">
        <f t="shared" ref="J22" si="5">J21-J20</f>
        <v>1.797949006090565</v>
      </c>
      <c r="K22" s="70"/>
    </row>
    <row r="23" spans="1:18" x14ac:dyDescent="0.25">
      <c r="A23" s="318" t="s">
        <v>77</v>
      </c>
      <c r="B23" s="319" t="s">
        <v>49</v>
      </c>
      <c r="C23" s="700">
        <v>1.176243187033565</v>
      </c>
      <c r="D23" s="700">
        <f t="shared" ref="D23:I23" si="6">(D22/100*C13)/D27*100</f>
        <v>-0.92600079654267342</v>
      </c>
      <c r="E23" s="701">
        <f t="shared" si="6"/>
        <v>0.32370317086436812</v>
      </c>
      <c r="F23" s="702">
        <f>(F22/100*E13)/F27*100</f>
        <v>1.335951595690278E-2</v>
      </c>
      <c r="G23" s="700">
        <f>(G22/100*F13)/G27*100</f>
        <v>-0.35364826481939027</v>
      </c>
      <c r="H23" s="700">
        <f t="shared" si="6"/>
        <v>0.57084002166457537</v>
      </c>
      <c r="I23" s="700">
        <f t="shared" si="6"/>
        <v>0.17354897079315074</v>
      </c>
      <c r="J23" s="700">
        <f>(J22/100*I13)/J27*100</f>
        <v>0.60235339499682627</v>
      </c>
      <c r="K23" s="70"/>
    </row>
    <row r="24" spans="1:18" ht="14.25" thickBot="1" x14ac:dyDescent="0.3">
      <c r="A24" s="320" t="s">
        <v>78</v>
      </c>
      <c r="B24" s="321" t="s">
        <v>49</v>
      </c>
      <c r="C24" s="703"/>
      <c r="D24" s="703">
        <f t="shared" ref="D24:J24" si="7">(C23+D23)/2</f>
        <v>0.12512119524544579</v>
      </c>
      <c r="E24" s="703">
        <f t="shared" si="7"/>
        <v>-0.30114881283915262</v>
      </c>
      <c r="F24" s="703">
        <f t="shared" si="7"/>
        <v>0.16853134341063544</v>
      </c>
      <c r="G24" s="703">
        <f>(F23+G23)/2</f>
        <v>-0.17014437443124375</v>
      </c>
      <c r="H24" s="703">
        <f t="shared" si="7"/>
        <v>0.10859587842259255</v>
      </c>
      <c r="I24" s="703">
        <f t="shared" si="7"/>
        <v>0.37219449622886303</v>
      </c>
      <c r="J24" s="703">
        <f t="shared" si="7"/>
        <v>0.38795118289498853</v>
      </c>
      <c r="N24" s="322"/>
    </row>
    <row r="25" spans="1:18" ht="15" customHeight="1" x14ac:dyDescent="0.25">
      <c r="A25" s="323" t="s">
        <v>144</v>
      </c>
      <c r="B25" s="324" t="s">
        <v>28</v>
      </c>
      <c r="C25" s="70">
        <v>1.8880227359500346</v>
      </c>
      <c r="D25" s="70">
        <v>0.70238445629776658</v>
      </c>
      <c r="E25" s="70">
        <v>1.162094529554436</v>
      </c>
      <c r="F25" s="70">
        <v>1.1611990036798137</v>
      </c>
      <c r="G25" s="70">
        <v>1.508664164</v>
      </c>
      <c r="H25" s="70">
        <v>1.875123248</v>
      </c>
      <c r="I25" s="70">
        <v>2.0826663500916118</v>
      </c>
      <c r="J25" s="70">
        <v>2.1857326742933507</v>
      </c>
    </row>
    <row r="26" spans="1:18" x14ac:dyDescent="0.25">
      <c r="A26" s="323" t="s">
        <v>196</v>
      </c>
      <c r="B26" s="324" t="s">
        <v>28</v>
      </c>
      <c r="C26" s="70">
        <v>-1.1388703088112038</v>
      </c>
      <c r="D26" s="70">
        <v>0</v>
      </c>
      <c r="E26" s="70">
        <v>0.71179394300700227</v>
      </c>
      <c r="F26" s="70">
        <v>1.2569041469215114</v>
      </c>
      <c r="G26" s="70">
        <v>1.2453138748603747</v>
      </c>
      <c r="H26" s="70">
        <v>0.68306160047690212</v>
      </c>
      <c r="I26" s="70">
        <v>0.62265693743018735</v>
      </c>
      <c r="J26" s="70">
        <v>0</v>
      </c>
    </row>
    <row r="27" spans="1:18" x14ac:dyDescent="0.25">
      <c r="A27" s="230" t="s">
        <v>143</v>
      </c>
      <c r="B27" s="307" t="s">
        <v>48</v>
      </c>
      <c r="C27" s="704">
        <f>ESA2010_source!J90</f>
        <v>76087.789000000004</v>
      </c>
      <c r="D27" s="704">
        <f>ESA2010_source!K90</f>
        <v>78896.442999999999</v>
      </c>
      <c r="E27" s="704">
        <f>ESA2010_source!L90</f>
        <v>81153.966</v>
      </c>
      <c r="F27" s="704">
        <f>ESA2010_source!M90</f>
        <v>84985.191999999995</v>
      </c>
      <c r="G27" s="704">
        <f>ESA2010_source!O90</f>
        <v>90161.316900320875</v>
      </c>
      <c r="H27" s="704">
        <f>ESA2010_source!P90</f>
        <v>96092.133091622032</v>
      </c>
      <c r="I27" s="704">
        <f>ESA2010_source!Q90</f>
        <v>102010.49370035238</v>
      </c>
      <c r="J27" s="704">
        <f>ESA2010_source!R90</f>
        <v>107905.09823292249</v>
      </c>
      <c r="K27" s="634"/>
    </row>
    <row r="28" spans="1:18" ht="13.5" customHeight="1" x14ac:dyDescent="0.25">
      <c r="A28" s="308" t="s">
        <v>678</v>
      </c>
      <c r="B28" s="324" t="s">
        <v>28</v>
      </c>
      <c r="C28" s="246">
        <v>-0.5</v>
      </c>
      <c r="D28" s="246">
        <v>-0.5</v>
      </c>
      <c r="E28" s="246">
        <v>-0.5</v>
      </c>
      <c r="F28" s="246">
        <v>-0.5</v>
      </c>
      <c r="G28" s="246">
        <v>-0.5</v>
      </c>
      <c r="H28" s="246">
        <v>-0.5</v>
      </c>
      <c r="I28" s="246">
        <v>-0.5</v>
      </c>
      <c r="J28" s="246">
        <v>-0.5</v>
      </c>
    </row>
    <row r="29" spans="1:18" ht="13.5" customHeight="1" x14ac:dyDescent="0.25">
      <c r="A29" s="308" t="s">
        <v>679</v>
      </c>
      <c r="B29" s="324" t="s">
        <v>28</v>
      </c>
      <c r="C29" s="246">
        <v>-0.25</v>
      </c>
      <c r="D29" s="246">
        <v>-0.25</v>
      </c>
      <c r="E29" s="246">
        <v>-0.25</v>
      </c>
      <c r="F29" s="246">
        <v>-0.25</v>
      </c>
      <c r="G29" s="246">
        <v>-0.25</v>
      </c>
      <c r="H29" s="246">
        <v>-0.25</v>
      </c>
      <c r="I29" s="246">
        <v>-0.25</v>
      </c>
      <c r="J29" s="246">
        <v>-0.25</v>
      </c>
    </row>
    <row r="30" spans="1:18" ht="13.5" customHeight="1" x14ac:dyDescent="0.25">
      <c r="A30" s="34" t="s">
        <v>1174</v>
      </c>
      <c r="B30" s="324" t="s">
        <v>28</v>
      </c>
      <c r="C30" s="43">
        <v>2.8709999999999996</v>
      </c>
      <c r="D30" s="43">
        <v>2.8769999999999998</v>
      </c>
      <c r="E30" s="348">
        <v>2.8838508341083759</v>
      </c>
      <c r="F30" s="348">
        <v>2.8662661363799677</v>
      </c>
      <c r="G30" s="43">
        <v>2.9406814386515596</v>
      </c>
      <c r="H30" s="43">
        <v>3.0580967409231512</v>
      </c>
      <c r="I30" s="43">
        <v>3.1815120431947426</v>
      </c>
      <c r="J30" s="43">
        <v>3.2209273454663339</v>
      </c>
      <c r="K30" s="705"/>
    </row>
    <row r="31" spans="1:18" x14ac:dyDescent="0.25">
      <c r="J31" s="705" t="s">
        <v>19</v>
      </c>
    </row>
    <row r="32" spans="1:18" ht="14.25" thickBot="1" x14ac:dyDescent="0.3">
      <c r="A32" s="806" t="s">
        <v>1473</v>
      </c>
      <c r="B32" s="806"/>
      <c r="C32" s="806"/>
      <c r="D32" s="806"/>
      <c r="E32" s="806"/>
      <c r="F32" s="806"/>
      <c r="G32" s="806"/>
      <c r="H32" s="806"/>
      <c r="I32" s="806"/>
    </row>
    <row r="33" spans="1:24" x14ac:dyDescent="0.25">
      <c r="A33" s="304"/>
      <c r="B33" s="305"/>
      <c r="C33" s="235">
        <f>C4</f>
        <v>2014</v>
      </c>
      <c r="D33" s="235">
        <f t="shared" ref="D33:J33" si="8">D4</f>
        <v>2015</v>
      </c>
      <c r="E33" s="235">
        <f t="shared" si="8"/>
        <v>2016</v>
      </c>
      <c r="F33" s="235">
        <f t="shared" si="8"/>
        <v>2017</v>
      </c>
      <c r="G33" s="235">
        <f t="shared" si="8"/>
        <v>2018</v>
      </c>
      <c r="H33" s="235">
        <f t="shared" si="8"/>
        <v>2019</v>
      </c>
      <c r="I33" s="235">
        <f t="shared" si="8"/>
        <v>2020</v>
      </c>
      <c r="J33" s="235">
        <f t="shared" si="8"/>
        <v>2021</v>
      </c>
    </row>
    <row r="34" spans="1:24" x14ac:dyDescent="0.25">
      <c r="A34" s="306" t="s">
        <v>365</v>
      </c>
      <c r="B34" s="307" t="s">
        <v>48</v>
      </c>
      <c r="C34" s="628">
        <f t="shared" ref="C34:J34" si="9">C5</f>
        <v>31983.491000000002</v>
      </c>
      <c r="D34" s="628">
        <f t="shared" si="9"/>
        <v>35691.877999999997</v>
      </c>
      <c r="E34" s="628">
        <f t="shared" si="9"/>
        <v>33684.084999999999</v>
      </c>
      <c r="F34" s="628">
        <f t="shared" si="9"/>
        <v>34350.584999999999</v>
      </c>
      <c r="G34" s="628">
        <f t="shared" si="9"/>
        <v>35203.413999999997</v>
      </c>
      <c r="H34" s="628">
        <f t="shared" si="9"/>
        <v>36501.83</v>
      </c>
      <c r="I34" s="628">
        <f t="shared" si="9"/>
        <v>38707.046999999999</v>
      </c>
      <c r="J34" s="628">
        <f t="shared" si="9"/>
        <v>40032.974000000002</v>
      </c>
    </row>
    <row r="35" spans="1:24" x14ac:dyDescent="0.25">
      <c r="A35" s="308" t="s">
        <v>366</v>
      </c>
      <c r="B35" s="307" t="s">
        <v>48</v>
      </c>
      <c r="C35" s="629">
        <f t="shared" ref="C35:J35" si="10">C6</f>
        <v>1443.6010000000001</v>
      </c>
      <c r="D35" s="629">
        <f t="shared" si="10"/>
        <v>1379.4069999999999</v>
      </c>
      <c r="E35" s="629">
        <f t="shared" si="10"/>
        <v>1335.808</v>
      </c>
      <c r="F35" s="629">
        <f t="shared" si="10"/>
        <v>1186.126</v>
      </c>
      <c r="G35" s="629">
        <f t="shared" si="10"/>
        <v>1142.7829999999999</v>
      </c>
      <c r="H35" s="629">
        <f t="shared" si="10"/>
        <v>1146.877</v>
      </c>
      <c r="I35" s="629">
        <f t="shared" si="10"/>
        <v>1109.6689999999999</v>
      </c>
      <c r="J35" s="629">
        <f t="shared" si="10"/>
        <v>1143.2539999999999</v>
      </c>
    </row>
    <row r="36" spans="1:24" x14ac:dyDescent="0.25">
      <c r="A36" s="308" t="s">
        <v>552</v>
      </c>
      <c r="B36" s="307" t="s">
        <v>48</v>
      </c>
      <c r="C36" s="629">
        <f t="shared" ref="C36:J36" si="11">C7</f>
        <v>971</v>
      </c>
      <c r="D36" s="629">
        <f t="shared" si="11"/>
        <v>2345.375</v>
      </c>
      <c r="E36" s="629">
        <f t="shared" si="11"/>
        <v>506.88200000000001</v>
      </c>
      <c r="F36" s="629">
        <f t="shared" si="11"/>
        <v>440.24799999999999</v>
      </c>
      <c r="G36" s="629">
        <f t="shared" si="11"/>
        <v>50.597000000000001</v>
      </c>
      <c r="H36" s="629">
        <f t="shared" si="11"/>
        <v>107.75999999999999</v>
      </c>
      <c r="I36" s="629">
        <f t="shared" si="11"/>
        <v>396.79999999999995</v>
      </c>
      <c r="J36" s="629">
        <f t="shared" si="11"/>
        <v>333.50399999999996</v>
      </c>
    </row>
    <row r="37" spans="1:24" x14ac:dyDescent="0.25">
      <c r="A37" s="308" t="s">
        <v>553</v>
      </c>
      <c r="B37" s="307" t="s">
        <v>48</v>
      </c>
      <c r="C37" s="629">
        <f t="shared" ref="C37:J37" si="12">C8</f>
        <v>1281</v>
      </c>
      <c r="D37" s="629">
        <f t="shared" si="12"/>
        <v>2789</v>
      </c>
      <c r="E37" s="629">
        <f t="shared" si="12"/>
        <v>796.34500000000003</v>
      </c>
      <c r="F37" s="629">
        <f t="shared" si="12"/>
        <v>631.81200000000001</v>
      </c>
      <c r="G37" s="629">
        <f t="shared" si="12"/>
        <v>346.04299999999995</v>
      </c>
      <c r="H37" s="629">
        <f t="shared" si="12"/>
        <v>312.04300000000001</v>
      </c>
      <c r="I37" s="629">
        <f t="shared" si="12"/>
        <v>1261.1889999999999</v>
      </c>
      <c r="J37" s="629">
        <f t="shared" si="12"/>
        <v>1251.8609999999999</v>
      </c>
      <c r="L37" s="985"/>
      <c r="M37" s="985"/>
      <c r="N37" s="985"/>
      <c r="O37" s="985"/>
      <c r="P37" s="985"/>
      <c r="R37" s="985"/>
      <c r="S37" s="985"/>
      <c r="T37" s="985"/>
      <c r="U37" s="985"/>
      <c r="V37" s="985"/>
      <c r="W37" s="985"/>
      <c r="X37" s="985"/>
    </row>
    <row r="38" spans="1:24" x14ac:dyDescent="0.25">
      <c r="A38" s="308" t="s">
        <v>367</v>
      </c>
      <c r="B38" s="307" t="s">
        <v>48</v>
      </c>
      <c r="C38" s="629">
        <f t="shared" ref="C38:J38" si="13">C9</f>
        <v>2052.41</v>
      </c>
      <c r="D38" s="629">
        <f t="shared" si="13"/>
        <v>2605.2700000000004</v>
      </c>
      <c r="E38" s="629">
        <f t="shared" si="13"/>
        <v>2092.6889999999999</v>
      </c>
      <c r="F38" s="629">
        <f t="shared" si="13"/>
        <v>2255.9110000000001</v>
      </c>
      <c r="G38" s="629">
        <f t="shared" si="13"/>
        <v>2203.739</v>
      </c>
      <c r="H38" s="629">
        <f t="shared" si="13"/>
        <v>2498.0150000000003</v>
      </c>
      <c r="I38" s="629">
        <f t="shared" si="13"/>
        <v>2582.1949999999997</v>
      </c>
      <c r="J38" s="629">
        <f t="shared" si="13"/>
        <v>2889.277</v>
      </c>
    </row>
    <row r="39" spans="1:24" x14ac:dyDescent="0.25">
      <c r="A39" s="308" t="s">
        <v>368</v>
      </c>
      <c r="B39" s="307" t="s">
        <v>48</v>
      </c>
      <c r="C39" s="629">
        <f t="shared" ref="C39:J39" si="14">C10</f>
        <v>1747.7649999999999</v>
      </c>
      <c r="D39" s="629">
        <f t="shared" si="14"/>
        <v>1944.5080000000003</v>
      </c>
      <c r="E39" s="630">
        <f t="shared" si="14"/>
        <v>2061.7275</v>
      </c>
      <c r="F39" s="630">
        <f t="shared" si="14"/>
        <v>2251.68525</v>
      </c>
      <c r="G39" s="629">
        <f t="shared" si="14"/>
        <v>2289.4022500000001</v>
      </c>
      <c r="H39" s="629">
        <f t="shared" si="14"/>
        <v>2262.5884999999998</v>
      </c>
      <c r="I39" s="629">
        <f t="shared" si="14"/>
        <v>2384.9650000000001</v>
      </c>
      <c r="J39" s="629">
        <f t="shared" si="14"/>
        <v>2543.3065000000001</v>
      </c>
    </row>
    <row r="40" spans="1:24" x14ac:dyDescent="0.25">
      <c r="A40" s="310" t="s">
        <v>369</v>
      </c>
      <c r="B40" s="307" t="s">
        <v>48</v>
      </c>
      <c r="C40" s="629">
        <f t="shared" ref="C40:J40" si="15">C11</f>
        <v>18.499351731183378</v>
      </c>
      <c r="D40" s="629">
        <f t="shared" si="15"/>
        <v>10.961271136020152</v>
      </c>
      <c r="E40" s="630">
        <f t="shared" si="15"/>
        <v>3.7583047315553495</v>
      </c>
      <c r="F40" s="630">
        <f t="shared" si="15"/>
        <v>0</v>
      </c>
      <c r="G40" s="629">
        <f t="shared" si="15"/>
        <v>-5.2193028974969824</v>
      </c>
      <c r="H40" s="629">
        <f t="shared" si="15"/>
        <v>-11.12525783593526</v>
      </c>
      <c r="I40" s="629">
        <f t="shared" si="15"/>
        <v>-11.678219347763436</v>
      </c>
      <c r="J40" s="629">
        <f t="shared" si="15"/>
        <v>-11.678219347763436</v>
      </c>
    </row>
    <row r="41" spans="1:24" x14ac:dyDescent="0.25">
      <c r="A41" s="311" t="s">
        <v>370</v>
      </c>
      <c r="B41" s="307" t="s">
        <v>48</v>
      </c>
      <c r="C41" s="629">
        <f t="shared" ref="C41:J41" si="16">C12</f>
        <v>0</v>
      </c>
      <c r="D41" s="629">
        <f t="shared" si="16"/>
        <v>0</v>
      </c>
      <c r="E41" s="630">
        <f t="shared" si="16"/>
        <v>0</v>
      </c>
      <c r="F41" s="630">
        <f t="shared" si="16"/>
        <v>0</v>
      </c>
      <c r="G41" s="629">
        <f t="shared" si="16"/>
        <v>0</v>
      </c>
      <c r="H41" s="629">
        <f t="shared" si="16"/>
        <v>0</v>
      </c>
      <c r="I41" s="629">
        <f t="shared" si="16"/>
        <v>0</v>
      </c>
      <c r="J41" s="629">
        <f t="shared" si="16"/>
        <v>0</v>
      </c>
    </row>
    <row r="42" spans="1:24" x14ac:dyDescent="0.25">
      <c r="A42" s="312" t="s">
        <v>371</v>
      </c>
      <c r="B42" s="313" t="s">
        <v>48</v>
      </c>
      <c r="C42" s="631">
        <f t="shared" ref="C42:J42" si="17">C13</f>
        <v>28935.745648268818</v>
      </c>
      <c r="D42" s="631">
        <f t="shared" si="17"/>
        <v>30851.747728863978</v>
      </c>
      <c r="E42" s="632">
        <f t="shared" si="17"/>
        <v>31517.212195268443</v>
      </c>
      <c r="F42" s="632">
        <f t="shared" si="17"/>
        <v>32528.421249999999</v>
      </c>
      <c r="G42" s="631">
        <f t="shared" si="17"/>
        <v>33805.470552897488</v>
      </c>
      <c r="H42" s="631">
        <f t="shared" si="17"/>
        <v>34818.608757835937</v>
      </c>
      <c r="I42" s="631">
        <f t="shared" si="17"/>
        <v>36150.637219347765</v>
      </c>
      <c r="J42" s="631">
        <f t="shared" si="17"/>
        <v>37303.566719347764</v>
      </c>
    </row>
    <row r="43" spans="1:24" x14ac:dyDescent="0.25">
      <c r="A43" s="311" t="s">
        <v>372</v>
      </c>
      <c r="B43" s="307" t="s">
        <v>48</v>
      </c>
      <c r="C43" s="633">
        <f t="shared" ref="C43:J43" si="18">C14</f>
        <v>559.14608660248632</v>
      </c>
      <c r="D43" s="64">
        <f t="shared" si="18"/>
        <v>1916.0020805951608</v>
      </c>
      <c r="E43" s="64">
        <f t="shared" si="18"/>
        <v>665.46446640446447</v>
      </c>
      <c r="F43" s="64">
        <f t="shared" si="18"/>
        <v>1011.2090547315565</v>
      </c>
      <c r="G43" s="64">
        <f t="shared" si="18"/>
        <v>1277.0493028974888</v>
      </c>
      <c r="H43" s="64">
        <f t="shared" si="18"/>
        <v>1013.1382049384483</v>
      </c>
      <c r="I43" s="64">
        <f t="shared" si="18"/>
        <v>1332.0284615118289</v>
      </c>
      <c r="J43" s="64">
        <f t="shared" si="18"/>
        <v>1152.9294999999984</v>
      </c>
    </row>
    <row r="44" spans="1:24" x14ac:dyDescent="0.25">
      <c r="A44" s="308" t="s">
        <v>830</v>
      </c>
      <c r="B44" s="307" t="s">
        <v>48</v>
      </c>
      <c r="C44" s="629">
        <f t="shared" ref="C44:J44" si="19">C15</f>
        <v>-29.897010648782601</v>
      </c>
      <c r="D44" s="629">
        <f t="shared" si="19"/>
        <v>138.72009571650699</v>
      </c>
      <c r="E44" s="630">
        <f t="shared" si="19"/>
        <v>-173.87615788893083</v>
      </c>
      <c r="F44" s="630">
        <f t="shared" si="19"/>
        <v>143.6010121765913</v>
      </c>
      <c r="G44" s="629">
        <f t="shared" si="19"/>
        <v>-97.155927631966463</v>
      </c>
      <c r="H44" s="629">
        <f t="shared" si="19"/>
        <v>120.11496262723146</v>
      </c>
      <c r="I44" s="629">
        <f t="shared" si="19"/>
        <v>-121.915135680905</v>
      </c>
      <c r="J44" s="629">
        <f t="shared" si="19"/>
        <v>-162.88627969537976</v>
      </c>
    </row>
    <row r="45" spans="1:24" x14ac:dyDescent="0.25">
      <c r="A45" s="308" t="s">
        <v>831</v>
      </c>
      <c r="B45" s="307" t="s">
        <v>48</v>
      </c>
      <c r="C45" s="629">
        <f t="shared" ref="C45:J45" si="20">C16</f>
        <v>208.7</v>
      </c>
      <c r="D45" s="629">
        <f t="shared" si="20"/>
        <v>0</v>
      </c>
      <c r="E45" s="629">
        <f t="shared" si="20"/>
        <v>0</v>
      </c>
      <c r="F45" s="629">
        <f t="shared" si="20"/>
        <v>0</v>
      </c>
      <c r="G45" s="629">
        <f t="shared" si="20"/>
        <v>0</v>
      </c>
      <c r="H45" s="629">
        <f t="shared" si="20"/>
        <v>0</v>
      </c>
      <c r="I45" s="629">
        <f t="shared" si="20"/>
        <v>0</v>
      </c>
      <c r="J45" s="629">
        <f t="shared" si="20"/>
        <v>0</v>
      </c>
    </row>
    <row r="46" spans="1:24" x14ac:dyDescent="0.25">
      <c r="A46" s="308" t="s">
        <v>832</v>
      </c>
      <c r="B46" s="307" t="s">
        <v>48</v>
      </c>
      <c r="C46" s="229">
        <f t="shared" ref="C46:J46" si="21">C17</f>
        <v>-0.69499729684279998</v>
      </c>
      <c r="D46" s="229">
        <f t="shared" si="21"/>
        <v>0</v>
      </c>
      <c r="E46" s="229">
        <f t="shared" si="21"/>
        <v>-35.159999999999997</v>
      </c>
      <c r="F46" s="229">
        <f t="shared" si="21"/>
        <v>0</v>
      </c>
      <c r="G46" s="229">
        <f t="shared" si="21"/>
        <v>0</v>
      </c>
      <c r="H46" s="229">
        <f t="shared" si="21"/>
        <v>0</v>
      </c>
      <c r="I46" s="229">
        <f t="shared" si="21"/>
        <v>0</v>
      </c>
      <c r="J46" s="229">
        <f t="shared" si="21"/>
        <v>0</v>
      </c>
    </row>
    <row r="47" spans="1:24" x14ac:dyDescent="0.25">
      <c r="A47" s="314" t="s">
        <v>833</v>
      </c>
      <c r="B47" s="313" t="s">
        <v>48</v>
      </c>
      <c r="C47" s="243">
        <f t="shared" ref="C47:J47" si="22">C18</f>
        <v>0</v>
      </c>
      <c r="D47" s="243">
        <f t="shared" si="22"/>
        <v>0</v>
      </c>
      <c r="E47" s="243">
        <f t="shared" si="22"/>
        <v>-33.5</v>
      </c>
      <c r="F47" s="243">
        <f t="shared" si="22"/>
        <v>0</v>
      </c>
      <c r="G47" s="243">
        <f t="shared" si="22"/>
        <v>0</v>
      </c>
      <c r="H47" s="243">
        <f t="shared" si="22"/>
        <v>0</v>
      </c>
      <c r="I47" s="243">
        <f t="shared" si="22"/>
        <v>0</v>
      </c>
      <c r="J47" s="243">
        <f t="shared" si="22"/>
        <v>0</v>
      </c>
    </row>
    <row r="48" spans="1:24" x14ac:dyDescent="0.25">
      <c r="A48" s="325" t="s">
        <v>373</v>
      </c>
      <c r="B48" s="326" t="s">
        <v>28</v>
      </c>
      <c r="C48" s="231">
        <f t="shared" ref="C48:J48" si="23">C19</f>
        <v>3.0745935728751084</v>
      </c>
      <c r="D48" s="244">
        <f t="shared" si="23"/>
        <v>6.1421675683860801</v>
      </c>
      <c r="E48" s="244">
        <f t="shared" si="23"/>
        <v>2.4980128551108609</v>
      </c>
      <c r="F48" s="244">
        <f t="shared" si="23"/>
        <v>2.7528070604075059</v>
      </c>
      <c r="G48" s="244">
        <f t="shared" si="23"/>
        <v>4.2246293478797572</v>
      </c>
      <c r="H48" s="244">
        <f t="shared" si="23"/>
        <v>2.6416530452189648</v>
      </c>
      <c r="I48" s="244">
        <f t="shared" si="23"/>
        <v>4.1757659167399197</v>
      </c>
      <c r="J48" s="244">
        <f t="shared" si="23"/>
        <v>3.6398135161809968</v>
      </c>
    </row>
    <row r="49" spans="1:10" x14ac:dyDescent="0.25">
      <c r="A49" s="327" t="s">
        <v>374</v>
      </c>
      <c r="B49" s="328" t="s">
        <v>28</v>
      </c>
      <c r="C49" s="232">
        <f t="shared" ref="C49:J49" si="24">C20</f>
        <v>1.1645832405641654</v>
      </c>
      <c r="D49" s="245">
        <f t="shared" si="24"/>
        <v>5.4018414176171259</v>
      </c>
      <c r="E49" s="245">
        <f t="shared" si="24"/>
        <v>1.3205720302342572</v>
      </c>
      <c r="F49" s="245">
        <f t="shared" si="24"/>
        <v>1.573338466134433</v>
      </c>
      <c r="G49" s="245">
        <f t="shared" si="24"/>
        <v>2.6755993749378648</v>
      </c>
      <c r="H49" s="245">
        <f t="shared" si="24"/>
        <v>0.75242097656456064</v>
      </c>
      <c r="I49" s="245">
        <f t="shared" si="24"/>
        <v>2.0503966456655975</v>
      </c>
      <c r="J49" s="245">
        <f t="shared" si="24"/>
        <v>1.4229783393757689</v>
      </c>
    </row>
    <row r="50" spans="1:10" x14ac:dyDescent="0.25">
      <c r="A50" s="311" t="s">
        <v>375</v>
      </c>
      <c r="B50" s="307" t="s">
        <v>76</v>
      </c>
      <c r="C50" s="66">
        <f t="shared" ref="C50:J50" si="25">C21</f>
        <v>4.0098703088112035</v>
      </c>
      <c r="D50" s="66">
        <f t="shared" si="25"/>
        <v>2.8769999999999998</v>
      </c>
      <c r="E50" s="66">
        <f t="shared" si="25"/>
        <v>2.1720568911013736</v>
      </c>
      <c r="F50" s="66">
        <f t="shared" si="25"/>
        <v>1.6093619894584563</v>
      </c>
      <c r="G50" s="66">
        <f t="shared" si="25"/>
        <v>1.6953675637911849</v>
      </c>
      <c r="H50" s="66">
        <f t="shared" si="25"/>
        <v>2.3750351404462489</v>
      </c>
      <c r="I50" s="66">
        <f t="shared" si="25"/>
        <v>2.5588551057645552</v>
      </c>
      <c r="J50" s="66">
        <f t="shared" si="25"/>
        <v>3.2209273454663339</v>
      </c>
    </row>
    <row r="51" spans="1:10" ht="15" customHeight="1" x14ac:dyDescent="0.25">
      <c r="A51" s="329" t="s">
        <v>376</v>
      </c>
      <c r="B51" s="313" t="s">
        <v>76</v>
      </c>
      <c r="C51" s="245">
        <f t="shared" ref="C51:J51" si="26">C22</f>
        <v>2.8452870682470381</v>
      </c>
      <c r="D51" s="245">
        <f t="shared" si="26"/>
        <v>-2.5248414176171261</v>
      </c>
      <c r="E51" s="245">
        <f t="shared" si="26"/>
        <v>0.85148486086711639</v>
      </c>
      <c r="F51" s="245">
        <f t="shared" si="26"/>
        <v>3.6023523324023365E-2</v>
      </c>
      <c r="G51" s="245">
        <f t="shared" si="26"/>
        <v>-0.9802318111466799</v>
      </c>
      <c r="H51" s="245">
        <f t="shared" si="26"/>
        <v>1.6226141638816882</v>
      </c>
      <c r="I51" s="245">
        <f t="shared" si="26"/>
        <v>0.50845846009895768</v>
      </c>
      <c r="J51" s="245">
        <f t="shared" si="26"/>
        <v>1.797949006090565</v>
      </c>
    </row>
    <row r="52" spans="1:10" x14ac:dyDescent="0.25">
      <c r="A52" s="318" t="s">
        <v>554</v>
      </c>
      <c r="B52" s="319" t="s">
        <v>49</v>
      </c>
      <c r="C52" s="68">
        <f t="shared" ref="C52:J52" si="27">C23</f>
        <v>1.176243187033565</v>
      </c>
      <c r="D52" s="68">
        <f t="shared" si="27"/>
        <v>-0.92600079654267342</v>
      </c>
      <c r="E52" s="68">
        <f t="shared" si="27"/>
        <v>0.32370317086436812</v>
      </c>
      <c r="F52" s="68">
        <f t="shared" si="27"/>
        <v>1.335951595690278E-2</v>
      </c>
      <c r="G52" s="68">
        <f t="shared" si="27"/>
        <v>-0.35364826481939027</v>
      </c>
      <c r="H52" s="68">
        <f t="shared" si="27"/>
        <v>0.57084002166457537</v>
      </c>
      <c r="I52" s="68">
        <f t="shared" si="27"/>
        <v>0.17354897079315074</v>
      </c>
      <c r="J52" s="68">
        <f t="shared" si="27"/>
        <v>0.60235339499682627</v>
      </c>
    </row>
    <row r="53" spans="1:10" ht="14.25" thickBot="1" x14ac:dyDescent="0.3">
      <c r="A53" s="320" t="s">
        <v>555</v>
      </c>
      <c r="B53" s="321" t="s">
        <v>49</v>
      </c>
      <c r="C53" s="236">
        <f t="shared" ref="C53:J53" si="28">C24</f>
        <v>0</v>
      </c>
      <c r="D53" s="236">
        <f t="shared" si="28"/>
        <v>0.12512119524544579</v>
      </c>
      <c r="E53" s="236">
        <f t="shared" si="28"/>
        <v>-0.30114881283915262</v>
      </c>
      <c r="F53" s="236">
        <f t="shared" si="28"/>
        <v>0.16853134341063544</v>
      </c>
      <c r="G53" s="236">
        <f t="shared" si="28"/>
        <v>-0.17014437443124375</v>
      </c>
      <c r="H53" s="236">
        <f t="shared" si="28"/>
        <v>0.10859587842259255</v>
      </c>
      <c r="I53" s="236">
        <f t="shared" si="28"/>
        <v>0.37219449622886303</v>
      </c>
      <c r="J53" s="236">
        <f t="shared" si="28"/>
        <v>0.38795118289498853</v>
      </c>
    </row>
    <row r="54" spans="1:10" x14ac:dyDescent="0.25">
      <c r="A54" s="323" t="s">
        <v>377</v>
      </c>
      <c r="B54" s="324" t="s">
        <v>28</v>
      </c>
      <c r="C54" s="233">
        <f t="shared" ref="C54:J54" si="29">C25</f>
        <v>1.8880227359500346</v>
      </c>
      <c r="D54" s="233">
        <f t="shared" si="29"/>
        <v>0.70238445629776658</v>
      </c>
      <c r="E54" s="234">
        <f t="shared" si="29"/>
        <v>1.162094529554436</v>
      </c>
      <c r="F54" s="234">
        <f t="shared" si="29"/>
        <v>1.1611990036798137</v>
      </c>
      <c r="G54" s="233">
        <f t="shared" si="29"/>
        <v>1.508664164</v>
      </c>
      <c r="H54" s="233">
        <f t="shared" si="29"/>
        <v>1.875123248</v>
      </c>
      <c r="I54" s="233">
        <f t="shared" si="29"/>
        <v>2.0826663500916118</v>
      </c>
      <c r="J54" s="233">
        <f t="shared" si="29"/>
        <v>2.1857326742933507</v>
      </c>
    </row>
    <row r="55" spans="1:10" x14ac:dyDescent="0.25">
      <c r="A55" s="323" t="s">
        <v>378</v>
      </c>
      <c r="B55" s="324" t="s">
        <v>28</v>
      </c>
      <c r="C55" s="233">
        <f t="shared" ref="C55:J55" si="30">C26</f>
        <v>-1.1388703088112038</v>
      </c>
      <c r="D55" s="233">
        <f t="shared" si="30"/>
        <v>0</v>
      </c>
      <c r="E55" s="234">
        <f t="shared" si="30"/>
        <v>0.71179394300700227</v>
      </c>
      <c r="F55" s="234">
        <f t="shared" si="30"/>
        <v>1.2569041469215114</v>
      </c>
      <c r="G55" s="233">
        <f t="shared" si="30"/>
        <v>1.2453138748603747</v>
      </c>
      <c r="H55" s="233">
        <f t="shared" si="30"/>
        <v>0.68306160047690212</v>
      </c>
      <c r="I55" s="233">
        <f t="shared" si="30"/>
        <v>0.62265693743018735</v>
      </c>
      <c r="J55" s="233">
        <f t="shared" si="30"/>
        <v>0</v>
      </c>
    </row>
    <row r="56" spans="1:10" x14ac:dyDescent="0.25">
      <c r="A56" s="230" t="s">
        <v>379</v>
      </c>
      <c r="B56" s="307" t="s">
        <v>48</v>
      </c>
      <c r="C56" s="634">
        <f t="shared" ref="C56:J56" si="31">C27</f>
        <v>76087.789000000004</v>
      </c>
      <c r="D56" s="634">
        <f t="shared" si="31"/>
        <v>78896.442999999999</v>
      </c>
      <c r="E56" s="634">
        <f t="shared" si="31"/>
        <v>81153.966</v>
      </c>
      <c r="F56" s="634">
        <f t="shared" si="31"/>
        <v>84985.191999999995</v>
      </c>
      <c r="G56" s="634">
        <f t="shared" si="31"/>
        <v>90161.316900320875</v>
      </c>
      <c r="H56" s="634">
        <f t="shared" si="31"/>
        <v>96092.133091622032</v>
      </c>
      <c r="I56" s="634">
        <f t="shared" si="31"/>
        <v>102010.49370035238</v>
      </c>
      <c r="J56" s="634">
        <f t="shared" si="31"/>
        <v>107905.09823292249</v>
      </c>
    </row>
    <row r="57" spans="1:10" ht="14.25" customHeight="1" x14ac:dyDescent="0.25">
      <c r="A57" s="308" t="s">
        <v>680</v>
      </c>
      <c r="B57" s="324" t="s">
        <v>28</v>
      </c>
      <c r="C57" s="246">
        <f t="shared" ref="C57:J57" si="32">C28</f>
        <v>-0.5</v>
      </c>
      <c r="D57" s="246">
        <f t="shared" si="32"/>
        <v>-0.5</v>
      </c>
      <c r="E57" s="246">
        <f t="shared" si="32"/>
        <v>-0.5</v>
      </c>
      <c r="F57" s="246">
        <f t="shared" si="32"/>
        <v>-0.5</v>
      </c>
      <c r="G57" s="246">
        <f t="shared" si="32"/>
        <v>-0.5</v>
      </c>
      <c r="H57" s="246">
        <f t="shared" si="32"/>
        <v>-0.5</v>
      </c>
      <c r="I57" s="246">
        <f t="shared" si="32"/>
        <v>-0.5</v>
      </c>
      <c r="J57" s="246">
        <f t="shared" si="32"/>
        <v>-0.5</v>
      </c>
    </row>
    <row r="58" spans="1:10" x14ac:dyDescent="0.25">
      <c r="A58" s="308" t="s">
        <v>681</v>
      </c>
      <c r="B58" s="324" t="s">
        <v>28</v>
      </c>
      <c r="C58" s="246">
        <f>C29</f>
        <v>-0.25</v>
      </c>
      <c r="D58" s="246">
        <f t="shared" ref="D58:J58" si="33">D29</f>
        <v>-0.25</v>
      </c>
      <c r="E58" s="246">
        <f t="shared" si="33"/>
        <v>-0.25</v>
      </c>
      <c r="F58" s="246">
        <f t="shared" si="33"/>
        <v>-0.25</v>
      </c>
      <c r="G58" s="246">
        <f t="shared" si="33"/>
        <v>-0.25</v>
      </c>
      <c r="H58" s="246">
        <f t="shared" si="33"/>
        <v>-0.25</v>
      </c>
      <c r="I58" s="246">
        <f t="shared" si="33"/>
        <v>-0.25</v>
      </c>
      <c r="J58" s="246">
        <f t="shared" si="33"/>
        <v>-0.25</v>
      </c>
    </row>
    <row r="59" spans="1:10" ht="13.5" customHeight="1" x14ac:dyDescent="0.25">
      <c r="A59" s="34" t="s">
        <v>1175</v>
      </c>
      <c r="B59" s="324" t="s">
        <v>28</v>
      </c>
      <c r="C59" s="43">
        <f>C30</f>
        <v>2.8709999999999996</v>
      </c>
      <c r="D59" s="43">
        <f t="shared" ref="D59:J59" si="34">D30</f>
        <v>2.8769999999999998</v>
      </c>
      <c r="E59" s="43">
        <f t="shared" si="34"/>
        <v>2.8838508341083759</v>
      </c>
      <c r="F59" s="43">
        <f t="shared" si="34"/>
        <v>2.8662661363799677</v>
      </c>
      <c r="G59" s="43">
        <f t="shared" si="34"/>
        <v>2.9406814386515596</v>
      </c>
      <c r="H59" s="43">
        <f t="shared" si="34"/>
        <v>3.0580967409231512</v>
      </c>
      <c r="I59" s="43">
        <f t="shared" si="34"/>
        <v>3.1815120431947426</v>
      </c>
      <c r="J59" s="43">
        <f t="shared" si="34"/>
        <v>3.2209273454663339</v>
      </c>
    </row>
    <row r="60" spans="1:10" x14ac:dyDescent="0.25">
      <c r="I60" s="984" t="s">
        <v>235</v>
      </c>
      <c r="J60" s="984"/>
    </row>
    <row r="64" spans="1:10" x14ac:dyDescent="0.25">
      <c r="A64" s="873"/>
      <c r="B64" s="874">
        <v>2013</v>
      </c>
      <c r="C64" s="874">
        <v>2014</v>
      </c>
      <c r="D64" s="874">
        <v>2015</v>
      </c>
      <c r="E64" s="874">
        <v>2016</v>
      </c>
      <c r="F64" s="874">
        <v>2017</v>
      </c>
      <c r="G64" s="874">
        <v>2018</v>
      </c>
      <c r="H64" s="874">
        <v>2019</v>
      </c>
      <c r="I64" s="874">
        <v>2020</v>
      </c>
      <c r="J64" s="874">
        <v>2021</v>
      </c>
    </row>
    <row r="65" spans="1:10" x14ac:dyDescent="0.25">
      <c r="A65" s="34" t="s">
        <v>1176</v>
      </c>
      <c r="B65" s="875">
        <v>3.4229999999999996</v>
      </c>
      <c r="C65" s="875">
        <f>C30</f>
        <v>2.8709999999999996</v>
      </c>
      <c r="D65" s="875">
        <f t="shared" ref="D65:J65" si="35">D30</f>
        <v>2.8769999999999998</v>
      </c>
      <c r="E65" s="875">
        <f t="shared" si="35"/>
        <v>2.8838508341083759</v>
      </c>
      <c r="F65" s="875">
        <f t="shared" si="35"/>
        <v>2.8662661363799677</v>
      </c>
      <c r="G65" s="875">
        <f t="shared" si="35"/>
        <v>2.9406814386515596</v>
      </c>
      <c r="H65" s="875">
        <f t="shared" si="35"/>
        <v>3.0580967409231512</v>
      </c>
      <c r="I65" s="875">
        <f t="shared" si="35"/>
        <v>3.1815120431947426</v>
      </c>
      <c r="J65" s="875">
        <f t="shared" si="35"/>
        <v>3.2209273454663339</v>
      </c>
    </row>
    <row r="66" spans="1:10" x14ac:dyDescent="0.25">
      <c r="A66" s="34" t="s">
        <v>1177</v>
      </c>
      <c r="B66" s="875">
        <v>2.1888281505478502</v>
      </c>
      <c r="C66" s="875">
        <v>6.8154892169870802</v>
      </c>
      <c r="D66" s="875">
        <v>6.7308240718111811</v>
      </c>
      <c r="E66" s="875">
        <v>4.5740851349401872</v>
      </c>
      <c r="F66" s="875">
        <v>5.2735730272851722</v>
      </c>
      <c r="G66" s="875">
        <v>3.845577281144763</v>
      </c>
      <c r="H66" s="875">
        <v>5.0939352840652319</v>
      </c>
      <c r="I66" s="875">
        <v>3.7052539971498266</v>
      </c>
      <c r="J66" s="875">
        <v>2.9058417473853071</v>
      </c>
    </row>
    <row r="67" spans="1:10" x14ac:dyDescent="0.25">
      <c r="A67" s="34" t="s">
        <v>1179</v>
      </c>
      <c r="B67" s="875">
        <v>1.909534849145389</v>
      </c>
      <c r="C67" s="875">
        <v>-0.17129049049086076</v>
      </c>
      <c r="D67" s="875">
        <v>-0.15288108755917573</v>
      </c>
      <c r="E67" s="875">
        <v>-0.44841208210441019</v>
      </c>
      <c r="F67" s="875">
        <v>1.3197163723987604</v>
      </c>
      <c r="G67" s="875">
        <v>1.8014949929209267</v>
      </c>
      <c r="H67" s="875">
        <v>1.9805121573559736</v>
      </c>
      <c r="I67" s="875">
        <v>2.1997199546600843</v>
      </c>
      <c r="J67" s="875">
        <v>2.3085789900932241</v>
      </c>
    </row>
    <row r="68" spans="1:10" x14ac:dyDescent="0.25">
      <c r="A68" s="297" t="s">
        <v>1178</v>
      </c>
      <c r="B68" s="876">
        <v>1138.082950447355</v>
      </c>
      <c r="C68" s="876">
        <f>C15</f>
        <v>-29.897010648782601</v>
      </c>
      <c r="D68" s="876">
        <f t="shared" ref="D68:J68" si="36">D15</f>
        <v>138.72009571650699</v>
      </c>
      <c r="E68" s="876">
        <f t="shared" si="36"/>
        <v>-173.87615788893083</v>
      </c>
      <c r="F68" s="876">
        <f t="shared" si="36"/>
        <v>143.6010121765913</v>
      </c>
      <c r="G68" s="876">
        <f t="shared" si="36"/>
        <v>-97.155927631966463</v>
      </c>
      <c r="H68" s="876">
        <f t="shared" si="36"/>
        <v>120.11496262723146</v>
      </c>
      <c r="I68" s="876">
        <f t="shared" si="36"/>
        <v>-121.915135680905</v>
      </c>
      <c r="J68" s="876">
        <f t="shared" si="36"/>
        <v>-162.88627969537976</v>
      </c>
    </row>
  </sheetData>
  <mergeCells count="5">
    <mergeCell ref="I60:J60"/>
    <mergeCell ref="L37:P37"/>
    <mergeCell ref="R37:X37"/>
    <mergeCell ref="R3:X3"/>
    <mergeCell ref="A3:I3"/>
  </mergeCells>
  <conditionalFormatting sqref="M20 O20 K20 D23:J23">
    <cfRule type="cellIs" dxfId="20" priority="46" operator="between">
      <formula>-0.0000001</formula>
      <formula>-0.5</formula>
    </cfRule>
    <cfRule type="cellIs" dxfId="19" priority="47" operator="lessThan">
      <formula>-0.5000001</formula>
    </cfRule>
    <cfRule type="cellIs" dxfId="18" priority="48" operator="greaterThan">
      <formula>0</formula>
    </cfRule>
  </conditionalFormatting>
  <conditionalFormatting sqref="D24 F24:J24">
    <cfRule type="cellIs" dxfId="17" priority="40" operator="between">
      <formula>-0.0000001</formula>
      <formula>-0.5</formula>
    </cfRule>
    <cfRule type="cellIs" dxfId="16" priority="41" operator="lessThan">
      <formula>-0.5000001</formula>
    </cfRule>
    <cfRule type="cellIs" dxfId="15" priority="42" operator="greaterThan">
      <formula>0</formula>
    </cfRule>
  </conditionalFormatting>
  <conditionalFormatting sqref="E24">
    <cfRule type="cellIs" dxfId="14" priority="34" operator="between">
      <formula>-0.00001</formula>
      <formula>-0.25</formula>
    </cfRule>
    <cfRule type="cellIs" dxfId="13" priority="35" operator="lessThan">
      <formula>-0.25000001</formula>
    </cfRule>
    <cfRule type="cellIs" dxfId="12" priority="36" operator="greaterThan">
      <formula>0</formula>
    </cfRule>
  </conditionalFormatting>
  <conditionalFormatting sqref="C23">
    <cfRule type="cellIs" dxfId="11" priority="10" operator="between">
      <formula>-0.0000001</formula>
      <formula>-0.5</formula>
    </cfRule>
    <cfRule type="cellIs" dxfId="10" priority="11" operator="lessThan">
      <formula>-0.5000001</formula>
    </cfRule>
    <cfRule type="cellIs" dxfId="9" priority="12" operator="greaterThan">
      <formula>0</formula>
    </cfRule>
  </conditionalFormatting>
  <conditionalFormatting sqref="C52">
    <cfRule type="cellIs" dxfId="8" priority="1" operator="between">
      <formula>-0.0000001</formula>
      <formula>-0.5</formula>
    </cfRule>
    <cfRule type="cellIs" dxfId="7" priority="2" operator="lessThan">
      <formula>-0.5000001</formula>
    </cfRule>
    <cfRule type="cellIs" dxfId="6" priority="3" operator="greaterThan">
      <formula>0</formula>
    </cfRule>
  </conditionalFormatting>
  <conditionalFormatting sqref="D52:J52">
    <cfRule type="cellIs" dxfId="5" priority="7" operator="between">
      <formula>-0.0000001</formula>
      <formula>-0.5</formula>
    </cfRule>
    <cfRule type="cellIs" dxfId="4" priority="8" operator="lessThan">
      <formula>-0.5000001</formula>
    </cfRule>
    <cfRule type="cellIs" dxfId="3" priority="9" operator="greaterThan">
      <formula>0</formula>
    </cfRule>
  </conditionalFormatting>
  <conditionalFormatting sqref="D53:J53">
    <cfRule type="cellIs" dxfId="2" priority="4" operator="between">
      <formula>-0.0000001</formula>
      <formula>-0.5</formula>
    </cfRule>
    <cfRule type="cellIs" dxfId="1" priority="5" operator="lessThan">
      <formula>-0.5000001</formula>
    </cfRule>
    <cfRule type="cellIs" dxfId="0" priority="6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7"/>
  <dimension ref="A4:D18"/>
  <sheetViews>
    <sheetView showGridLines="0" zoomScale="90" zoomScaleNormal="90" workbookViewId="0">
      <selection activeCell="A14" sqref="A14:A17"/>
    </sheetView>
  </sheetViews>
  <sheetFormatPr defaultColWidth="9.140625" defaultRowHeight="13.5" x14ac:dyDescent="0.25"/>
  <cols>
    <col min="1" max="1" width="30.85546875" style="34" bestFit="1" customWidth="1"/>
    <col min="2" max="2" width="19.42578125" style="34" customWidth="1"/>
    <col min="3" max="3" width="16.85546875" style="34" customWidth="1"/>
    <col min="4" max="4" width="23.140625" style="34" customWidth="1"/>
    <col min="5" max="16384" width="9.140625" style="34"/>
  </cols>
  <sheetData>
    <row r="4" spans="1:4" ht="14.25" thickBot="1" x14ac:dyDescent="0.3">
      <c r="A4" s="986" t="s">
        <v>1474</v>
      </c>
      <c r="B4" s="986"/>
      <c r="C4" s="986"/>
      <c r="D4" s="986"/>
    </row>
    <row r="5" spans="1:4" ht="14.25" thickBot="1" x14ac:dyDescent="0.3">
      <c r="A5" s="88"/>
      <c r="B5" s="28">
        <v>2019</v>
      </c>
      <c r="C5" s="28">
        <v>2020</v>
      </c>
      <c r="D5" s="28">
        <v>2021</v>
      </c>
    </row>
    <row r="6" spans="1:4" x14ac:dyDescent="0.25">
      <c r="A6" s="3" t="s">
        <v>199</v>
      </c>
      <c r="B6" s="192">
        <f>ESA2010_source!P89*100</f>
        <v>-0.31517668539133092</v>
      </c>
      <c r="C6" s="192">
        <f>ESA2010_source!Q89*100</f>
        <v>0</v>
      </c>
      <c r="D6" s="192">
        <f>ESA2010_source!R89*100</f>
        <v>0</v>
      </c>
    </row>
    <row r="7" spans="1:4" ht="14.25" thickBot="1" x14ac:dyDescent="0.3">
      <c r="A7" s="88" t="s">
        <v>530</v>
      </c>
      <c r="B7" s="193">
        <f>'Tab 18 '!C26</f>
        <v>0.64281578996976663</v>
      </c>
      <c r="C7" s="193">
        <f>'Tab 18 '!D26</f>
        <v>0.8778665497392879</v>
      </c>
      <c r="D7" s="193">
        <f>'Tab 18 '!E26</f>
        <v>1.0734738938526576</v>
      </c>
    </row>
    <row r="8" spans="1:4" x14ac:dyDescent="0.25">
      <c r="A8" s="3" t="s">
        <v>533</v>
      </c>
      <c r="B8" s="192">
        <f>B6-B7</f>
        <v>-0.95799247536109755</v>
      </c>
      <c r="C8" s="192">
        <f>C6-C7</f>
        <v>-0.8778665497392879</v>
      </c>
      <c r="D8" s="192">
        <f t="shared" ref="D8" si="0">D6-D7</f>
        <v>-1.0734738938526576</v>
      </c>
    </row>
    <row r="9" spans="1:4" ht="14.25" thickBot="1" x14ac:dyDescent="0.3">
      <c r="A9" s="767" t="s">
        <v>68</v>
      </c>
      <c r="B9" s="39">
        <v>-0.96</v>
      </c>
      <c r="C9" s="39">
        <f>C8-B8</f>
        <v>8.0125925621809646E-2</v>
      </c>
      <c r="D9" s="39">
        <v>-0.19</v>
      </c>
    </row>
    <row r="10" spans="1:4" x14ac:dyDescent="0.25">
      <c r="A10" s="987" t="s">
        <v>19</v>
      </c>
      <c r="B10" s="987"/>
      <c r="C10" s="987"/>
      <c r="D10" s="987"/>
    </row>
    <row r="12" spans="1:4" ht="14.25" thickBot="1" x14ac:dyDescent="0.3">
      <c r="A12" s="986" t="s">
        <v>1475</v>
      </c>
      <c r="B12" s="986"/>
      <c r="C12" s="986"/>
      <c r="D12" s="986"/>
    </row>
    <row r="13" spans="1:4" ht="14.25" thickBot="1" x14ac:dyDescent="0.3">
      <c r="A13" s="88"/>
      <c r="B13" s="28">
        <f t="shared" ref="B13:D13" si="1">B5</f>
        <v>2019</v>
      </c>
      <c r="C13" s="28">
        <f t="shared" si="1"/>
        <v>2020</v>
      </c>
      <c r="D13" s="28">
        <f t="shared" si="1"/>
        <v>2021</v>
      </c>
    </row>
    <row r="14" spans="1:4" x14ac:dyDescent="0.25">
      <c r="A14" s="3" t="s">
        <v>432</v>
      </c>
      <c r="B14" s="192">
        <f t="shared" ref="B14:D16" si="2">B6</f>
        <v>-0.31517668539133092</v>
      </c>
      <c r="C14" s="192">
        <f t="shared" si="2"/>
        <v>0</v>
      </c>
      <c r="D14" s="192">
        <f t="shared" si="2"/>
        <v>0</v>
      </c>
    </row>
    <row r="15" spans="1:4" ht="14.25" thickBot="1" x14ac:dyDescent="0.3">
      <c r="A15" s="88" t="s">
        <v>531</v>
      </c>
      <c r="B15" s="193">
        <f t="shared" si="2"/>
        <v>0.64281578996976663</v>
      </c>
      <c r="C15" s="193">
        <f t="shared" si="2"/>
        <v>0.8778665497392879</v>
      </c>
      <c r="D15" s="193">
        <f t="shared" si="2"/>
        <v>1.0734738938526576</v>
      </c>
    </row>
    <row r="16" spans="1:4" x14ac:dyDescent="0.25">
      <c r="A16" s="3" t="s">
        <v>532</v>
      </c>
      <c r="B16" s="192">
        <f t="shared" si="2"/>
        <v>-0.95799247536109755</v>
      </c>
      <c r="C16" s="192">
        <f t="shared" si="2"/>
        <v>-0.8778665497392879</v>
      </c>
      <c r="D16" s="192">
        <f t="shared" si="2"/>
        <v>-1.0734738938526576</v>
      </c>
    </row>
    <row r="17" spans="1:4" ht="14.25" thickBot="1" x14ac:dyDescent="0.3">
      <c r="A17" s="2" t="s">
        <v>359</v>
      </c>
      <c r="B17" s="53">
        <f t="shared" ref="B17:D17" si="3">B9</f>
        <v>-0.96</v>
      </c>
      <c r="C17" s="53">
        <f t="shared" si="3"/>
        <v>8.0125925621809646E-2</v>
      </c>
      <c r="D17" s="53">
        <f t="shared" si="3"/>
        <v>-0.19</v>
      </c>
    </row>
    <row r="18" spans="1:4" x14ac:dyDescent="0.25">
      <c r="A18" s="987" t="s">
        <v>235</v>
      </c>
      <c r="B18" s="987"/>
      <c r="C18" s="987"/>
      <c r="D18" s="987"/>
    </row>
  </sheetData>
  <mergeCells count="4">
    <mergeCell ref="A4:D4"/>
    <mergeCell ref="A10:D10"/>
    <mergeCell ref="A12:D12"/>
    <mergeCell ref="A18:D1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3:R40"/>
  <sheetViews>
    <sheetView showGridLines="0" zoomScale="90" zoomScaleNormal="90" workbookViewId="0">
      <selection activeCell="A23" sqref="A23:J23"/>
    </sheetView>
  </sheetViews>
  <sheetFormatPr defaultColWidth="9.140625" defaultRowHeight="13.5" x14ac:dyDescent="0.25"/>
  <cols>
    <col min="1" max="2" width="9.140625" style="34"/>
    <col min="3" max="3" width="12.5703125" style="34" bestFit="1" customWidth="1"/>
    <col min="4" max="5" width="9.140625" style="34"/>
    <col min="6" max="6" width="12.5703125" style="34" bestFit="1" customWidth="1"/>
    <col min="7" max="16384" width="9.140625" style="34"/>
  </cols>
  <sheetData>
    <row r="3" spans="1:18" ht="14.25" thickBot="1" x14ac:dyDescent="0.3">
      <c r="A3" s="920" t="s">
        <v>407</v>
      </c>
      <c r="B3" s="920"/>
      <c r="C3" s="920"/>
      <c r="D3" s="920"/>
      <c r="E3" s="920"/>
      <c r="F3" s="920"/>
      <c r="G3" s="920"/>
      <c r="H3" s="920"/>
      <c r="I3" s="920"/>
      <c r="J3" s="920"/>
    </row>
    <row r="4" spans="1:18" x14ac:dyDescent="0.25">
      <c r="A4" s="8"/>
      <c r="B4" s="9"/>
      <c r="C4" s="936" t="s">
        <v>3</v>
      </c>
      <c r="D4" s="936"/>
      <c r="E4" s="936"/>
      <c r="F4" s="937"/>
      <c r="G4" s="938" t="s">
        <v>4</v>
      </c>
      <c r="H4" s="939"/>
      <c r="I4" s="939"/>
      <c r="J4" s="939"/>
    </row>
    <row r="5" spans="1:18" ht="14.25" thickBot="1" x14ac:dyDescent="0.3">
      <c r="A5" s="798"/>
      <c r="B5" s="799"/>
      <c r="C5" s="798">
        <v>2017</v>
      </c>
      <c r="D5" s="940">
        <v>2018</v>
      </c>
      <c r="E5" s="940"/>
      <c r="F5" s="10">
        <v>2019</v>
      </c>
      <c r="G5" s="799">
        <v>2017</v>
      </c>
      <c r="H5" s="941">
        <v>2018</v>
      </c>
      <c r="I5" s="941"/>
      <c r="J5" s="799">
        <v>2019</v>
      </c>
    </row>
    <row r="6" spans="1:18" x14ac:dyDescent="0.25">
      <c r="A6" s="547" t="s">
        <v>5</v>
      </c>
      <c r="B6" s="548"/>
      <c r="C6" s="794"/>
      <c r="D6" s="934"/>
      <c r="E6" s="934"/>
      <c r="F6" s="549"/>
      <c r="G6" s="795"/>
      <c r="H6" s="935"/>
      <c r="I6" s="935"/>
      <c r="J6" s="795"/>
    </row>
    <row r="7" spans="1:18" x14ac:dyDescent="0.25">
      <c r="A7" s="17" t="s">
        <v>6</v>
      </c>
      <c r="B7" s="548"/>
      <c r="C7" s="794" t="s">
        <v>1421</v>
      </c>
      <c r="D7" s="923" t="s">
        <v>1421</v>
      </c>
      <c r="E7" s="923"/>
      <c r="F7" s="549" t="s">
        <v>1421</v>
      </c>
      <c r="G7" s="795">
        <v>2.4</v>
      </c>
      <c r="H7" s="922">
        <v>2.2999999999999998</v>
      </c>
      <c r="I7" s="922"/>
      <c r="J7" s="795">
        <v>2</v>
      </c>
    </row>
    <row r="8" spans="1:18" x14ac:dyDescent="0.25">
      <c r="A8" s="17" t="s">
        <v>7</v>
      </c>
      <c r="B8" s="548"/>
      <c r="C8" s="797">
        <v>2.4</v>
      </c>
      <c r="D8" s="924">
        <v>2.1</v>
      </c>
      <c r="E8" s="924"/>
      <c r="F8" s="550">
        <v>1.9</v>
      </c>
      <c r="G8" s="795">
        <v>2.4</v>
      </c>
      <c r="H8" s="922">
        <v>2.2999999999999998</v>
      </c>
      <c r="I8" s="922"/>
      <c r="J8" s="795">
        <v>2</v>
      </c>
    </row>
    <row r="9" spans="1:18" x14ac:dyDescent="0.25">
      <c r="A9" s="17" t="s">
        <v>8</v>
      </c>
      <c r="B9" s="548"/>
      <c r="C9" s="794">
        <v>2.5</v>
      </c>
      <c r="D9" s="923">
        <v>2.2000000000000002</v>
      </c>
      <c r="E9" s="923"/>
      <c r="F9" s="549">
        <v>1.9</v>
      </c>
      <c r="G9" s="795">
        <v>2.2000000000000002</v>
      </c>
      <c r="H9" s="922">
        <v>2.2999999999999998</v>
      </c>
      <c r="I9" s="922"/>
      <c r="J9" s="795">
        <v>2.1</v>
      </c>
    </row>
    <row r="10" spans="1:18" x14ac:dyDescent="0.25">
      <c r="A10" s="17" t="s">
        <v>9</v>
      </c>
      <c r="B10" s="548"/>
      <c r="C10" s="794">
        <v>4.4000000000000004</v>
      </c>
      <c r="D10" s="923">
        <v>3</v>
      </c>
      <c r="E10" s="923"/>
      <c r="F10" s="549">
        <v>2.7</v>
      </c>
      <c r="G10" s="795">
        <v>4.5</v>
      </c>
      <c r="H10" s="922">
        <v>3.2</v>
      </c>
      <c r="I10" s="922"/>
      <c r="J10" s="795">
        <v>2.9</v>
      </c>
    </row>
    <row r="11" spans="1:18" x14ac:dyDescent="0.25">
      <c r="A11" s="17" t="s">
        <v>10</v>
      </c>
      <c r="B11" s="548"/>
      <c r="C11" s="794">
        <v>4.4000000000000004</v>
      </c>
      <c r="D11" s="923">
        <v>3.5</v>
      </c>
      <c r="E11" s="923"/>
      <c r="F11" s="549">
        <v>3.2</v>
      </c>
      <c r="G11" s="795">
        <v>4.5999999999999996</v>
      </c>
      <c r="H11" s="922">
        <v>4.2</v>
      </c>
      <c r="I11" s="922"/>
      <c r="J11" s="795">
        <v>3.6</v>
      </c>
    </row>
    <row r="12" spans="1:18" x14ac:dyDescent="0.25">
      <c r="A12" s="17" t="s">
        <v>11</v>
      </c>
      <c r="B12" s="548"/>
      <c r="C12" s="794">
        <v>3.9</v>
      </c>
      <c r="D12" s="923">
        <v>3.4</v>
      </c>
      <c r="E12" s="923"/>
      <c r="F12" s="549">
        <v>2.7</v>
      </c>
      <c r="G12" s="809">
        <v>3.8</v>
      </c>
      <c r="H12" s="922">
        <v>3.7</v>
      </c>
      <c r="I12" s="922"/>
      <c r="J12" s="809">
        <v>3.1</v>
      </c>
    </row>
    <row r="13" spans="1:18" x14ac:dyDescent="0.25">
      <c r="A13" s="551" t="s">
        <v>12</v>
      </c>
      <c r="B13" s="552"/>
      <c r="C13" s="796"/>
      <c r="D13" s="921"/>
      <c r="E13" s="921"/>
      <c r="F13" s="553"/>
      <c r="G13" s="791"/>
      <c r="H13" s="922"/>
      <c r="I13" s="922"/>
      <c r="J13" s="791"/>
    </row>
    <row r="14" spans="1:18" x14ac:dyDescent="0.25">
      <c r="A14" s="520" t="s">
        <v>13</v>
      </c>
      <c r="B14" s="552"/>
      <c r="C14" s="790">
        <v>0.38700000000000001</v>
      </c>
      <c r="D14" s="930">
        <v>0.26</v>
      </c>
      <c r="E14" s="930"/>
      <c r="F14" s="554">
        <v>0.30769999999999997</v>
      </c>
      <c r="G14" s="555" t="s">
        <v>1421</v>
      </c>
      <c r="H14" s="922" t="s">
        <v>1421</v>
      </c>
      <c r="I14" s="922"/>
      <c r="J14" s="791" t="s">
        <v>1421</v>
      </c>
    </row>
    <row r="15" spans="1:18" x14ac:dyDescent="0.25">
      <c r="A15" s="551" t="s">
        <v>15</v>
      </c>
      <c r="B15" s="556"/>
      <c r="C15" s="790">
        <v>0</v>
      </c>
      <c r="D15" s="930">
        <v>0.01</v>
      </c>
      <c r="E15" s="930"/>
      <c r="F15" s="554">
        <v>0.15</v>
      </c>
      <c r="G15" s="868" t="s">
        <v>14</v>
      </c>
      <c r="H15" s="922" t="s">
        <v>14</v>
      </c>
      <c r="I15" s="922"/>
      <c r="J15" s="791" t="s">
        <v>14</v>
      </c>
    </row>
    <row r="16" spans="1:18" x14ac:dyDescent="0.25">
      <c r="A16" s="520" t="s">
        <v>16</v>
      </c>
      <c r="B16" s="552"/>
      <c r="C16" s="790">
        <v>1.1299999999999999</v>
      </c>
      <c r="D16" s="930">
        <v>1.2</v>
      </c>
      <c r="E16" s="930"/>
      <c r="F16" s="554">
        <v>1.24</v>
      </c>
      <c r="G16" s="868" t="s">
        <v>14</v>
      </c>
      <c r="H16" s="922">
        <v>1.23</v>
      </c>
      <c r="I16" s="922"/>
      <c r="J16" s="792">
        <v>1.23</v>
      </c>
      <c r="M16" s="300"/>
      <c r="N16" s="300"/>
      <c r="O16" s="326"/>
      <c r="P16" s="326"/>
      <c r="Q16" s="300"/>
      <c r="R16" s="300"/>
    </row>
    <row r="17" spans="1:18" x14ac:dyDescent="0.25">
      <c r="A17" s="520" t="s">
        <v>17</v>
      </c>
      <c r="B17" s="552"/>
      <c r="C17" s="793">
        <v>54.83</v>
      </c>
      <c r="D17" s="933">
        <v>66.540000000000006</v>
      </c>
      <c r="E17" s="933"/>
      <c r="F17" s="558">
        <v>62.89</v>
      </c>
      <c r="G17" s="868">
        <v>54.8</v>
      </c>
      <c r="H17" s="922">
        <v>68.3</v>
      </c>
      <c r="I17" s="922"/>
      <c r="J17" s="791">
        <v>64.2</v>
      </c>
      <c r="M17" s="300"/>
      <c r="N17" s="300"/>
      <c r="O17" s="326"/>
      <c r="P17" s="326"/>
      <c r="Q17" s="300"/>
      <c r="R17" s="300"/>
    </row>
    <row r="18" spans="1:18" ht="15.75" customHeight="1" thickBot="1" x14ac:dyDescent="0.3">
      <c r="A18" s="507" t="s">
        <v>255</v>
      </c>
      <c r="B18" s="434"/>
      <c r="C18" s="793">
        <f>C17/C16</f>
        <v>48.522123893805315</v>
      </c>
      <c r="D18" s="933">
        <v>55.45</v>
      </c>
      <c r="E18" s="933"/>
      <c r="F18" s="558">
        <f>F17/F16</f>
        <v>50.717741935483872</v>
      </c>
      <c r="G18" s="869" t="s">
        <v>14</v>
      </c>
      <c r="H18" s="942">
        <v>55.6</v>
      </c>
      <c r="I18" s="942"/>
      <c r="J18" s="788">
        <v>52.2</v>
      </c>
      <c r="M18" s="300"/>
      <c r="N18" s="300"/>
      <c r="O18" s="326"/>
      <c r="P18" s="326"/>
      <c r="Q18" s="300"/>
      <c r="R18" s="300"/>
    </row>
    <row r="19" spans="1:18" s="105" customFormat="1" ht="26.25" customHeight="1" thickBot="1" x14ac:dyDescent="0.3">
      <c r="A19" s="929" t="s">
        <v>18</v>
      </c>
      <c r="B19" s="929"/>
      <c r="C19" s="789">
        <v>3.4</v>
      </c>
      <c r="D19" s="925">
        <v>4.2</v>
      </c>
      <c r="E19" s="925"/>
      <c r="F19" s="560">
        <v>4.5</v>
      </c>
      <c r="G19" s="561">
        <v>3.4</v>
      </c>
      <c r="H19" s="925">
        <v>4</v>
      </c>
      <c r="I19" s="925"/>
      <c r="J19" s="789">
        <v>4.2</v>
      </c>
      <c r="M19" s="309"/>
      <c r="N19" s="309"/>
      <c r="O19" s="326"/>
      <c r="P19" s="326"/>
      <c r="Q19" s="309"/>
      <c r="R19" s="309"/>
    </row>
    <row r="20" spans="1:18" x14ac:dyDescent="0.25">
      <c r="A20" s="562"/>
      <c r="B20" s="928" t="s">
        <v>1422</v>
      </c>
      <c r="C20" s="928"/>
      <c r="D20" s="928"/>
      <c r="E20" s="928"/>
      <c r="F20" s="928"/>
      <c r="G20" s="928"/>
      <c r="H20" s="928"/>
      <c r="I20" s="928"/>
      <c r="J20" s="928"/>
      <c r="M20" s="300"/>
      <c r="N20" s="300"/>
      <c r="O20" s="300"/>
      <c r="P20" s="300"/>
      <c r="Q20" s="300"/>
      <c r="R20" s="300"/>
    </row>
    <row r="21" spans="1:18" x14ac:dyDescent="0.25">
      <c r="M21" s="300"/>
      <c r="N21" s="300"/>
      <c r="O21" s="300"/>
      <c r="P21" s="300"/>
      <c r="Q21" s="300"/>
      <c r="R21" s="300"/>
    </row>
    <row r="22" spans="1:18" x14ac:dyDescent="0.25">
      <c r="M22" s="300"/>
      <c r="N22" s="300"/>
      <c r="O22" s="300"/>
      <c r="P22" s="300"/>
      <c r="Q22" s="300"/>
      <c r="R22" s="300"/>
    </row>
    <row r="23" spans="1:18" ht="14.25" thickBot="1" x14ac:dyDescent="0.3">
      <c r="A23" s="920" t="s">
        <v>408</v>
      </c>
      <c r="B23" s="920"/>
      <c r="C23" s="920"/>
      <c r="D23" s="920"/>
      <c r="E23" s="920"/>
      <c r="F23" s="920"/>
      <c r="G23" s="920"/>
      <c r="H23" s="920"/>
      <c r="I23" s="920"/>
      <c r="J23" s="920"/>
      <c r="M23" s="300"/>
      <c r="N23" s="300"/>
      <c r="O23" s="300"/>
      <c r="P23" s="300"/>
      <c r="Q23" s="300"/>
      <c r="R23" s="300"/>
    </row>
    <row r="24" spans="1:18" x14ac:dyDescent="0.25">
      <c r="A24" s="8"/>
      <c r="B24" s="9"/>
      <c r="C24" s="936" t="s">
        <v>430</v>
      </c>
      <c r="D24" s="936"/>
      <c r="E24" s="936"/>
      <c r="F24" s="937"/>
      <c r="G24" s="938" t="s">
        <v>4</v>
      </c>
      <c r="H24" s="939"/>
      <c r="I24" s="939"/>
      <c r="J24" s="939"/>
      <c r="M24" s="300"/>
      <c r="N24" s="300"/>
      <c r="O24" s="300"/>
      <c r="P24" s="300"/>
      <c r="Q24" s="300"/>
      <c r="R24" s="300"/>
    </row>
    <row r="25" spans="1:18" ht="14.25" thickBot="1" x14ac:dyDescent="0.3">
      <c r="A25" s="798"/>
      <c r="B25" s="799"/>
      <c r="C25" s="798">
        <v>2017</v>
      </c>
      <c r="D25" s="940">
        <v>2018</v>
      </c>
      <c r="E25" s="940"/>
      <c r="F25" s="10">
        <v>2019</v>
      </c>
      <c r="G25" s="799">
        <v>2017</v>
      </c>
      <c r="H25" s="941">
        <v>2018</v>
      </c>
      <c r="I25" s="941"/>
      <c r="J25" s="799">
        <v>2019</v>
      </c>
      <c r="M25" s="300"/>
      <c r="N25" s="300"/>
      <c r="O25" s="300"/>
      <c r="P25" s="300"/>
      <c r="Q25" s="300"/>
      <c r="R25" s="300"/>
    </row>
    <row r="26" spans="1:18" x14ac:dyDescent="0.25">
      <c r="A26" s="547" t="s">
        <v>242</v>
      </c>
      <c r="B26" s="548"/>
      <c r="C26" s="794"/>
      <c r="D26" s="934"/>
      <c r="E26" s="934"/>
      <c r="F26" s="549"/>
      <c r="G26" s="795"/>
      <c r="H26" s="935"/>
      <c r="I26" s="935"/>
      <c r="J26" s="795"/>
      <c r="M26" s="300"/>
      <c r="N26" s="300"/>
      <c r="O26" s="300"/>
      <c r="P26" s="300"/>
      <c r="Q26" s="300"/>
      <c r="R26" s="300"/>
    </row>
    <row r="27" spans="1:18" x14ac:dyDescent="0.25">
      <c r="A27" s="17" t="s">
        <v>243</v>
      </c>
      <c r="B27" s="548"/>
      <c r="C27" s="794" t="str">
        <f t="shared" ref="C27:D38" si="0">C7</f>
        <v xml:space="preserve"> -</v>
      </c>
      <c r="D27" s="923" t="str">
        <f t="shared" si="0"/>
        <v xml:space="preserve"> -</v>
      </c>
      <c r="E27" s="923"/>
      <c r="F27" s="549" t="str">
        <f t="shared" ref="F27:H38" si="1">F7</f>
        <v xml:space="preserve"> -</v>
      </c>
      <c r="G27" s="795">
        <f t="shared" si="1"/>
        <v>2.4</v>
      </c>
      <c r="H27" s="922">
        <f t="shared" si="1"/>
        <v>2.2999999999999998</v>
      </c>
      <c r="I27" s="922"/>
      <c r="J27" s="795">
        <f t="shared" ref="J27:J39" si="2">J7</f>
        <v>2</v>
      </c>
    </row>
    <row r="28" spans="1:18" x14ac:dyDescent="0.25">
      <c r="A28" s="17" t="s">
        <v>244</v>
      </c>
      <c r="B28" s="548"/>
      <c r="C28" s="797">
        <f t="shared" si="0"/>
        <v>2.4</v>
      </c>
      <c r="D28" s="924">
        <f t="shared" si="0"/>
        <v>2.1</v>
      </c>
      <c r="E28" s="924"/>
      <c r="F28" s="550">
        <f t="shared" si="1"/>
        <v>1.9</v>
      </c>
      <c r="G28" s="795">
        <f t="shared" si="1"/>
        <v>2.4</v>
      </c>
      <c r="H28" s="922">
        <f t="shared" si="1"/>
        <v>2.2999999999999998</v>
      </c>
      <c r="I28" s="922"/>
      <c r="J28" s="795">
        <f t="shared" si="2"/>
        <v>2</v>
      </c>
    </row>
    <row r="29" spans="1:18" x14ac:dyDescent="0.25">
      <c r="A29" s="17" t="s">
        <v>245</v>
      </c>
      <c r="B29" s="548"/>
      <c r="C29" s="794">
        <f t="shared" si="0"/>
        <v>2.5</v>
      </c>
      <c r="D29" s="923">
        <f t="shared" si="0"/>
        <v>2.2000000000000002</v>
      </c>
      <c r="E29" s="923"/>
      <c r="F29" s="549">
        <f t="shared" si="1"/>
        <v>1.9</v>
      </c>
      <c r="G29" s="795">
        <f t="shared" si="1"/>
        <v>2.2000000000000002</v>
      </c>
      <c r="H29" s="922">
        <f t="shared" si="1"/>
        <v>2.2999999999999998</v>
      </c>
      <c r="I29" s="922"/>
      <c r="J29" s="795">
        <f t="shared" si="2"/>
        <v>2.1</v>
      </c>
    </row>
    <row r="30" spans="1:18" x14ac:dyDescent="0.25">
      <c r="A30" s="17" t="s">
        <v>246</v>
      </c>
      <c r="B30" s="548"/>
      <c r="C30" s="794">
        <f t="shared" si="0"/>
        <v>4.4000000000000004</v>
      </c>
      <c r="D30" s="923">
        <f t="shared" si="0"/>
        <v>3</v>
      </c>
      <c r="E30" s="923"/>
      <c r="F30" s="549">
        <f t="shared" si="1"/>
        <v>2.7</v>
      </c>
      <c r="G30" s="795">
        <f t="shared" si="1"/>
        <v>4.5</v>
      </c>
      <c r="H30" s="922">
        <f t="shared" si="1"/>
        <v>3.2</v>
      </c>
      <c r="I30" s="922"/>
      <c r="J30" s="795">
        <f t="shared" si="2"/>
        <v>2.9</v>
      </c>
    </row>
    <row r="31" spans="1:18" x14ac:dyDescent="0.25">
      <c r="A31" s="17" t="s">
        <v>247</v>
      </c>
      <c r="B31" s="548"/>
      <c r="C31" s="794">
        <f t="shared" si="0"/>
        <v>4.4000000000000004</v>
      </c>
      <c r="D31" s="923">
        <f t="shared" si="0"/>
        <v>3.5</v>
      </c>
      <c r="E31" s="923"/>
      <c r="F31" s="549">
        <f t="shared" si="1"/>
        <v>3.2</v>
      </c>
      <c r="G31" s="795">
        <f t="shared" si="1"/>
        <v>4.5999999999999996</v>
      </c>
      <c r="H31" s="922">
        <f t="shared" si="1"/>
        <v>4.2</v>
      </c>
      <c r="I31" s="922"/>
      <c r="J31" s="795">
        <f t="shared" si="2"/>
        <v>3.6</v>
      </c>
    </row>
    <row r="32" spans="1:18" x14ac:dyDescent="0.25">
      <c r="A32" s="17" t="s">
        <v>248</v>
      </c>
      <c r="B32" s="548"/>
      <c r="C32" s="794">
        <f t="shared" si="0"/>
        <v>3.9</v>
      </c>
      <c r="D32" s="923">
        <f t="shared" si="0"/>
        <v>3.4</v>
      </c>
      <c r="E32" s="923"/>
      <c r="F32" s="549">
        <f t="shared" si="1"/>
        <v>2.7</v>
      </c>
      <c r="G32" s="795">
        <f t="shared" si="1"/>
        <v>3.8</v>
      </c>
      <c r="H32" s="922">
        <f t="shared" si="1"/>
        <v>3.7</v>
      </c>
      <c r="I32" s="922"/>
      <c r="J32" s="795">
        <f t="shared" si="2"/>
        <v>3.1</v>
      </c>
    </row>
    <row r="33" spans="1:10" x14ac:dyDescent="0.25">
      <c r="A33" s="551" t="s">
        <v>249</v>
      </c>
      <c r="B33" s="552"/>
      <c r="C33" s="796"/>
      <c r="D33" s="921"/>
      <c r="E33" s="921"/>
      <c r="F33" s="553"/>
      <c r="G33" s="791"/>
      <c r="H33" s="931"/>
      <c r="I33" s="931"/>
      <c r="J33" s="791"/>
    </row>
    <row r="34" spans="1:10" x14ac:dyDescent="0.25">
      <c r="A34" s="520" t="s">
        <v>250</v>
      </c>
      <c r="B34" s="552"/>
      <c r="C34" s="790">
        <f t="shared" si="0"/>
        <v>0.38700000000000001</v>
      </c>
      <c r="D34" s="930">
        <f t="shared" si="0"/>
        <v>0.26</v>
      </c>
      <c r="E34" s="930"/>
      <c r="F34" s="554">
        <f t="shared" si="1"/>
        <v>0.30769999999999997</v>
      </c>
      <c r="G34" s="555" t="str">
        <f t="shared" ref="G34:H39" si="3">G14</f>
        <v xml:space="preserve"> -</v>
      </c>
      <c r="H34" s="931" t="str">
        <f t="shared" si="3"/>
        <v xml:space="preserve"> -</v>
      </c>
      <c r="I34" s="931"/>
      <c r="J34" s="791" t="str">
        <f t="shared" si="2"/>
        <v xml:space="preserve"> -</v>
      </c>
    </row>
    <row r="35" spans="1:10" x14ac:dyDescent="0.25">
      <c r="A35" s="551" t="s">
        <v>251</v>
      </c>
      <c r="B35" s="556"/>
      <c r="C35" s="790">
        <f t="shared" si="0"/>
        <v>0</v>
      </c>
      <c r="D35" s="930">
        <f t="shared" si="0"/>
        <v>0.01</v>
      </c>
      <c r="E35" s="930"/>
      <c r="F35" s="554">
        <f t="shared" si="1"/>
        <v>0.15</v>
      </c>
      <c r="G35" s="555" t="str">
        <f t="shared" si="3"/>
        <v>-</v>
      </c>
      <c r="H35" s="931" t="str">
        <f t="shared" si="3"/>
        <v>-</v>
      </c>
      <c r="I35" s="931"/>
      <c r="J35" s="791" t="str">
        <f t="shared" si="2"/>
        <v>-</v>
      </c>
    </row>
    <row r="36" spans="1:10" x14ac:dyDescent="0.25">
      <c r="A36" s="520" t="s">
        <v>252</v>
      </c>
      <c r="B36" s="552"/>
      <c r="C36" s="790">
        <f t="shared" si="0"/>
        <v>1.1299999999999999</v>
      </c>
      <c r="D36" s="930">
        <f t="shared" si="0"/>
        <v>1.2</v>
      </c>
      <c r="E36" s="930"/>
      <c r="F36" s="554">
        <f t="shared" si="1"/>
        <v>1.24</v>
      </c>
      <c r="G36" s="557" t="str">
        <f t="shared" si="3"/>
        <v>-</v>
      </c>
      <c r="H36" s="932">
        <f t="shared" si="3"/>
        <v>1.23</v>
      </c>
      <c r="I36" s="932"/>
      <c r="J36" s="792">
        <f t="shared" si="2"/>
        <v>1.23</v>
      </c>
    </row>
    <row r="37" spans="1:10" x14ac:dyDescent="0.25">
      <c r="A37" s="520" t="s">
        <v>253</v>
      </c>
      <c r="B37" s="552"/>
      <c r="C37" s="793">
        <f t="shared" si="0"/>
        <v>54.83</v>
      </c>
      <c r="D37" s="933">
        <f t="shared" si="0"/>
        <v>66.540000000000006</v>
      </c>
      <c r="E37" s="933"/>
      <c r="F37" s="558">
        <f t="shared" si="1"/>
        <v>62.89</v>
      </c>
      <c r="G37" s="555">
        <f t="shared" si="3"/>
        <v>54.8</v>
      </c>
      <c r="H37" s="931">
        <f t="shared" si="3"/>
        <v>68.3</v>
      </c>
      <c r="I37" s="931"/>
      <c r="J37" s="791">
        <f t="shared" si="2"/>
        <v>64.2</v>
      </c>
    </row>
    <row r="38" spans="1:10" ht="14.25" thickBot="1" x14ac:dyDescent="0.3">
      <c r="A38" s="507" t="s">
        <v>254</v>
      </c>
      <c r="B38" s="434"/>
      <c r="C38" s="793">
        <f t="shared" si="0"/>
        <v>48.522123893805315</v>
      </c>
      <c r="D38" s="926">
        <f t="shared" si="0"/>
        <v>55.45</v>
      </c>
      <c r="E38" s="926"/>
      <c r="F38" s="558">
        <f t="shared" si="1"/>
        <v>50.717741935483872</v>
      </c>
      <c r="G38" s="559" t="str">
        <f t="shared" si="3"/>
        <v>-</v>
      </c>
      <c r="H38" s="927">
        <f t="shared" si="3"/>
        <v>55.6</v>
      </c>
      <c r="I38" s="927"/>
      <c r="J38" s="788">
        <f t="shared" si="2"/>
        <v>52.2</v>
      </c>
    </row>
    <row r="39" spans="1:10" s="105" customFormat="1" ht="21.75" customHeight="1" thickBot="1" x14ac:dyDescent="0.3">
      <c r="A39" s="929" t="s">
        <v>256</v>
      </c>
      <c r="B39" s="929"/>
      <c r="C39" s="789">
        <v>3.3</v>
      </c>
      <c r="D39" s="925">
        <v>3.3</v>
      </c>
      <c r="E39" s="925"/>
      <c r="F39" s="560">
        <v>4</v>
      </c>
      <c r="G39" s="561">
        <f t="shared" si="3"/>
        <v>3.4</v>
      </c>
      <c r="H39" s="925">
        <f t="shared" si="3"/>
        <v>4</v>
      </c>
      <c r="I39" s="925"/>
      <c r="J39" s="789">
        <f t="shared" si="2"/>
        <v>4.2</v>
      </c>
    </row>
    <row r="40" spans="1:10" x14ac:dyDescent="0.25">
      <c r="A40" s="562"/>
      <c r="B40" s="928" t="s">
        <v>1423</v>
      </c>
      <c r="C40" s="928"/>
      <c r="D40" s="928"/>
      <c r="E40" s="928"/>
      <c r="F40" s="928"/>
      <c r="G40" s="928"/>
      <c r="H40" s="928"/>
      <c r="I40" s="928"/>
      <c r="J40" s="928"/>
    </row>
  </sheetData>
  <mergeCells count="70">
    <mergeCell ref="D14:E14"/>
    <mergeCell ref="H14:I14"/>
    <mergeCell ref="D15:E15"/>
    <mergeCell ref="H15:I15"/>
    <mergeCell ref="B20:J20"/>
    <mergeCell ref="D16:E16"/>
    <mergeCell ref="H16:I16"/>
    <mergeCell ref="D17:E17"/>
    <mergeCell ref="H17:I17"/>
    <mergeCell ref="D18:E18"/>
    <mergeCell ref="H18:I18"/>
    <mergeCell ref="A19:B19"/>
    <mergeCell ref="D19:E19"/>
    <mergeCell ref="H19:I19"/>
    <mergeCell ref="D6:E6"/>
    <mergeCell ref="H6:I6"/>
    <mergeCell ref="A3:J3"/>
    <mergeCell ref="C4:F4"/>
    <mergeCell ref="G4:J4"/>
    <mergeCell ref="D5:E5"/>
    <mergeCell ref="H5:I5"/>
    <mergeCell ref="A23:J23"/>
    <mergeCell ref="C24:F24"/>
    <mergeCell ref="G24:J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9:E39"/>
    <mergeCell ref="H39:I39"/>
    <mergeCell ref="D38:E38"/>
    <mergeCell ref="H38:I38"/>
    <mergeCell ref="B40:J40"/>
    <mergeCell ref="A39:B39"/>
    <mergeCell ref="D13:E13"/>
    <mergeCell ref="H13:I13"/>
    <mergeCell ref="H7:I7"/>
    <mergeCell ref="H8:I8"/>
    <mergeCell ref="H9:I9"/>
    <mergeCell ref="H12:I12"/>
    <mergeCell ref="D7:E7"/>
    <mergeCell ref="D8:E8"/>
    <mergeCell ref="D9:E9"/>
    <mergeCell ref="D10:E10"/>
    <mergeCell ref="H10:I10"/>
    <mergeCell ref="D11:E11"/>
    <mergeCell ref="H11:I11"/>
    <mergeCell ref="D12:E12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/>
  <dimension ref="A4:I59"/>
  <sheetViews>
    <sheetView showGridLines="0" topLeftCell="A13" zoomScale="90" zoomScaleNormal="90" workbookViewId="0">
      <selection activeCell="E29" sqref="E29"/>
    </sheetView>
  </sheetViews>
  <sheetFormatPr defaultColWidth="9.140625" defaultRowHeight="13.5" x14ac:dyDescent="0.25"/>
  <cols>
    <col min="1" max="1" width="54" style="34" bestFit="1" customWidth="1"/>
    <col min="2" max="2" width="11" style="34" customWidth="1"/>
    <col min="3" max="3" width="12.140625" style="34" customWidth="1"/>
    <col min="4" max="5" width="9.140625" style="34"/>
    <col min="6" max="6" width="11.85546875" style="34" bestFit="1" customWidth="1"/>
    <col min="7" max="7" width="12.42578125" style="34" bestFit="1" customWidth="1"/>
    <col min="8" max="8" width="10.85546875" style="34" bestFit="1" customWidth="1"/>
    <col min="9" max="9" width="9.85546875" style="34" bestFit="1" customWidth="1"/>
    <col min="10" max="10" width="37.7109375" style="34" bestFit="1" customWidth="1"/>
    <col min="11" max="16384" width="9.140625" style="34"/>
  </cols>
  <sheetData>
    <row r="4" spans="1:9" ht="14.25" thickBot="1" x14ac:dyDescent="0.3">
      <c r="A4" s="919" t="s">
        <v>1242</v>
      </c>
      <c r="B4" s="919"/>
      <c r="C4" s="919"/>
      <c r="D4" s="919"/>
      <c r="E4" s="919"/>
      <c r="F4" s="919"/>
      <c r="G4" s="919"/>
      <c r="H4" s="919"/>
      <c r="I4" s="919"/>
    </row>
    <row r="5" spans="1:9" x14ac:dyDescent="0.25">
      <c r="A5" s="17"/>
      <c r="B5" s="17"/>
      <c r="C5" s="17"/>
      <c r="D5" s="988">
        <v>2019</v>
      </c>
      <c r="E5" s="988"/>
      <c r="F5" s="988">
        <v>2020</v>
      </c>
      <c r="G5" s="988"/>
      <c r="H5" s="988">
        <v>2021</v>
      </c>
      <c r="I5" s="988"/>
    </row>
    <row r="6" spans="1:9" ht="14.25" thickBot="1" x14ac:dyDescent="0.3">
      <c r="A6" s="4" t="s">
        <v>110</v>
      </c>
      <c r="B6" s="4" t="s">
        <v>525</v>
      </c>
      <c r="C6" s="4" t="s">
        <v>524</v>
      </c>
      <c r="D6" s="154" t="s">
        <v>112</v>
      </c>
      <c r="E6" s="154" t="s">
        <v>113</v>
      </c>
      <c r="F6" s="154" t="s">
        <v>112</v>
      </c>
      <c r="G6" s="154" t="s">
        <v>113</v>
      </c>
      <c r="H6" s="154" t="s">
        <v>112</v>
      </c>
      <c r="I6" s="154" t="s">
        <v>113</v>
      </c>
    </row>
    <row r="7" spans="1:9" x14ac:dyDescent="0.25">
      <c r="A7" s="723" t="s">
        <v>1194</v>
      </c>
      <c r="B7" s="724"/>
      <c r="C7" s="725"/>
      <c r="D7" s="726">
        <f t="shared" ref="D7:I7" si="0">SUM(D8:D11)</f>
        <v>-5.2067624317017689</v>
      </c>
      <c r="E7" s="725">
        <f t="shared" si="0"/>
        <v>-5.4185106149503559E-3</v>
      </c>
      <c r="F7" s="726">
        <f t="shared" si="0"/>
        <v>-21.956920537301848</v>
      </c>
      <c r="G7" s="725">
        <f t="shared" si="0"/>
        <v>-2.1524178288753838E-2</v>
      </c>
      <c r="H7" s="726">
        <f t="shared" si="0"/>
        <v>-1.046917230809882</v>
      </c>
      <c r="I7" s="725">
        <f t="shared" si="0"/>
        <v>-9.7022035840235721E-4</v>
      </c>
    </row>
    <row r="8" spans="1:9" x14ac:dyDescent="0.25">
      <c r="A8" s="727" t="s">
        <v>526</v>
      </c>
      <c r="B8" s="728" t="s">
        <v>994</v>
      </c>
      <c r="C8" s="729" t="s">
        <v>1192</v>
      </c>
      <c r="D8" s="730">
        <v>110.981013679</v>
      </c>
      <c r="E8" s="731">
        <v>0.11549438034972302</v>
      </c>
      <c r="F8" s="730">
        <v>50.946009317999994</v>
      </c>
      <c r="G8" s="731">
        <v>4.9941929962274076E-2</v>
      </c>
      <c r="H8" s="730">
        <v>50.700338244000008</v>
      </c>
      <c r="I8" s="731">
        <v>4.6986045214062952E-2</v>
      </c>
    </row>
    <row r="9" spans="1:9" x14ac:dyDescent="0.25">
      <c r="A9" s="727" t="s">
        <v>1119</v>
      </c>
      <c r="B9" s="728" t="s">
        <v>994</v>
      </c>
      <c r="C9" s="729" t="s">
        <v>585</v>
      </c>
      <c r="D9" s="732">
        <v>-47.184192110699996</v>
      </c>
      <c r="E9" s="733">
        <v>-4.9103074926758847E-2</v>
      </c>
      <c r="F9" s="732">
        <v>-47.219465511300001</v>
      </c>
      <c r="G9" s="733">
        <v>-4.6288831470616527E-2</v>
      </c>
      <c r="H9" s="732">
        <v>-100.06645059030001</v>
      </c>
      <c r="I9" s="733">
        <v>-9.2735609557852317E-2</v>
      </c>
    </row>
    <row r="10" spans="1:9" x14ac:dyDescent="0.25">
      <c r="A10" s="727" t="s">
        <v>1120</v>
      </c>
      <c r="B10" s="728" t="s">
        <v>994</v>
      </c>
      <c r="C10" s="729" t="s">
        <v>599</v>
      </c>
      <c r="D10" s="732">
        <v>-16.932831999999937</v>
      </c>
      <c r="E10" s="733">
        <v>-1.7621455009074263E-2</v>
      </c>
      <c r="F10" s="732">
        <v>34.011245267999826</v>
      </c>
      <c r="G10" s="733">
        <v>3.3340928010705567E-2</v>
      </c>
      <c r="H10" s="732">
        <v>113.97991870586388</v>
      </c>
      <c r="I10" s="733">
        <v>0.10562978077257143</v>
      </c>
    </row>
    <row r="11" spans="1:9" ht="14.25" thickBot="1" x14ac:dyDescent="0.3">
      <c r="A11" s="734" t="s">
        <v>1121</v>
      </c>
      <c r="B11" s="735" t="s">
        <v>994</v>
      </c>
      <c r="C11" s="736" t="s">
        <v>1189</v>
      </c>
      <c r="D11" s="737">
        <v>-52.070752000001839</v>
      </c>
      <c r="E11" s="738">
        <v>-5.4188361028840268E-2</v>
      </c>
      <c r="F11" s="737">
        <v>-59.694709612001667</v>
      </c>
      <c r="G11" s="738">
        <v>-5.8518204791116954E-2</v>
      </c>
      <c r="H11" s="737">
        <v>-65.660723590373763</v>
      </c>
      <c r="I11" s="738">
        <v>-6.0850436787184423E-2</v>
      </c>
    </row>
    <row r="12" spans="1:9" x14ac:dyDescent="0.25">
      <c r="A12" s="721" t="s">
        <v>1182</v>
      </c>
      <c r="B12" s="739"/>
      <c r="C12" s="740"/>
      <c r="D12" s="732"/>
      <c r="E12" s="733"/>
      <c r="F12" s="732"/>
      <c r="G12" s="733"/>
      <c r="H12" s="732"/>
      <c r="I12" s="733"/>
    </row>
    <row r="13" spans="1:9" x14ac:dyDescent="0.25">
      <c r="A13" s="722" t="s">
        <v>1193</v>
      </c>
      <c r="B13" s="739"/>
      <c r="C13" s="729" t="s">
        <v>561</v>
      </c>
      <c r="D13" s="732">
        <v>70</v>
      </c>
      <c r="E13" s="733">
        <v>7.2846754201258412E-2</v>
      </c>
      <c r="F13" s="732">
        <v>10</v>
      </c>
      <c r="G13" s="733">
        <v>9.802913050665352E-3</v>
      </c>
      <c r="H13" s="732">
        <v>10</v>
      </c>
      <c r="I13" s="733">
        <v>9.2674027119776445E-3</v>
      </c>
    </row>
    <row r="14" spans="1:9" ht="22.5" customHeight="1" x14ac:dyDescent="0.25">
      <c r="A14" s="722" t="s">
        <v>1183</v>
      </c>
      <c r="B14" s="739"/>
      <c r="C14" s="729" t="s">
        <v>561</v>
      </c>
      <c r="D14" s="732">
        <v>35.6</v>
      </c>
      <c r="E14" s="733">
        <v>3.7047777850925709E-2</v>
      </c>
      <c r="F14" s="732">
        <v>35.6</v>
      </c>
      <c r="G14" s="733">
        <v>3.4898370460368651E-2</v>
      </c>
      <c r="H14" s="732">
        <v>35.6</v>
      </c>
      <c r="I14" s="733">
        <v>3.2991953654640409E-2</v>
      </c>
    </row>
    <row r="15" spans="1:9" x14ac:dyDescent="0.25">
      <c r="A15" s="722" t="s">
        <v>1184</v>
      </c>
      <c r="B15" s="739"/>
      <c r="C15" s="740" t="s">
        <v>1190</v>
      </c>
      <c r="D15" s="732">
        <v>-81.894178431699999</v>
      </c>
      <c r="E15" s="733">
        <v>-8.5224644096114979E-2</v>
      </c>
      <c r="F15" s="732">
        <v>-81.964456193300009</v>
      </c>
      <c r="G15" s="733">
        <v>-8.0349043730798916E-2</v>
      </c>
      <c r="H15" s="732">
        <v>-135.05711234630002</v>
      </c>
      <c r="I15" s="733">
        <v>-0.12516286492299702</v>
      </c>
    </row>
    <row r="16" spans="1:9" x14ac:dyDescent="0.25">
      <c r="A16" s="722" t="s">
        <v>1191</v>
      </c>
      <c r="B16" s="739"/>
      <c r="C16" s="729" t="s">
        <v>561</v>
      </c>
      <c r="D16" s="732">
        <v>37.191000000000003</v>
      </c>
      <c r="E16" s="733">
        <v>3.8703480507128595E-2</v>
      </c>
      <c r="F16" s="732">
        <v>37.191000000000003</v>
      </c>
      <c r="G16" s="733">
        <v>3.645801392672951E-2</v>
      </c>
      <c r="H16" s="732">
        <v>37.191000000000003</v>
      </c>
      <c r="I16" s="733">
        <v>3.4466397426116055E-2</v>
      </c>
    </row>
    <row r="17" spans="1:9" x14ac:dyDescent="0.25">
      <c r="A17" s="744" t="s">
        <v>635</v>
      </c>
      <c r="B17" s="739"/>
      <c r="C17" s="740"/>
      <c r="D17" s="732">
        <v>-66.103584000001774</v>
      </c>
      <c r="E17" s="733">
        <v>-6.8791879078148113E-2</v>
      </c>
      <c r="F17" s="732">
        <v>-22.783464344001843</v>
      </c>
      <c r="G17" s="733">
        <v>-2.2334431995718437E-2</v>
      </c>
      <c r="H17" s="732">
        <v>51.219195115490123</v>
      </c>
      <c r="I17" s="733">
        <v>4.7466890771860532E-2</v>
      </c>
    </row>
    <row r="18" spans="1:9" x14ac:dyDescent="0.25">
      <c r="A18" s="161" t="s">
        <v>1201</v>
      </c>
      <c r="B18" s="745"/>
      <c r="C18" s="178"/>
      <c r="D18" s="746">
        <f>D19+D21+D23+D24+D26+D27</f>
        <v>-915.34864200000743</v>
      </c>
      <c r="E18" s="747">
        <f t="shared" ref="E18:I18" si="1">E19+E21+E23+E24+E26+E27</f>
        <v>-0.95257396474614597</v>
      </c>
      <c r="F18" s="746">
        <f>F19+F21+F23+F24+F26+F27</f>
        <v>-873.55908088199953</v>
      </c>
      <c r="G18" s="747">
        <f t="shared" si="1"/>
        <v>-0.85634237145053826</v>
      </c>
      <c r="H18" s="746">
        <f t="shared" si="1"/>
        <v>-1157.2861424356881</v>
      </c>
      <c r="I18" s="747">
        <f t="shared" si="1"/>
        <v>-1.0725036734942641</v>
      </c>
    </row>
    <row r="19" spans="1:9" x14ac:dyDescent="0.25">
      <c r="A19" s="157" t="s">
        <v>1195</v>
      </c>
      <c r="B19" s="175" t="s">
        <v>995</v>
      </c>
      <c r="C19" s="176" t="s">
        <v>521</v>
      </c>
      <c r="D19" s="167">
        <v>-70.847789999999804</v>
      </c>
      <c r="E19" s="748">
        <v>-7.3729022054747989E-2</v>
      </c>
      <c r="F19" s="167">
        <v>-9.7721548699992127</v>
      </c>
      <c r="G19" s="748">
        <v>-9.5795584508238246E-3</v>
      </c>
      <c r="H19" s="167">
        <v>172.39006592189071</v>
      </c>
      <c r="I19" s="748">
        <v>0.1597608164442535</v>
      </c>
    </row>
    <row r="20" spans="1:9" x14ac:dyDescent="0.25">
      <c r="A20" s="722" t="s">
        <v>1185</v>
      </c>
      <c r="B20" s="175"/>
      <c r="C20" s="176"/>
      <c r="D20" s="167">
        <v>-6.7786250835395254</v>
      </c>
      <c r="E20" s="748">
        <v>-7.0542976469012654E-3</v>
      </c>
      <c r="F20" s="167">
        <v>-17.784804061954432</v>
      </c>
      <c r="G20" s="748">
        <v>-1.7434288784245928E-2</v>
      </c>
      <c r="H20" s="167">
        <v>38.010732794598411</v>
      </c>
      <c r="I20" s="748">
        <v>3.5226076818491887E-2</v>
      </c>
    </row>
    <row r="21" spans="1:9" x14ac:dyDescent="0.25">
      <c r="A21" s="157" t="s">
        <v>1196</v>
      </c>
      <c r="B21" s="175" t="s">
        <v>995</v>
      </c>
      <c r="C21" s="743" t="s">
        <v>114</v>
      </c>
      <c r="D21" s="469">
        <v>-233.72160000000167</v>
      </c>
      <c r="E21" s="748">
        <v>-0.24322657066749945</v>
      </c>
      <c r="F21" s="167">
        <v>-369.21908120000171</v>
      </c>
      <c r="G21" s="748">
        <v>-0.3619422549650167</v>
      </c>
      <c r="H21" s="167">
        <v>-395.165989067601</v>
      </c>
      <c r="I21" s="748">
        <v>-0.36621623587664137</v>
      </c>
    </row>
    <row r="22" spans="1:9" x14ac:dyDescent="0.25">
      <c r="A22" s="741" t="s">
        <v>1186</v>
      </c>
      <c r="B22" s="175"/>
      <c r="C22" s="468"/>
      <c r="D22" s="469">
        <v>-49.6</v>
      </c>
      <c r="E22" s="748">
        <v>-5.1617128691177391E-2</v>
      </c>
      <c r="F22" s="167">
        <v>-113.8</v>
      </c>
      <c r="G22" s="748">
        <v>-0.11155715051657171</v>
      </c>
      <c r="H22" s="167">
        <v>-191.4</v>
      </c>
      <c r="I22" s="748">
        <v>-0.17737808790725212</v>
      </c>
    </row>
    <row r="23" spans="1:9" x14ac:dyDescent="0.25">
      <c r="A23" s="161" t="s">
        <v>1197</v>
      </c>
      <c r="B23" s="177" t="s">
        <v>995</v>
      </c>
      <c r="C23" s="177" t="s">
        <v>523</v>
      </c>
      <c r="D23" s="179">
        <v>-2.9798000000000116</v>
      </c>
      <c r="E23" s="750">
        <v>-3.1009822595558668E-3</v>
      </c>
      <c r="F23" s="179">
        <v>0.13167640000000347</v>
      </c>
      <c r="G23" s="750">
        <v>1.290812300024665E-4</v>
      </c>
      <c r="H23" s="179">
        <v>2.3933359572000086</v>
      </c>
      <c r="I23" s="750">
        <v>2.2180008140428968E-3</v>
      </c>
    </row>
    <row r="24" spans="1:9" x14ac:dyDescent="0.25">
      <c r="A24" s="157" t="s">
        <v>1198</v>
      </c>
      <c r="B24" s="175" t="s">
        <v>995</v>
      </c>
      <c r="C24" s="743" t="s">
        <v>1202</v>
      </c>
      <c r="D24" s="469">
        <v>-48.807999999999993</v>
      </c>
      <c r="E24" s="749">
        <v>-5.0792919700786004E-2</v>
      </c>
      <c r="F24" s="469">
        <v>-38.113999999999578</v>
      </c>
      <c r="G24" s="749">
        <v>-3.7362822801305512E-2</v>
      </c>
      <c r="H24" s="469">
        <v>-52.530999999999949</v>
      </c>
      <c r="I24" s="749">
        <v>-4.8682593186289716E-2</v>
      </c>
    </row>
    <row r="25" spans="1:9" x14ac:dyDescent="0.25">
      <c r="A25" s="741" t="s">
        <v>1188</v>
      </c>
      <c r="B25" s="176"/>
      <c r="C25" s="180" t="s">
        <v>908</v>
      </c>
      <c r="D25" s="168">
        <v>-48.807999999999993</v>
      </c>
      <c r="E25" s="751">
        <v>-5.0792919700786004E-2</v>
      </c>
      <c r="F25" s="168">
        <v>-38.113999999999578</v>
      </c>
      <c r="G25" s="751">
        <v>-3.7362822801305512E-2</v>
      </c>
      <c r="H25" s="168">
        <v>-52.530999999999949</v>
      </c>
      <c r="I25" s="751">
        <v>-4.8682593186289716E-2</v>
      </c>
    </row>
    <row r="26" spans="1:9" x14ac:dyDescent="0.25">
      <c r="A26" s="161" t="s">
        <v>1199</v>
      </c>
      <c r="B26" s="181" t="s">
        <v>995</v>
      </c>
      <c r="C26" s="754" t="s">
        <v>671</v>
      </c>
      <c r="D26" s="470">
        <v>-89.443160000006401</v>
      </c>
      <c r="E26" s="752">
        <v>-9.308062702148992E-2</v>
      </c>
      <c r="F26" s="470">
        <v>-54.975239319998764</v>
      </c>
      <c r="G26" s="752">
        <v>-5.3891749099346686E-2</v>
      </c>
      <c r="H26" s="470">
        <v>-280.69245982436178</v>
      </c>
      <c r="I26" s="752">
        <v>-0.26012900634079666</v>
      </c>
    </row>
    <row r="27" spans="1:9" x14ac:dyDescent="0.25">
      <c r="A27" s="157" t="s">
        <v>1200</v>
      </c>
      <c r="B27" s="175" t="s">
        <v>995</v>
      </c>
      <c r="C27" s="743" t="s">
        <v>1203</v>
      </c>
      <c r="D27" s="469">
        <v>-469.54829199999949</v>
      </c>
      <c r="E27" s="748">
        <v>-0.48864384304206676</v>
      </c>
      <c r="F27" s="167">
        <v>-401.61028189200033</v>
      </c>
      <c r="G27" s="748">
        <v>-0.39369506736404808</v>
      </c>
      <c r="H27" s="167">
        <v>-603.68009542281607</v>
      </c>
      <c r="I27" s="748">
        <v>-0.55945465534883287</v>
      </c>
    </row>
    <row r="28" spans="1:9" ht="14.25" thickBot="1" x14ac:dyDescent="0.3">
      <c r="A28" s="741" t="s">
        <v>1187</v>
      </c>
      <c r="B28" s="742" t="s">
        <v>996</v>
      </c>
      <c r="C28" s="176" t="s">
        <v>518</v>
      </c>
      <c r="D28" s="167">
        <v>96.1</v>
      </c>
      <c r="E28" s="748">
        <v>0.10000818683915619</v>
      </c>
      <c r="F28" s="167">
        <v>-408</v>
      </c>
      <c r="G28" s="748">
        <v>-0.39995885246714635</v>
      </c>
      <c r="H28" s="167">
        <v>-539.56600000000003</v>
      </c>
      <c r="I28" s="748">
        <v>-0.50003754116909305</v>
      </c>
    </row>
    <row r="29" spans="1:9" ht="14.25" thickBot="1" x14ac:dyDescent="0.3">
      <c r="A29" s="103" t="s">
        <v>197</v>
      </c>
      <c r="B29" s="182" t="s">
        <v>14</v>
      </c>
      <c r="C29" s="182" t="s">
        <v>14</v>
      </c>
      <c r="D29" s="183">
        <f t="shared" ref="D29:I29" si="2">D7+D18</f>
        <v>-920.55540443170923</v>
      </c>
      <c r="E29" s="184">
        <f t="shared" si="2"/>
        <v>-0.95799247536109633</v>
      </c>
      <c r="F29" s="183">
        <f t="shared" si="2"/>
        <v>-895.51600141930135</v>
      </c>
      <c r="G29" s="184">
        <f t="shared" si="2"/>
        <v>-0.87786654973929212</v>
      </c>
      <c r="H29" s="183">
        <f t="shared" si="2"/>
        <v>-1158.333059666498</v>
      </c>
      <c r="I29" s="184">
        <f t="shared" si="2"/>
        <v>-1.0734738938526664</v>
      </c>
    </row>
    <row r="30" spans="1:9" x14ac:dyDescent="0.25">
      <c r="H30" s="943" t="s">
        <v>19</v>
      </c>
      <c r="I30" s="943"/>
    </row>
    <row r="33" spans="1:9" ht="14.25" thickBot="1" x14ac:dyDescent="0.3">
      <c r="A33" s="919" t="s">
        <v>1243</v>
      </c>
      <c r="B33" s="919"/>
      <c r="C33" s="919"/>
      <c r="D33" s="919"/>
      <c r="E33" s="919"/>
      <c r="F33" s="919"/>
      <c r="G33" s="919"/>
      <c r="H33" s="919"/>
      <c r="I33" s="919"/>
    </row>
    <row r="34" spans="1:9" x14ac:dyDescent="0.25">
      <c r="A34" s="17"/>
      <c r="B34" s="17"/>
      <c r="C34" s="17"/>
      <c r="D34" s="988">
        <f>D5</f>
        <v>2019</v>
      </c>
      <c r="E34" s="988"/>
      <c r="F34" s="988">
        <f>F5</f>
        <v>2020</v>
      </c>
      <c r="G34" s="988"/>
      <c r="H34" s="988">
        <f>H5</f>
        <v>2021</v>
      </c>
      <c r="I34" s="988"/>
    </row>
    <row r="35" spans="1:9" ht="14.25" thickBot="1" x14ac:dyDescent="0.3">
      <c r="A35" s="4" t="s">
        <v>340</v>
      </c>
      <c r="B35" s="4" t="s">
        <v>527</v>
      </c>
      <c r="C35" s="4" t="s">
        <v>524</v>
      </c>
      <c r="D35" s="154" t="s">
        <v>112</v>
      </c>
      <c r="E35" s="154" t="s">
        <v>341</v>
      </c>
      <c r="F35" s="154" t="s">
        <v>112</v>
      </c>
      <c r="G35" s="154" t="s">
        <v>341</v>
      </c>
      <c r="H35" s="154" t="s">
        <v>112</v>
      </c>
      <c r="I35" s="154" t="s">
        <v>341</v>
      </c>
    </row>
    <row r="36" spans="1:9" x14ac:dyDescent="0.25">
      <c r="A36" s="185" t="s">
        <v>1205</v>
      </c>
      <c r="B36" s="466"/>
      <c r="C36" s="163"/>
      <c r="D36" s="164">
        <f>D7</f>
        <v>-5.2067624317017689</v>
      </c>
      <c r="E36" s="757">
        <f t="shared" ref="E36:I36" si="3">E7</f>
        <v>-5.4185106149503559E-3</v>
      </c>
      <c r="F36" s="164">
        <f t="shared" si="3"/>
        <v>-21.956920537301848</v>
      </c>
      <c r="G36" s="757">
        <f t="shared" si="3"/>
        <v>-2.1524178288753838E-2</v>
      </c>
      <c r="H36" s="164">
        <f t="shared" si="3"/>
        <v>-1.046917230809882</v>
      </c>
      <c r="I36" s="757">
        <f t="shared" si="3"/>
        <v>-9.7022035840235721E-4</v>
      </c>
    </row>
    <row r="37" spans="1:9" x14ac:dyDescent="0.25">
      <c r="A37" s="157" t="s">
        <v>342</v>
      </c>
      <c r="B37" s="165" t="str">
        <f>B8</f>
        <v>S13</v>
      </c>
      <c r="C37" s="166" t="str">
        <f>C8</f>
        <v>D.2 + D.5 + D.91</v>
      </c>
      <c r="D37" s="167">
        <f t="shared" ref="D37:D58" si="4">D8</f>
        <v>110.981013679</v>
      </c>
      <c r="E37" s="748">
        <f t="shared" ref="E37:I37" si="5">E8</f>
        <v>0.11549438034972302</v>
      </c>
      <c r="F37" s="167">
        <f t="shared" si="5"/>
        <v>50.946009317999994</v>
      </c>
      <c r="G37" s="748">
        <f t="shared" si="5"/>
        <v>4.9941929962274076E-2</v>
      </c>
      <c r="H37" s="167">
        <f t="shared" si="5"/>
        <v>50.700338244000008</v>
      </c>
      <c r="I37" s="748">
        <f t="shared" si="5"/>
        <v>4.6986045214062952E-2</v>
      </c>
    </row>
    <row r="38" spans="1:9" x14ac:dyDescent="0.25">
      <c r="A38" s="157" t="s">
        <v>1204</v>
      </c>
      <c r="B38" s="165" t="str">
        <f>B9</f>
        <v>S13</v>
      </c>
      <c r="C38" s="166" t="str">
        <f t="shared" ref="C38:C57" si="6">C9</f>
        <v>D.61</v>
      </c>
      <c r="D38" s="167">
        <f t="shared" si="4"/>
        <v>-47.184192110699996</v>
      </c>
      <c r="E38" s="748">
        <f t="shared" ref="E38:I38" si="7">E9</f>
        <v>-4.9103074926758847E-2</v>
      </c>
      <c r="F38" s="167">
        <f t="shared" si="7"/>
        <v>-47.219465511300001</v>
      </c>
      <c r="G38" s="748">
        <f t="shared" si="7"/>
        <v>-4.6288831470616527E-2</v>
      </c>
      <c r="H38" s="167">
        <f t="shared" si="7"/>
        <v>-100.06645059030001</v>
      </c>
      <c r="I38" s="748">
        <f t="shared" si="7"/>
        <v>-9.2735609557852317E-2</v>
      </c>
    </row>
    <row r="39" spans="1:9" x14ac:dyDescent="0.25">
      <c r="A39" s="157" t="s">
        <v>1206</v>
      </c>
      <c r="B39" s="165" t="str">
        <f>B10</f>
        <v>S13</v>
      </c>
      <c r="C39" s="166" t="str">
        <f t="shared" si="6"/>
        <v>P.11+P.12</v>
      </c>
      <c r="D39" s="168">
        <f t="shared" si="4"/>
        <v>-16.932831999999937</v>
      </c>
      <c r="E39" s="751">
        <f t="shared" ref="E39:I39" si="8">E10</f>
        <v>-1.7621455009074263E-2</v>
      </c>
      <c r="F39" s="168">
        <f t="shared" si="8"/>
        <v>34.011245267999826</v>
      </c>
      <c r="G39" s="751">
        <f t="shared" si="8"/>
        <v>3.3340928010705567E-2</v>
      </c>
      <c r="H39" s="168">
        <f t="shared" si="8"/>
        <v>113.97991870586388</v>
      </c>
      <c r="I39" s="751">
        <f t="shared" si="8"/>
        <v>0.10562978077257143</v>
      </c>
    </row>
    <row r="40" spans="1:9" ht="14.25" thickBot="1" x14ac:dyDescent="0.3">
      <c r="A40" s="158" t="s">
        <v>1207</v>
      </c>
      <c r="B40" s="170" t="str">
        <f>B11</f>
        <v>S13</v>
      </c>
      <c r="C40" s="171" t="str">
        <f t="shared" si="6"/>
        <v>D.39+D.7R+D.9R</v>
      </c>
      <c r="D40" s="172">
        <f t="shared" si="4"/>
        <v>-52.070752000001839</v>
      </c>
      <c r="E40" s="758">
        <f t="shared" ref="E40:I40" si="9">E11</f>
        <v>-5.4188361028840268E-2</v>
      </c>
      <c r="F40" s="172">
        <f t="shared" si="9"/>
        <v>-59.694709612001667</v>
      </c>
      <c r="G40" s="758">
        <f t="shared" si="9"/>
        <v>-5.8518204791116954E-2</v>
      </c>
      <c r="H40" s="172">
        <f t="shared" si="9"/>
        <v>-65.660723590373763</v>
      </c>
      <c r="I40" s="758">
        <f t="shared" si="9"/>
        <v>-6.0850436787184423E-2</v>
      </c>
    </row>
    <row r="41" spans="1:9" x14ac:dyDescent="0.25">
      <c r="A41" s="755"/>
      <c r="B41" s="756"/>
      <c r="C41" s="169"/>
      <c r="D41" s="168"/>
      <c r="E41" s="751"/>
      <c r="F41" s="168"/>
      <c r="G41" s="751"/>
      <c r="H41" s="168"/>
      <c r="I41" s="751"/>
    </row>
    <row r="42" spans="1:9" x14ac:dyDescent="0.25">
      <c r="A42" s="755"/>
      <c r="B42" s="756"/>
      <c r="C42" s="169" t="str">
        <f t="shared" si="6"/>
        <v>D.2</v>
      </c>
      <c r="D42" s="168">
        <f t="shared" si="4"/>
        <v>70</v>
      </c>
      <c r="E42" s="751">
        <f t="shared" ref="E42:I42" si="10">E13</f>
        <v>7.2846754201258412E-2</v>
      </c>
      <c r="F42" s="168">
        <f t="shared" si="10"/>
        <v>10</v>
      </c>
      <c r="G42" s="751">
        <f t="shared" si="10"/>
        <v>9.802913050665352E-3</v>
      </c>
      <c r="H42" s="168">
        <f t="shared" si="10"/>
        <v>10</v>
      </c>
      <c r="I42" s="751">
        <f t="shared" si="10"/>
        <v>9.2674027119776445E-3</v>
      </c>
    </row>
    <row r="43" spans="1:9" x14ac:dyDescent="0.25">
      <c r="A43" s="755"/>
      <c r="B43" s="756"/>
      <c r="C43" s="169" t="str">
        <f t="shared" si="6"/>
        <v>D.2</v>
      </c>
      <c r="D43" s="168">
        <f t="shared" si="4"/>
        <v>35.6</v>
      </c>
      <c r="E43" s="751">
        <f t="shared" ref="E43:I43" si="11">E14</f>
        <v>3.7047777850925709E-2</v>
      </c>
      <c r="F43" s="168">
        <f t="shared" si="11"/>
        <v>35.6</v>
      </c>
      <c r="G43" s="751">
        <f t="shared" si="11"/>
        <v>3.4898370460368651E-2</v>
      </c>
      <c r="H43" s="168">
        <f t="shared" si="11"/>
        <v>35.6</v>
      </c>
      <c r="I43" s="751">
        <f t="shared" si="11"/>
        <v>3.2991953654640409E-2</v>
      </c>
    </row>
    <row r="44" spans="1:9" x14ac:dyDescent="0.25">
      <c r="A44" s="755"/>
      <c r="B44" s="756"/>
      <c r="C44" s="169" t="str">
        <f t="shared" si="6"/>
        <v>D.5+D61</v>
      </c>
      <c r="D44" s="168">
        <f t="shared" si="4"/>
        <v>-81.894178431699999</v>
      </c>
      <c r="E44" s="751">
        <f t="shared" ref="E44:I44" si="12">E15</f>
        <v>-8.5224644096114979E-2</v>
      </c>
      <c r="F44" s="168">
        <f t="shared" si="12"/>
        <v>-81.964456193300009</v>
      </c>
      <c r="G44" s="751">
        <f t="shared" si="12"/>
        <v>-8.0349043730798916E-2</v>
      </c>
      <c r="H44" s="168">
        <f t="shared" si="12"/>
        <v>-135.05711234630002</v>
      </c>
      <c r="I44" s="751">
        <f t="shared" si="12"/>
        <v>-0.12516286492299702</v>
      </c>
    </row>
    <row r="45" spans="1:9" x14ac:dyDescent="0.25">
      <c r="A45" s="755"/>
      <c r="B45" s="756"/>
      <c r="C45" s="169" t="str">
        <f t="shared" si="6"/>
        <v>D.2</v>
      </c>
      <c r="D45" s="168">
        <f t="shared" si="4"/>
        <v>37.191000000000003</v>
      </c>
      <c r="E45" s="751">
        <f t="shared" ref="E45:I45" si="13">E16</f>
        <v>3.8703480507128595E-2</v>
      </c>
      <c r="F45" s="168">
        <f t="shared" si="13"/>
        <v>37.191000000000003</v>
      </c>
      <c r="G45" s="751">
        <f t="shared" si="13"/>
        <v>3.645801392672951E-2</v>
      </c>
      <c r="H45" s="168">
        <f t="shared" si="13"/>
        <v>37.191000000000003</v>
      </c>
      <c r="I45" s="751">
        <f t="shared" si="13"/>
        <v>3.4466397426116055E-2</v>
      </c>
    </row>
    <row r="46" spans="1:9" x14ac:dyDescent="0.25">
      <c r="A46" s="755"/>
      <c r="B46" s="756"/>
      <c r="C46" s="169"/>
      <c r="D46" s="168">
        <f t="shared" si="4"/>
        <v>-66.103584000001774</v>
      </c>
      <c r="E46" s="751">
        <f t="shared" ref="E46:I46" si="14">E17</f>
        <v>-6.8791879078148113E-2</v>
      </c>
      <c r="F46" s="168">
        <f t="shared" si="14"/>
        <v>-22.783464344001843</v>
      </c>
      <c r="G46" s="751">
        <f t="shared" si="14"/>
        <v>-2.2334431995718437E-2</v>
      </c>
      <c r="H46" s="168">
        <f t="shared" si="14"/>
        <v>51.219195115490123</v>
      </c>
      <c r="I46" s="751">
        <f t="shared" si="14"/>
        <v>4.7466890771860532E-2</v>
      </c>
    </row>
    <row r="47" spans="1:9" x14ac:dyDescent="0.25">
      <c r="A47" s="159" t="s">
        <v>1208</v>
      </c>
      <c r="B47" s="467"/>
      <c r="C47" s="173"/>
      <c r="D47" s="174">
        <f t="shared" si="4"/>
        <v>-915.34864200000743</v>
      </c>
      <c r="E47" s="712">
        <f t="shared" ref="E47:I47" si="15">E18</f>
        <v>-0.95257396474614597</v>
      </c>
      <c r="F47" s="174">
        <f t="shared" si="15"/>
        <v>-873.55908088199953</v>
      </c>
      <c r="G47" s="712">
        <f t="shared" si="15"/>
        <v>-0.85634237145053826</v>
      </c>
      <c r="H47" s="174">
        <f t="shared" si="15"/>
        <v>-1157.2861424356881</v>
      </c>
      <c r="I47" s="712">
        <f t="shared" si="15"/>
        <v>-1.0725036734942641</v>
      </c>
    </row>
    <row r="48" spans="1:9" x14ac:dyDescent="0.25">
      <c r="A48" s="157" t="s">
        <v>1209</v>
      </c>
      <c r="B48" s="175" t="str">
        <f>B19</f>
        <v>S.13</v>
      </c>
      <c r="C48" s="176" t="str">
        <f t="shared" si="6"/>
        <v>D.1</v>
      </c>
      <c r="D48" s="167">
        <f t="shared" si="4"/>
        <v>-70.847789999999804</v>
      </c>
      <c r="E48" s="748">
        <f t="shared" ref="E48:I48" si="16">E19</f>
        <v>-7.3729022054747989E-2</v>
      </c>
      <c r="F48" s="167">
        <f t="shared" si="16"/>
        <v>-9.7721548699992127</v>
      </c>
      <c r="G48" s="748">
        <f t="shared" si="16"/>
        <v>-9.5795584508238246E-3</v>
      </c>
      <c r="H48" s="167">
        <f t="shared" si="16"/>
        <v>172.39006592189071</v>
      </c>
      <c r="I48" s="748">
        <f t="shared" si="16"/>
        <v>0.1597608164442535</v>
      </c>
    </row>
    <row r="49" spans="1:9" x14ac:dyDescent="0.25">
      <c r="A49" s="157"/>
      <c r="B49" s="175"/>
      <c r="C49" s="176"/>
      <c r="D49" s="167">
        <f t="shared" si="4"/>
        <v>-6.7786250835395254</v>
      </c>
      <c r="E49" s="748">
        <f t="shared" ref="E49:I49" si="17">E20</f>
        <v>-7.0542976469012654E-3</v>
      </c>
      <c r="F49" s="167">
        <f t="shared" si="17"/>
        <v>-17.784804061954432</v>
      </c>
      <c r="G49" s="748">
        <f t="shared" si="17"/>
        <v>-1.7434288784245928E-2</v>
      </c>
      <c r="H49" s="167">
        <f t="shared" si="17"/>
        <v>38.010732794598411</v>
      </c>
      <c r="I49" s="748">
        <f t="shared" si="17"/>
        <v>3.5226076818491887E-2</v>
      </c>
    </row>
    <row r="50" spans="1:9" x14ac:dyDescent="0.25">
      <c r="A50" s="157" t="s">
        <v>1210</v>
      </c>
      <c r="B50" s="175" t="str">
        <f>B21</f>
        <v>S.13</v>
      </c>
      <c r="C50" s="743" t="str">
        <f t="shared" si="6"/>
        <v>P.2</v>
      </c>
      <c r="D50" s="469">
        <f t="shared" si="4"/>
        <v>-233.72160000000167</v>
      </c>
      <c r="E50" s="748">
        <f t="shared" ref="E50:I50" si="18">E21</f>
        <v>-0.24322657066749945</v>
      </c>
      <c r="F50" s="167">
        <f t="shared" si="18"/>
        <v>-369.21908120000171</v>
      </c>
      <c r="G50" s="748">
        <f t="shared" si="18"/>
        <v>-0.3619422549650167</v>
      </c>
      <c r="H50" s="167">
        <f t="shared" si="18"/>
        <v>-395.165989067601</v>
      </c>
      <c r="I50" s="748">
        <f t="shared" si="18"/>
        <v>-0.36621623587664137</v>
      </c>
    </row>
    <row r="51" spans="1:9" x14ac:dyDescent="0.25">
      <c r="A51" s="160"/>
      <c r="B51" s="175"/>
      <c r="C51" s="743"/>
      <c r="D51" s="469">
        <f t="shared" si="4"/>
        <v>-49.6</v>
      </c>
      <c r="E51" s="748">
        <f t="shared" ref="E51:I51" si="19">E22</f>
        <v>-5.1617128691177391E-2</v>
      </c>
      <c r="F51" s="167">
        <f t="shared" si="19"/>
        <v>-113.8</v>
      </c>
      <c r="G51" s="748">
        <f t="shared" si="19"/>
        <v>-0.11155715051657171</v>
      </c>
      <c r="H51" s="167">
        <f t="shared" si="19"/>
        <v>-191.4</v>
      </c>
      <c r="I51" s="748">
        <f t="shared" si="19"/>
        <v>-0.17737808790725212</v>
      </c>
    </row>
    <row r="52" spans="1:9" x14ac:dyDescent="0.25">
      <c r="A52" s="161" t="s">
        <v>1211</v>
      </c>
      <c r="B52" s="177" t="str">
        <f>B23</f>
        <v>S.13</v>
      </c>
      <c r="C52" s="177" t="str">
        <f t="shared" si="6"/>
        <v>D.3p</v>
      </c>
      <c r="D52" s="179">
        <f t="shared" si="4"/>
        <v>-2.9798000000000116</v>
      </c>
      <c r="E52" s="750">
        <f t="shared" ref="E52:I52" si="20">E23</f>
        <v>-3.1009822595558668E-3</v>
      </c>
      <c r="F52" s="179">
        <f t="shared" si="20"/>
        <v>0.13167640000000347</v>
      </c>
      <c r="G52" s="750">
        <f t="shared" si="20"/>
        <v>1.290812300024665E-4</v>
      </c>
      <c r="H52" s="179">
        <f t="shared" si="20"/>
        <v>2.3933359572000086</v>
      </c>
      <c r="I52" s="750">
        <f t="shared" si="20"/>
        <v>2.2180008140428968E-3</v>
      </c>
    </row>
    <row r="53" spans="1:9" x14ac:dyDescent="0.25">
      <c r="A53" s="157" t="s">
        <v>1212</v>
      </c>
      <c r="B53" s="175" t="str">
        <f>B24</f>
        <v>S.13</v>
      </c>
      <c r="C53" s="743" t="str">
        <f t="shared" si="6"/>
        <v>D.6P</v>
      </c>
      <c r="D53" s="469">
        <f t="shared" si="4"/>
        <v>-48.807999999999993</v>
      </c>
      <c r="E53" s="749">
        <f t="shared" ref="E53:I53" si="21">E24</f>
        <v>-5.0792919700786004E-2</v>
      </c>
      <c r="F53" s="469">
        <f t="shared" si="21"/>
        <v>-38.113999999999578</v>
      </c>
      <c r="G53" s="749">
        <f t="shared" si="21"/>
        <v>-3.7362822801305512E-2</v>
      </c>
      <c r="H53" s="469">
        <f t="shared" si="21"/>
        <v>-52.530999999999949</v>
      </c>
      <c r="I53" s="749">
        <f t="shared" si="21"/>
        <v>-4.8682593186289716E-2</v>
      </c>
    </row>
    <row r="54" spans="1:9" x14ac:dyDescent="0.25">
      <c r="A54" s="162"/>
      <c r="B54" s="180"/>
      <c r="C54" s="180" t="str">
        <f t="shared" si="6"/>
        <v>D.632</v>
      </c>
      <c r="D54" s="168">
        <f t="shared" si="4"/>
        <v>-48.807999999999993</v>
      </c>
      <c r="E54" s="751">
        <f t="shared" ref="E54:I54" si="22">E25</f>
        <v>-5.0792919700786004E-2</v>
      </c>
      <c r="F54" s="168">
        <f t="shared" si="22"/>
        <v>-38.113999999999578</v>
      </c>
      <c r="G54" s="751">
        <f t="shared" si="22"/>
        <v>-3.7362822801305512E-2</v>
      </c>
      <c r="H54" s="168">
        <f t="shared" si="22"/>
        <v>-52.530999999999949</v>
      </c>
      <c r="I54" s="751">
        <f t="shared" si="22"/>
        <v>-4.8682593186289716E-2</v>
      </c>
    </row>
    <row r="55" spans="1:9" x14ac:dyDescent="0.25">
      <c r="A55" s="161" t="s">
        <v>1213</v>
      </c>
      <c r="B55" s="181" t="str">
        <f>B26</f>
        <v>S.13</v>
      </c>
      <c r="C55" s="754" t="str">
        <f t="shared" si="6"/>
        <v>D.7P</v>
      </c>
      <c r="D55" s="470">
        <f t="shared" si="4"/>
        <v>-89.443160000006401</v>
      </c>
      <c r="E55" s="752">
        <f t="shared" ref="E55:I55" si="23">E26</f>
        <v>-9.308062702148992E-2</v>
      </c>
      <c r="F55" s="470">
        <f t="shared" si="23"/>
        <v>-54.975239319998764</v>
      </c>
      <c r="G55" s="752">
        <f t="shared" si="23"/>
        <v>-5.3891749099346686E-2</v>
      </c>
      <c r="H55" s="470">
        <f t="shared" si="23"/>
        <v>-280.69245982436178</v>
      </c>
      <c r="I55" s="752">
        <f t="shared" si="23"/>
        <v>-0.26012900634079666</v>
      </c>
    </row>
    <row r="56" spans="1:9" x14ac:dyDescent="0.25">
      <c r="A56" s="157" t="s">
        <v>1214</v>
      </c>
      <c r="B56" s="175" t="str">
        <f>B27</f>
        <v>S.13</v>
      </c>
      <c r="C56" s="743" t="str">
        <f t="shared" si="6"/>
        <v>P.5+D.9P</v>
      </c>
      <c r="D56" s="469">
        <f t="shared" si="4"/>
        <v>-469.54829199999949</v>
      </c>
      <c r="E56" s="748">
        <f t="shared" ref="E56:I56" si="24">E27</f>
        <v>-0.48864384304206676</v>
      </c>
      <c r="F56" s="167">
        <f t="shared" si="24"/>
        <v>-401.61028189200033</v>
      </c>
      <c r="G56" s="748">
        <f t="shared" si="24"/>
        <v>-0.39369506736404808</v>
      </c>
      <c r="H56" s="167">
        <f t="shared" si="24"/>
        <v>-603.68009542281607</v>
      </c>
      <c r="I56" s="748">
        <f t="shared" si="24"/>
        <v>-0.55945465534883287</v>
      </c>
    </row>
    <row r="57" spans="1:9" ht="14.25" thickBot="1" x14ac:dyDescent="0.3">
      <c r="A57" s="160"/>
      <c r="B57" s="176" t="str">
        <f>B28</f>
        <v>S.1311</v>
      </c>
      <c r="C57" s="176" t="str">
        <f t="shared" si="6"/>
        <v>P.51g</v>
      </c>
      <c r="D57" s="167">
        <f t="shared" si="4"/>
        <v>96.1</v>
      </c>
      <c r="E57" s="748">
        <f t="shared" ref="E57:I57" si="25">E28</f>
        <v>0.10000818683915619</v>
      </c>
      <c r="F57" s="167">
        <f t="shared" si="25"/>
        <v>-408</v>
      </c>
      <c r="G57" s="748">
        <f t="shared" si="25"/>
        <v>-0.39995885246714635</v>
      </c>
      <c r="H57" s="167">
        <f t="shared" si="25"/>
        <v>-539.56600000000003</v>
      </c>
      <c r="I57" s="748">
        <f t="shared" si="25"/>
        <v>-0.50003754116909305</v>
      </c>
    </row>
    <row r="58" spans="1:9" ht="14.25" thickBot="1" x14ac:dyDescent="0.3">
      <c r="A58" s="103" t="s">
        <v>344</v>
      </c>
      <c r="B58" s="182" t="str">
        <f t="shared" ref="B58:C58" si="26">B29</f>
        <v>-</v>
      </c>
      <c r="C58" s="182" t="str">
        <f t="shared" si="26"/>
        <v>-</v>
      </c>
      <c r="D58" s="183">
        <f t="shared" si="4"/>
        <v>-920.55540443170923</v>
      </c>
      <c r="E58" s="753">
        <f t="shared" ref="E58:I58" si="27">E29</f>
        <v>-0.95799247536109633</v>
      </c>
      <c r="F58" s="183">
        <f t="shared" si="27"/>
        <v>-895.51600141930135</v>
      </c>
      <c r="G58" s="753">
        <f t="shared" si="27"/>
        <v>-0.87786654973929212</v>
      </c>
      <c r="H58" s="183">
        <f t="shared" si="27"/>
        <v>-1158.333059666498</v>
      </c>
      <c r="I58" s="753">
        <f t="shared" si="27"/>
        <v>-1.0734738938526664</v>
      </c>
    </row>
    <row r="59" spans="1:9" x14ac:dyDescent="0.25">
      <c r="H59" s="989" t="s">
        <v>235</v>
      </c>
      <c r="I59" s="989"/>
    </row>
  </sheetData>
  <mergeCells count="10">
    <mergeCell ref="H59:I59"/>
    <mergeCell ref="D34:E34"/>
    <mergeCell ref="F34:G34"/>
    <mergeCell ref="H34:I34"/>
    <mergeCell ref="H30:I30"/>
    <mergeCell ref="A4:I4"/>
    <mergeCell ref="D5:E5"/>
    <mergeCell ref="F5:G5"/>
    <mergeCell ref="H5:I5"/>
    <mergeCell ref="A33:I33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8"/>
  <dimension ref="B3:J27"/>
  <sheetViews>
    <sheetView showGridLines="0" zoomScale="90" zoomScaleNormal="90" workbookViewId="0">
      <selection activeCell="B16" sqref="B16:F16"/>
    </sheetView>
  </sheetViews>
  <sheetFormatPr defaultColWidth="9.140625" defaultRowHeight="13.5" x14ac:dyDescent="0.25"/>
  <cols>
    <col min="1" max="1" width="14.28515625" style="34" customWidth="1"/>
    <col min="2" max="2" width="52" style="34" bestFit="1" customWidth="1"/>
    <col min="3" max="16384" width="9.140625" style="34"/>
  </cols>
  <sheetData>
    <row r="3" spans="2:10" ht="15.75" customHeight="1" thickBot="1" x14ac:dyDescent="0.3">
      <c r="B3" s="990" t="s">
        <v>1251</v>
      </c>
      <c r="C3" s="990"/>
      <c r="D3" s="990"/>
      <c r="E3" s="990"/>
      <c r="F3" s="990"/>
      <c r="G3" s="810"/>
      <c r="H3" s="810"/>
      <c r="I3" s="810"/>
      <c r="J3" s="810"/>
    </row>
    <row r="4" spans="2:10" ht="14.25" thickBot="1" x14ac:dyDescent="0.3">
      <c r="B4" s="46"/>
      <c r="C4" s="263">
        <v>2018</v>
      </c>
      <c r="D4" s="263">
        <v>2019</v>
      </c>
      <c r="E4" s="263">
        <v>2020</v>
      </c>
      <c r="F4" s="263">
        <v>2021</v>
      </c>
    </row>
    <row r="5" spans="2:10" x14ac:dyDescent="0.25">
      <c r="B5" s="264" t="s">
        <v>1244</v>
      </c>
      <c r="C5" s="265">
        <v>22</v>
      </c>
      <c r="D5" s="265">
        <v>85</v>
      </c>
      <c r="E5" s="265">
        <v>75</v>
      </c>
      <c r="F5" s="34">
        <v>66</v>
      </c>
    </row>
    <row r="6" spans="2:10" x14ac:dyDescent="0.25">
      <c r="B6" s="264" t="s">
        <v>1476</v>
      </c>
      <c r="C6" s="265">
        <v>0</v>
      </c>
      <c r="D6" s="265">
        <v>-5</v>
      </c>
      <c r="E6" s="265">
        <v>-28</v>
      </c>
      <c r="F6" s="34">
        <v>-30</v>
      </c>
    </row>
    <row r="7" spans="2:10" x14ac:dyDescent="0.25">
      <c r="B7" s="264" t="s">
        <v>1245</v>
      </c>
      <c r="C7" s="265">
        <v>-9</v>
      </c>
      <c r="D7" s="265">
        <v>-19</v>
      </c>
      <c r="E7" s="265">
        <v>-19</v>
      </c>
      <c r="F7" s="34">
        <v>-19</v>
      </c>
    </row>
    <row r="8" spans="2:10" x14ac:dyDescent="0.25">
      <c r="B8" s="264" t="s">
        <v>1246</v>
      </c>
      <c r="C8" s="265">
        <v>-3</v>
      </c>
      <c r="D8" s="265">
        <v>-3</v>
      </c>
      <c r="E8" s="265">
        <v>-3</v>
      </c>
      <c r="F8" s="265">
        <v>-3</v>
      </c>
    </row>
    <row r="9" spans="2:10" x14ac:dyDescent="0.25">
      <c r="B9" s="264" t="s">
        <v>1247</v>
      </c>
      <c r="C9" s="265">
        <v>-1</v>
      </c>
      <c r="D9" s="265">
        <v>-1</v>
      </c>
      <c r="E9" s="265">
        <v>-1</v>
      </c>
      <c r="F9" s="265">
        <v>-2</v>
      </c>
    </row>
    <row r="10" spans="2:10" x14ac:dyDescent="0.25">
      <c r="B10" s="264" t="s">
        <v>1248</v>
      </c>
      <c r="C10" s="265">
        <v>-9</v>
      </c>
      <c r="D10" s="265">
        <v>-9</v>
      </c>
      <c r="E10" s="265">
        <v>-9</v>
      </c>
      <c r="F10" s="265">
        <v>-9</v>
      </c>
    </row>
    <row r="11" spans="2:10" x14ac:dyDescent="0.25">
      <c r="B11" s="264" t="s">
        <v>1249</v>
      </c>
      <c r="C11" s="265">
        <v>0</v>
      </c>
      <c r="D11" s="265">
        <v>0</v>
      </c>
      <c r="E11" s="265">
        <v>0</v>
      </c>
      <c r="F11" s="265">
        <v>0</v>
      </c>
    </row>
    <row r="12" spans="2:10" ht="14.25" thickBot="1" x14ac:dyDescent="0.3">
      <c r="B12" s="266" t="s">
        <v>1250</v>
      </c>
      <c r="C12" s="267">
        <v>-2</v>
      </c>
      <c r="D12" s="267">
        <v>-2</v>
      </c>
      <c r="E12" s="267">
        <v>-2</v>
      </c>
      <c r="F12" s="46">
        <v>-2</v>
      </c>
    </row>
    <row r="13" spans="2:10" ht="14.25" thickBot="1" x14ac:dyDescent="0.3">
      <c r="B13" s="4" t="s">
        <v>51</v>
      </c>
      <c r="C13" s="263">
        <f>SUM(C5:C12)</f>
        <v>-2</v>
      </c>
      <c r="D13" s="263">
        <f t="shared" ref="D13:E13" si="0">SUM(D5:D12)</f>
        <v>46</v>
      </c>
      <c r="E13" s="263">
        <f t="shared" si="0"/>
        <v>13</v>
      </c>
      <c r="F13" s="263">
        <f>SUM(F5:F12)</f>
        <v>1</v>
      </c>
    </row>
    <row r="14" spans="2:10" x14ac:dyDescent="0.25">
      <c r="F14" s="34" t="s">
        <v>19</v>
      </c>
    </row>
    <row r="16" spans="2:10" ht="15.75" customHeight="1" x14ac:dyDescent="0.25">
      <c r="B16" s="985" t="s">
        <v>1252</v>
      </c>
      <c r="C16" s="985"/>
      <c r="D16" s="985"/>
      <c r="E16" s="985"/>
      <c r="F16" s="985"/>
    </row>
    <row r="17" spans="2:6" ht="14.25" thickBot="1" x14ac:dyDescent="0.3">
      <c r="B17" s="46"/>
      <c r="C17" s="263">
        <f>C4</f>
        <v>2018</v>
      </c>
      <c r="D17" s="263">
        <f t="shared" ref="D17:F17" si="1">D4</f>
        <v>2019</v>
      </c>
      <c r="E17" s="263">
        <f t="shared" si="1"/>
        <v>2020</v>
      </c>
      <c r="F17" s="263">
        <f t="shared" si="1"/>
        <v>2021</v>
      </c>
    </row>
    <row r="18" spans="2:6" x14ac:dyDescent="0.25">
      <c r="B18" s="843" t="s">
        <v>1477</v>
      </c>
      <c r="C18" s="265">
        <f>C5</f>
        <v>22</v>
      </c>
      <c r="D18" s="265">
        <f t="shared" ref="D18:F18" si="2">D5</f>
        <v>85</v>
      </c>
      <c r="E18" s="265">
        <f t="shared" si="2"/>
        <v>75</v>
      </c>
      <c r="F18" s="34">
        <f t="shared" si="2"/>
        <v>66</v>
      </c>
    </row>
    <row r="19" spans="2:6" x14ac:dyDescent="0.25">
      <c r="B19" s="843" t="s">
        <v>1478</v>
      </c>
      <c r="C19" s="265">
        <f t="shared" ref="C19:F19" si="3">C6</f>
        <v>0</v>
      </c>
      <c r="D19" s="265">
        <f t="shared" si="3"/>
        <v>-5</v>
      </c>
      <c r="E19" s="265">
        <f t="shared" si="3"/>
        <v>-28</v>
      </c>
      <c r="F19" s="34">
        <f t="shared" si="3"/>
        <v>-30</v>
      </c>
    </row>
    <row r="20" spans="2:6" x14ac:dyDescent="0.25">
      <c r="B20" s="843" t="s">
        <v>1479</v>
      </c>
      <c r="C20" s="265">
        <f t="shared" ref="C20:F20" si="4">C7</f>
        <v>-9</v>
      </c>
      <c r="D20" s="265">
        <f t="shared" si="4"/>
        <v>-19</v>
      </c>
      <c r="E20" s="265">
        <f t="shared" si="4"/>
        <v>-19</v>
      </c>
      <c r="F20" s="34">
        <f t="shared" si="4"/>
        <v>-19</v>
      </c>
    </row>
    <row r="21" spans="2:6" x14ac:dyDescent="0.25">
      <c r="B21" s="843" t="s">
        <v>1480</v>
      </c>
      <c r="C21" s="265">
        <f t="shared" ref="C21:F21" si="5">C8</f>
        <v>-3</v>
      </c>
      <c r="D21" s="265">
        <f t="shared" si="5"/>
        <v>-3</v>
      </c>
      <c r="E21" s="265">
        <f t="shared" si="5"/>
        <v>-3</v>
      </c>
      <c r="F21" s="34">
        <f t="shared" si="5"/>
        <v>-3</v>
      </c>
    </row>
    <row r="22" spans="2:6" x14ac:dyDescent="0.25">
      <c r="B22" s="843" t="s">
        <v>1481</v>
      </c>
      <c r="C22" s="265">
        <f t="shared" ref="C22:F22" si="6">C9</f>
        <v>-1</v>
      </c>
      <c r="D22" s="265">
        <f t="shared" si="6"/>
        <v>-1</v>
      </c>
      <c r="E22" s="265">
        <f t="shared" si="6"/>
        <v>-1</v>
      </c>
      <c r="F22" s="34">
        <f t="shared" si="6"/>
        <v>-2</v>
      </c>
    </row>
    <row r="23" spans="2:6" x14ac:dyDescent="0.25">
      <c r="B23" s="843" t="s">
        <v>1482</v>
      </c>
      <c r="C23" s="265">
        <f t="shared" ref="C23:F23" si="7">C10</f>
        <v>-9</v>
      </c>
      <c r="D23" s="265">
        <f t="shared" si="7"/>
        <v>-9</v>
      </c>
      <c r="E23" s="265">
        <f t="shared" si="7"/>
        <v>-9</v>
      </c>
      <c r="F23" s="34">
        <f t="shared" si="7"/>
        <v>-9</v>
      </c>
    </row>
    <row r="24" spans="2:6" x14ac:dyDescent="0.25">
      <c r="B24" s="843" t="s">
        <v>1483</v>
      </c>
      <c r="C24" s="265">
        <f t="shared" ref="C24:F24" si="8">C11</f>
        <v>0</v>
      </c>
      <c r="D24" s="265">
        <f t="shared" si="8"/>
        <v>0</v>
      </c>
      <c r="E24" s="265">
        <f t="shared" si="8"/>
        <v>0</v>
      </c>
      <c r="F24" s="34">
        <f t="shared" si="8"/>
        <v>0</v>
      </c>
    </row>
    <row r="25" spans="2:6" x14ac:dyDescent="0.25">
      <c r="B25" s="843" t="s">
        <v>1484</v>
      </c>
      <c r="C25" s="265">
        <f t="shared" ref="C25:F25" si="9">C12</f>
        <v>-2</v>
      </c>
      <c r="D25" s="265">
        <f t="shared" si="9"/>
        <v>-2</v>
      </c>
      <c r="E25" s="265">
        <f t="shared" si="9"/>
        <v>-2</v>
      </c>
      <c r="F25" s="34">
        <f t="shared" si="9"/>
        <v>-2</v>
      </c>
    </row>
    <row r="26" spans="2:6" ht="14.25" thickBot="1" x14ac:dyDescent="0.3">
      <c r="B26" s="4" t="s">
        <v>339</v>
      </c>
      <c r="C26" s="263">
        <f t="shared" ref="C26:F26" si="10">C13</f>
        <v>-2</v>
      </c>
      <c r="D26" s="263">
        <f t="shared" si="10"/>
        <v>46</v>
      </c>
      <c r="E26" s="263">
        <f t="shared" si="10"/>
        <v>13</v>
      </c>
      <c r="F26" s="263">
        <f t="shared" si="10"/>
        <v>1</v>
      </c>
    </row>
    <row r="27" spans="2:6" x14ac:dyDescent="0.25">
      <c r="F27" s="34" t="s">
        <v>235</v>
      </c>
    </row>
  </sheetData>
  <mergeCells count="2">
    <mergeCell ref="B3:F3"/>
    <mergeCell ref="B16:F16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4"/>
  <dimension ref="A3:F38"/>
  <sheetViews>
    <sheetView showGridLines="0" topLeftCell="A4" zoomScale="90" zoomScaleNormal="90" workbookViewId="0">
      <selection activeCell="C32" sqref="C32:D32"/>
    </sheetView>
  </sheetViews>
  <sheetFormatPr defaultColWidth="9.140625" defaultRowHeight="13.5" x14ac:dyDescent="0.25"/>
  <cols>
    <col min="1" max="1" width="40" style="34" customWidth="1"/>
    <col min="2" max="2" width="9.140625" style="34"/>
    <col min="3" max="3" width="12.42578125" style="34" customWidth="1"/>
    <col min="4" max="4" width="15.5703125" style="34" customWidth="1"/>
    <col min="5" max="16384" width="9.140625" style="34"/>
  </cols>
  <sheetData>
    <row r="3" spans="1:6" ht="14.25" thickBot="1" x14ac:dyDescent="0.3">
      <c r="A3" s="994" t="s">
        <v>1253</v>
      </c>
      <c r="B3" s="994"/>
      <c r="C3" s="994"/>
      <c r="D3" s="994"/>
      <c r="E3" s="994"/>
      <c r="F3" s="548"/>
    </row>
    <row r="4" spans="1:6" ht="14.25" thickBot="1" x14ac:dyDescent="0.3">
      <c r="A4" s="6"/>
      <c r="B4" s="152" t="s">
        <v>111</v>
      </c>
      <c r="C4" s="995">
        <v>2018</v>
      </c>
      <c r="D4" s="995"/>
      <c r="E4" s="996" t="s">
        <v>1254</v>
      </c>
      <c r="F4" s="996"/>
    </row>
    <row r="5" spans="1:6" x14ac:dyDescent="0.25">
      <c r="A5" s="7" t="s">
        <v>1255</v>
      </c>
      <c r="B5" s="102" t="s">
        <v>521</v>
      </c>
      <c r="C5" s="966">
        <v>2</v>
      </c>
      <c r="D5" s="966"/>
      <c r="E5" s="966">
        <v>0</v>
      </c>
      <c r="F5" s="966"/>
    </row>
    <row r="6" spans="1:6" x14ac:dyDescent="0.25">
      <c r="A6" s="7" t="s">
        <v>1256</v>
      </c>
      <c r="B6" s="102" t="s">
        <v>114</v>
      </c>
      <c r="C6" s="991">
        <v>135</v>
      </c>
      <c r="D6" s="991"/>
      <c r="E6" s="991">
        <v>0.15</v>
      </c>
      <c r="F6" s="991"/>
    </row>
    <row r="7" spans="1:6" x14ac:dyDescent="0.25">
      <c r="A7" s="5" t="s">
        <v>1257</v>
      </c>
      <c r="B7" s="101"/>
      <c r="C7" s="993">
        <v>40</v>
      </c>
      <c r="D7" s="993"/>
      <c r="E7" s="993">
        <v>0.04</v>
      </c>
      <c r="F7" s="993"/>
    </row>
    <row r="8" spans="1:6" x14ac:dyDescent="0.25">
      <c r="A8" s="5" t="s">
        <v>1258</v>
      </c>
      <c r="B8" s="101"/>
      <c r="C8" s="993">
        <v>31</v>
      </c>
      <c r="D8" s="993"/>
      <c r="E8" s="993">
        <v>0.03</v>
      </c>
      <c r="F8" s="993"/>
    </row>
    <row r="9" spans="1:6" x14ac:dyDescent="0.25">
      <c r="A9" s="7" t="s">
        <v>612</v>
      </c>
      <c r="B9" s="102" t="s">
        <v>522</v>
      </c>
      <c r="C9" s="991">
        <v>29</v>
      </c>
      <c r="D9" s="991"/>
      <c r="E9" s="991">
        <v>0.03</v>
      </c>
      <c r="F9" s="991"/>
    </row>
    <row r="10" spans="1:6" x14ac:dyDescent="0.25">
      <c r="A10" s="5"/>
      <c r="B10" s="101"/>
      <c r="C10" s="993"/>
      <c r="D10" s="993"/>
      <c r="E10" s="993"/>
      <c r="F10" s="993"/>
    </row>
    <row r="11" spans="1:6" x14ac:dyDescent="0.25">
      <c r="A11" s="7" t="s">
        <v>1259</v>
      </c>
      <c r="B11" s="102" t="s">
        <v>523</v>
      </c>
      <c r="C11" s="991">
        <v>26</v>
      </c>
      <c r="D11" s="991"/>
      <c r="E11" s="991">
        <v>0.03</v>
      </c>
      <c r="F11" s="991"/>
    </row>
    <row r="12" spans="1:6" x14ac:dyDescent="0.25">
      <c r="A12" s="7" t="s">
        <v>1260</v>
      </c>
      <c r="B12" s="102" t="s">
        <v>520</v>
      </c>
      <c r="C12" s="991">
        <v>68</v>
      </c>
      <c r="D12" s="991"/>
      <c r="E12" s="991">
        <v>0.08</v>
      </c>
      <c r="F12" s="991"/>
    </row>
    <row r="13" spans="1:6" x14ac:dyDescent="0.25">
      <c r="A13" s="5" t="s">
        <v>1261</v>
      </c>
      <c r="B13" s="101"/>
      <c r="C13" s="993">
        <v>63</v>
      </c>
      <c r="D13" s="993"/>
      <c r="E13" s="993">
        <v>7.0000000000000007E-2</v>
      </c>
      <c r="F13" s="993"/>
    </row>
    <row r="14" spans="1:6" x14ac:dyDescent="0.25">
      <c r="A14" s="5"/>
      <c r="B14" s="101"/>
      <c r="C14" s="993"/>
      <c r="D14" s="993"/>
      <c r="E14" s="993"/>
      <c r="F14" s="993"/>
    </row>
    <row r="15" spans="1:6" x14ac:dyDescent="0.25">
      <c r="A15" s="7" t="s">
        <v>1262</v>
      </c>
      <c r="B15" s="102" t="s">
        <v>518</v>
      </c>
      <c r="C15" s="991">
        <v>220</v>
      </c>
      <c r="D15" s="991"/>
      <c r="E15" s="991">
        <v>0.24</v>
      </c>
      <c r="F15" s="991"/>
    </row>
    <row r="16" spans="1:6" x14ac:dyDescent="0.25">
      <c r="A16" s="5" t="s">
        <v>1263</v>
      </c>
      <c r="B16" s="768"/>
      <c r="C16" s="993">
        <v>126</v>
      </c>
      <c r="D16" s="993"/>
      <c r="E16" s="993">
        <v>0.14000000000000001</v>
      </c>
      <c r="F16" s="993"/>
    </row>
    <row r="17" spans="1:6" x14ac:dyDescent="0.25">
      <c r="A17" s="5" t="s">
        <v>1264</v>
      </c>
      <c r="B17" s="768"/>
      <c r="C17" s="993">
        <v>49</v>
      </c>
      <c r="D17" s="993"/>
      <c r="E17" s="993">
        <v>0.05</v>
      </c>
      <c r="F17" s="993"/>
    </row>
    <row r="18" spans="1:6" ht="14.25" thickBot="1" x14ac:dyDescent="0.3">
      <c r="A18" s="6" t="s">
        <v>1265</v>
      </c>
      <c r="B18" s="769"/>
      <c r="C18" s="992">
        <v>27</v>
      </c>
      <c r="D18" s="992"/>
      <c r="E18" s="992">
        <v>0.03</v>
      </c>
      <c r="F18" s="992"/>
    </row>
    <row r="19" spans="1:6" ht="14.25" thickBot="1" x14ac:dyDescent="0.3">
      <c r="A19" s="4" t="s">
        <v>51</v>
      </c>
      <c r="B19" s="152"/>
      <c r="C19" s="995">
        <v>479</v>
      </c>
      <c r="D19" s="995"/>
      <c r="E19" s="995">
        <v>0.53</v>
      </c>
      <c r="F19" s="995"/>
    </row>
    <row r="20" spans="1:6" x14ac:dyDescent="0.25">
      <c r="A20" s="997"/>
      <c r="B20" s="997"/>
      <c r="C20" s="997"/>
      <c r="D20" s="989" t="s">
        <v>19</v>
      </c>
      <c r="E20" s="989"/>
      <c r="F20" s="989"/>
    </row>
    <row r="21" spans="1:6" ht="14.25" thickBot="1" x14ac:dyDescent="0.3">
      <c r="A21" s="919" t="s">
        <v>1266</v>
      </c>
      <c r="B21" s="919"/>
      <c r="C21" s="919"/>
      <c r="D21" s="919"/>
    </row>
    <row r="22" spans="1:6" ht="14.25" customHeight="1" thickBot="1" x14ac:dyDescent="0.3">
      <c r="A22" s="6"/>
      <c r="B22" s="152" t="s">
        <v>111</v>
      </c>
      <c r="C22" s="995">
        <v>2018</v>
      </c>
      <c r="D22" s="995"/>
      <c r="E22" s="995" t="s">
        <v>1254</v>
      </c>
      <c r="F22" s="995"/>
    </row>
    <row r="23" spans="1:6" x14ac:dyDescent="0.25">
      <c r="A23" s="767" t="s">
        <v>1512</v>
      </c>
      <c r="B23" s="102" t="str">
        <f>B5</f>
        <v>D.1</v>
      </c>
      <c r="C23" s="966">
        <f>C5</f>
        <v>2</v>
      </c>
      <c r="D23" s="966"/>
      <c r="E23" s="966">
        <f>E5</f>
        <v>0</v>
      </c>
      <c r="F23" s="966"/>
    </row>
    <row r="24" spans="1:6" x14ac:dyDescent="0.25">
      <c r="A24" s="767" t="s">
        <v>1513</v>
      </c>
      <c r="B24" s="102" t="str">
        <f t="shared" ref="B24:C33" si="0">B6</f>
        <v>P.2</v>
      </c>
      <c r="C24" s="991">
        <f t="shared" si="0"/>
        <v>135</v>
      </c>
      <c r="D24" s="991"/>
      <c r="E24" s="991">
        <f t="shared" ref="E24" si="1">E6</f>
        <v>0.15</v>
      </c>
      <c r="F24" s="991"/>
    </row>
    <row r="25" spans="1:6" x14ac:dyDescent="0.25">
      <c r="A25" s="433" t="s">
        <v>1514</v>
      </c>
      <c r="B25" s="101"/>
      <c r="C25" s="993">
        <f t="shared" ref="C25:C36" si="2">C7</f>
        <v>40</v>
      </c>
      <c r="D25" s="993"/>
      <c r="E25" s="993">
        <f t="shared" ref="E25" si="3">E7</f>
        <v>0.04</v>
      </c>
      <c r="F25" s="993"/>
    </row>
    <row r="26" spans="1:6" x14ac:dyDescent="0.25">
      <c r="A26" s="433" t="s">
        <v>1515</v>
      </c>
      <c r="B26" s="101"/>
      <c r="C26" s="993">
        <f t="shared" si="2"/>
        <v>31</v>
      </c>
      <c r="D26" s="993"/>
      <c r="E26" s="993">
        <f t="shared" ref="E26" si="4">E8</f>
        <v>0.03</v>
      </c>
      <c r="F26" s="993"/>
    </row>
    <row r="27" spans="1:6" x14ac:dyDescent="0.25">
      <c r="A27" s="767" t="s">
        <v>950</v>
      </c>
      <c r="B27" s="102" t="str">
        <f t="shared" si="0"/>
        <v>D.7p</v>
      </c>
      <c r="C27" s="991">
        <f t="shared" si="2"/>
        <v>29</v>
      </c>
      <c r="D27" s="991"/>
      <c r="E27" s="991">
        <f t="shared" ref="E27" si="5">E9</f>
        <v>0.03</v>
      </c>
      <c r="F27" s="998"/>
    </row>
    <row r="28" spans="1:6" x14ac:dyDescent="0.25">
      <c r="A28" s="433"/>
      <c r="B28" s="101"/>
      <c r="C28" s="993">
        <f t="shared" si="2"/>
        <v>0</v>
      </c>
      <c r="D28" s="993"/>
      <c r="E28" s="993">
        <f t="shared" ref="E28" si="6">E10</f>
        <v>0</v>
      </c>
      <c r="F28" s="993"/>
    </row>
    <row r="29" spans="1:6" x14ac:dyDescent="0.25">
      <c r="A29" s="767" t="s">
        <v>1516</v>
      </c>
      <c r="B29" s="102" t="str">
        <f t="shared" si="0"/>
        <v>D.3p</v>
      </c>
      <c r="C29" s="991">
        <f t="shared" si="2"/>
        <v>26</v>
      </c>
      <c r="D29" s="991"/>
      <c r="E29" s="991">
        <f t="shared" ref="E29" si="7">E11</f>
        <v>0.03</v>
      </c>
      <c r="F29" s="991"/>
    </row>
    <row r="30" spans="1:6" x14ac:dyDescent="0.25">
      <c r="A30" s="767" t="s">
        <v>1517</v>
      </c>
      <c r="B30" s="102" t="str">
        <f t="shared" si="0"/>
        <v>D.9p</v>
      </c>
      <c r="C30" s="991">
        <f t="shared" si="2"/>
        <v>68</v>
      </c>
      <c r="D30" s="991"/>
      <c r="E30" s="991">
        <f t="shared" ref="E30" si="8">E12</f>
        <v>0.08</v>
      </c>
      <c r="F30" s="991"/>
    </row>
    <row r="31" spans="1:6" x14ac:dyDescent="0.25">
      <c r="A31" s="433" t="s">
        <v>1518</v>
      </c>
      <c r="B31" s="101"/>
      <c r="C31" s="993">
        <f t="shared" si="2"/>
        <v>63</v>
      </c>
      <c r="D31" s="993"/>
      <c r="E31" s="993">
        <f t="shared" ref="E31" si="9">E13</f>
        <v>7.0000000000000007E-2</v>
      </c>
      <c r="F31" s="993"/>
    </row>
    <row r="32" spans="1:6" x14ac:dyDescent="0.25">
      <c r="A32" s="433"/>
      <c r="B32" s="101"/>
      <c r="C32" s="993">
        <f t="shared" si="2"/>
        <v>0</v>
      </c>
      <c r="D32" s="993"/>
      <c r="E32" s="993">
        <f t="shared" ref="E32" si="10">E14</f>
        <v>0</v>
      </c>
      <c r="F32" s="993"/>
    </row>
    <row r="33" spans="1:6" x14ac:dyDescent="0.25">
      <c r="A33" s="767" t="s">
        <v>1519</v>
      </c>
      <c r="B33" s="102" t="str">
        <f t="shared" si="0"/>
        <v>P.51g</v>
      </c>
      <c r="C33" s="991">
        <f t="shared" si="2"/>
        <v>220</v>
      </c>
      <c r="D33" s="991"/>
      <c r="E33" s="991">
        <f t="shared" ref="E33" si="11">E15</f>
        <v>0.24</v>
      </c>
      <c r="F33" s="991"/>
    </row>
    <row r="34" spans="1:6" x14ac:dyDescent="0.25">
      <c r="A34" s="433" t="s">
        <v>1520</v>
      </c>
      <c r="B34" s="768"/>
      <c r="C34" s="993">
        <f t="shared" si="2"/>
        <v>126</v>
      </c>
      <c r="D34" s="993"/>
      <c r="E34" s="993">
        <f t="shared" ref="E34" si="12">E16</f>
        <v>0.14000000000000001</v>
      </c>
      <c r="F34" s="993"/>
    </row>
    <row r="35" spans="1:6" x14ac:dyDescent="0.25">
      <c r="A35" s="433" t="s">
        <v>1521</v>
      </c>
      <c r="B35" s="768"/>
      <c r="C35" s="993">
        <f t="shared" si="2"/>
        <v>49</v>
      </c>
      <c r="D35" s="993"/>
      <c r="E35" s="993">
        <f t="shared" ref="E35" si="13">E17</f>
        <v>0.05</v>
      </c>
      <c r="F35" s="993"/>
    </row>
    <row r="36" spans="1:6" ht="14.25" thickBot="1" x14ac:dyDescent="0.3">
      <c r="A36" s="529" t="s">
        <v>1522</v>
      </c>
      <c r="B36" s="769"/>
      <c r="C36" s="992">
        <f t="shared" si="2"/>
        <v>27</v>
      </c>
      <c r="D36" s="992"/>
      <c r="E36" s="992">
        <f t="shared" ref="E36" si="14">E18</f>
        <v>0.03</v>
      </c>
      <c r="F36" s="992"/>
    </row>
    <row r="37" spans="1:6" ht="14.25" thickBot="1" x14ac:dyDescent="0.3">
      <c r="A37" s="4" t="s">
        <v>339</v>
      </c>
      <c r="B37" s="152"/>
      <c r="C37" s="995">
        <v>479</v>
      </c>
      <c r="D37" s="995"/>
      <c r="E37" s="995">
        <v>0.53</v>
      </c>
      <c r="F37" s="995"/>
    </row>
    <row r="38" spans="1:6" x14ac:dyDescent="0.25">
      <c r="A38" s="997"/>
      <c r="B38" s="997"/>
      <c r="C38" s="997"/>
      <c r="D38" s="989" t="s">
        <v>235</v>
      </c>
      <c r="E38" s="989"/>
      <c r="F38" s="989"/>
    </row>
  </sheetData>
  <mergeCells count="70">
    <mergeCell ref="C37:D37"/>
    <mergeCell ref="E37:F37"/>
    <mergeCell ref="A38:C38"/>
    <mergeCell ref="D38:F38"/>
    <mergeCell ref="C34:D34"/>
    <mergeCell ref="E34:F34"/>
    <mergeCell ref="C35:D35"/>
    <mergeCell ref="E35:F35"/>
    <mergeCell ref="E36:F36"/>
    <mergeCell ref="C31:D31"/>
    <mergeCell ref="E31:F31"/>
    <mergeCell ref="C32:D32"/>
    <mergeCell ref="E32:F32"/>
    <mergeCell ref="C33:D33"/>
    <mergeCell ref="E33:F33"/>
    <mergeCell ref="C28:D28"/>
    <mergeCell ref="E28:F28"/>
    <mergeCell ref="C29:D29"/>
    <mergeCell ref="E29:F29"/>
    <mergeCell ref="C30:D30"/>
    <mergeCell ref="E30:F30"/>
    <mergeCell ref="C25:D25"/>
    <mergeCell ref="E25:F25"/>
    <mergeCell ref="C26:D26"/>
    <mergeCell ref="E26:F26"/>
    <mergeCell ref="C27:D27"/>
    <mergeCell ref="E27:F27"/>
    <mergeCell ref="C22:D22"/>
    <mergeCell ref="E22:F22"/>
    <mergeCell ref="C23:D23"/>
    <mergeCell ref="E23:F23"/>
    <mergeCell ref="C24:D24"/>
    <mergeCell ref="E24:F24"/>
    <mergeCell ref="E18:F18"/>
    <mergeCell ref="C19:D19"/>
    <mergeCell ref="E19:F19"/>
    <mergeCell ref="A20:C20"/>
    <mergeCell ref="D20:F20"/>
    <mergeCell ref="E15:F15"/>
    <mergeCell ref="C16:D16"/>
    <mergeCell ref="E16:F16"/>
    <mergeCell ref="C17:D17"/>
    <mergeCell ref="E17:F17"/>
    <mergeCell ref="A3:E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A21:D21"/>
    <mergeCell ref="C18:D18"/>
    <mergeCell ref="C36:D36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6"/>
  <dimension ref="A3:O69"/>
  <sheetViews>
    <sheetView showGridLines="0" topLeftCell="A13" zoomScale="90" zoomScaleNormal="90" workbookViewId="0">
      <selection activeCell="G30" sqref="G30"/>
    </sheetView>
  </sheetViews>
  <sheetFormatPr defaultColWidth="9.140625" defaultRowHeight="13.5" x14ac:dyDescent="0.25"/>
  <cols>
    <col min="1" max="1" width="34.5703125" style="34" customWidth="1"/>
    <col min="2" max="11" width="10" style="34" customWidth="1"/>
    <col min="12" max="16384" width="9.140625" style="34"/>
  </cols>
  <sheetData>
    <row r="3" spans="1:15" x14ac:dyDescent="0.25">
      <c r="A3" s="110"/>
      <c r="L3" s="300"/>
      <c r="M3" s="300"/>
      <c r="N3" s="300"/>
      <c r="O3" s="300"/>
    </row>
    <row r="4" spans="1:15" ht="14.25" thickBot="1" x14ac:dyDescent="0.3">
      <c r="A4" s="990" t="s">
        <v>1267</v>
      </c>
      <c r="B4" s="990"/>
      <c r="C4" s="990"/>
      <c r="D4" s="990"/>
      <c r="E4" s="990"/>
      <c r="F4" s="990"/>
      <c r="G4" s="990"/>
      <c r="H4" s="990"/>
      <c r="I4" s="990"/>
      <c r="J4" s="990"/>
      <c r="K4" s="990"/>
      <c r="L4" s="810"/>
      <c r="M4" s="810"/>
      <c r="N4" s="810"/>
      <c r="O4" s="300"/>
    </row>
    <row r="5" spans="1:15" ht="15.75" customHeight="1" x14ac:dyDescent="0.25">
      <c r="A5" s="7"/>
      <c r="B5" s="194" t="s">
        <v>52</v>
      </c>
      <c r="C5" s="999" t="s">
        <v>53</v>
      </c>
      <c r="D5" s="999"/>
      <c r="E5" s="999"/>
      <c r="F5" s="999" t="s">
        <v>1216</v>
      </c>
      <c r="G5" s="999"/>
      <c r="H5" s="999"/>
      <c r="I5" s="999" t="s">
        <v>1215</v>
      </c>
      <c r="J5" s="999"/>
      <c r="K5" s="999"/>
      <c r="L5" s="300"/>
      <c r="M5" s="300"/>
      <c r="N5" s="300"/>
      <c r="O5" s="300"/>
    </row>
    <row r="6" spans="1:15" ht="14.25" thickBot="1" x14ac:dyDescent="0.3">
      <c r="A6" s="7"/>
      <c r="B6" s="194">
        <v>2018</v>
      </c>
      <c r="C6" s="809">
        <v>2019</v>
      </c>
      <c r="D6" s="809">
        <v>2020</v>
      </c>
      <c r="E6" s="809">
        <v>2021</v>
      </c>
      <c r="F6" s="809">
        <f t="shared" ref="F6:K6" si="0">C6</f>
        <v>2019</v>
      </c>
      <c r="G6" s="809">
        <f t="shared" si="0"/>
        <v>2020</v>
      </c>
      <c r="H6" s="809">
        <f t="shared" si="0"/>
        <v>2021</v>
      </c>
      <c r="I6" s="809">
        <f t="shared" si="0"/>
        <v>2019</v>
      </c>
      <c r="J6" s="809">
        <f t="shared" si="0"/>
        <v>2020</v>
      </c>
      <c r="K6" s="809">
        <f t="shared" si="0"/>
        <v>2021</v>
      </c>
      <c r="L6" s="30"/>
    </row>
    <row r="7" spans="1:15" x14ac:dyDescent="0.25">
      <c r="A7" s="195" t="s">
        <v>1163</v>
      </c>
      <c r="B7" s="207">
        <f>SUM(B8:B11)</f>
        <v>38.245817813556449</v>
      </c>
      <c r="C7" s="207">
        <f>SUM(C8:C11)</f>
        <v>37.676525223882479</v>
      </c>
      <c r="D7" s="208">
        <f t="shared" ref="D7:K7" si="1">SUM(D8:D11)</f>
        <v>37.965705797190466</v>
      </c>
      <c r="E7" s="209">
        <f t="shared" si="1"/>
        <v>37.101139401971452</v>
      </c>
      <c r="F7" s="208">
        <f>SUM(F8:F11)</f>
        <v>37.671106713267534</v>
      </c>
      <c r="G7" s="208">
        <f t="shared" si="1"/>
        <v>37.944181618901716</v>
      </c>
      <c r="H7" s="208">
        <f t="shared" si="1"/>
        <v>37.100169181613055</v>
      </c>
      <c r="I7" s="770">
        <f>SUM(I8:I11)</f>
        <v>-5.4185106149489126E-3</v>
      </c>
      <c r="J7" s="771">
        <f t="shared" si="1"/>
        <v>-2.1524178288751417E-2</v>
      </c>
      <c r="K7" s="771">
        <f t="shared" si="1"/>
        <v>-9.7022035839944287E-4</v>
      </c>
      <c r="L7" s="465"/>
    </row>
    <row r="8" spans="1:15" x14ac:dyDescent="0.25">
      <c r="A8" s="196" t="s">
        <v>536</v>
      </c>
      <c r="B8" s="692">
        <f>ESA2010_source!O9/ESA2010_source!O90*100</f>
        <v>17.883842599400428</v>
      </c>
      <c r="C8" s="692">
        <f>ESA2010_source!T9/ESA2010_source!P90*100</f>
        <v>17.720538027899831</v>
      </c>
      <c r="D8" s="693">
        <f>ESA2010_source!U9/ESA2010_source!Q90*100</f>
        <v>17.496736211384835</v>
      </c>
      <c r="E8" s="693">
        <f>ESA2010_source!V9/ESA2010_source!R90*100</f>
        <v>17.156038004613766</v>
      </c>
      <c r="F8" s="692">
        <f>ESA2010_source!P9/ESA2010_source!P90*100</f>
        <v>17.836032408249554</v>
      </c>
      <c r="G8" s="693">
        <f>ESA2010_source!Q9/ESA2010_source!Q90*100</f>
        <v>17.546678141347112</v>
      </c>
      <c r="H8" s="694">
        <f>ESA2010_source!R9/ESA2010_source!R90*100</f>
        <v>17.203024049827832</v>
      </c>
      <c r="I8" s="713">
        <f t="shared" ref="I8" si="2">F8-C8</f>
        <v>0.11549438034972326</v>
      </c>
      <c r="J8" s="714">
        <f t="shared" ref="J8" si="3">G8-D8</f>
        <v>4.9941929962276532E-2</v>
      </c>
      <c r="K8" s="714">
        <f t="shared" ref="K8" si="4">H8-E8</f>
        <v>4.6986045214065797E-2</v>
      </c>
    </row>
    <row r="9" spans="1:15" x14ac:dyDescent="0.25">
      <c r="A9" s="196" t="s">
        <v>584</v>
      </c>
      <c r="B9" s="692">
        <f>ESA2010_source!O24/ESA2010_source!O90*100</f>
        <v>14.667534209399882</v>
      </c>
      <c r="C9" s="692">
        <f>ESA2010_source!T24/ESA2010_source!P90*100</f>
        <v>14.386353749614061</v>
      </c>
      <c r="D9" s="693">
        <f>ESA2010_source!U24/ESA2010_source!Q90*100</f>
        <v>14.165747014183289</v>
      </c>
      <c r="E9" s="694">
        <f>ESA2010_source!V24/ESA2010_source!R90*100</f>
        <v>13.948243129441117</v>
      </c>
      <c r="F9" s="693">
        <f>ESA2010_source!P24/ESA2010_source!P90*100</f>
        <v>14.337250674687303</v>
      </c>
      <c r="G9" s="693">
        <f>ESA2010_source!Q24/ESA2010_source!Q90*100</f>
        <v>14.119458182712673</v>
      </c>
      <c r="H9" s="693">
        <f>ESA2010_source!R24/ESA2010_source!R90*100</f>
        <v>13.855507519883265</v>
      </c>
      <c r="I9" s="713">
        <f t="shared" ref="I9:I11" si="5">F9-C9</f>
        <v>-4.9103074926758694E-2</v>
      </c>
      <c r="J9" s="714">
        <f t="shared" ref="J9:J11" si="6">G9-D9</f>
        <v>-4.6288831470615577E-2</v>
      </c>
      <c r="K9" s="714">
        <f t="shared" ref="K9:K11" si="7">H9-E9</f>
        <v>-9.2735609557852428E-2</v>
      </c>
    </row>
    <row r="10" spans="1:15" x14ac:dyDescent="0.25">
      <c r="A10" s="196" t="s">
        <v>537</v>
      </c>
      <c r="B10" s="692">
        <f>ESA2010_source!O30/ESA2010_source!O90*100</f>
        <v>4.6303904418516115</v>
      </c>
      <c r="C10" s="692">
        <f>ESA2010_source!T30/ESA2010_source!P90*100</f>
        <v>4.5133245484984696</v>
      </c>
      <c r="D10" s="693">
        <f>ESA2010_source!U30/ESA2010_source!Q90*100</f>
        <v>4.3216463275648005</v>
      </c>
      <c r="E10" s="694">
        <f>ESA2010_source!V30/ESA2010_source!R90*100</f>
        <v>4.1307455850442771</v>
      </c>
      <c r="F10" s="693">
        <f>ESA2010_source!P30/ESA2010_source!P90*100</f>
        <v>4.4957030934893965</v>
      </c>
      <c r="G10" s="693">
        <f>ESA2010_source!Q30/ESA2010_source!Q90*100</f>
        <v>4.3549872555755051</v>
      </c>
      <c r="H10" s="693">
        <f>ESA2010_source!R30/ESA2010_source!R90*100</f>
        <v>4.2363753658168486</v>
      </c>
      <c r="I10" s="713">
        <f>F10-C10</f>
        <v>-1.7621455009073195E-2</v>
      </c>
      <c r="J10" s="714">
        <f t="shared" si="6"/>
        <v>3.3340928010704651E-2</v>
      </c>
      <c r="K10" s="714">
        <f t="shared" si="7"/>
        <v>0.10562978077257146</v>
      </c>
    </row>
    <row r="11" spans="1:15" ht="14.25" thickBot="1" x14ac:dyDescent="0.3">
      <c r="A11" s="197" t="s">
        <v>538</v>
      </c>
      <c r="B11" s="695">
        <f>ESA2010_source!O37/ESA2010_source!O90*100</f>
        <v>1.0640505629045285</v>
      </c>
      <c r="C11" s="695">
        <f>ESA2010_source!T37/ESA2010_source!P90*100</f>
        <v>1.0563088978701203</v>
      </c>
      <c r="D11" s="696">
        <f>ESA2010_source!U37/ESA2010_source!Q90*100</f>
        <v>1.9815762440575453</v>
      </c>
      <c r="E11" s="697">
        <f>ESA2010_source!V37/ESA2010_source!R90*100</f>
        <v>1.8661126828722934</v>
      </c>
      <c r="F11" s="696">
        <f>ESA2010_source!P37/ESA2010_source!P90*100</f>
        <v>1.00212053684128</v>
      </c>
      <c r="G11" s="696">
        <f>ESA2010_source!Q37/ESA2010_source!Q90*100</f>
        <v>1.9230580392664283</v>
      </c>
      <c r="H11" s="696">
        <f>ESA2010_source!R37/ESA2010_source!R90*100</f>
        <v>1.8052622460851091</v>
      </c>
      <c r="I11" s="715">
        <f t="shared" si="5"/>
        <v>-5.4188361028840282E-2</v>
      </c>
      <c r="J11" s="716">
        <f t="shared" si="6"/>
        <v>-5.8518204791117023E-2</v>
      </c>
      <c r="K11" s="716">
        <f t="shared" si="7"/>
        <v>-6.085043678718427E-2</v>
      </c>
    </row>
    <row r="12" spans="1:15" x14ac:dyDescent="0.25">
      <c r="A12" s="198" t="s">
        <v>54</v>
      </c>
      <c r="B12" s="199">
        <f>ESA2010_source!O43*100</f>
        <v>39.044919939356731</v>
      </c>
      <c r="C12" s="200">
        <f>ESA2010_source!T43*100</f>
        <v>37.033709433912712</v>
      </c>
      <c r="D12" s="201">
        <f>ESA2010_source!U43*100</f>
        <v>37.087839247451178</v>
      </c>
      <c r="E12" s="202">
        <f>ESA2010_source!V43*100</f>
        <v>36.027665508118794</v>
      </c>
      <c r="F12" s="200">
        <f>ESA2010_source!P43*100</f>
        <v>37.986283398658863</v>
      </c>
      <c r="G12" s="199">
        <f>ESA2010_source!Q43*100</f>
        <v>37.944181618901709</v>
      </c>
      <c r="H12" s="202">
        <f>ESA2010_source!R43*100</f>
        <v>37.100169181613055</v>
      </c>
      <c r="I12" s="772">
        <f>F12-C12</f>
        <v>0.95257396474615064</v>
      </c>
      <c r="J12" s="773">
        <f t="shared" ref="J12:J22" si="8">G12-D12</f>
        <v>0.85634237145053049</v>
      </c>
      <c r="K12" s="774">
        <f t="shared" ref="K12" si="9">H12-E12</f>
        <v>1.0725036734942606</v>
      </c>
    </row>
    <row r="13" spans="1:15" x14ac:dyDescent="0.25">
      <c r="A13" s="198" t="s">
        <v>55</v>
      </c>
      <c r="B13" s="698">
        <f>ESA2010_source!O44/ESA2010_source!O90*100</f>
        <v>36.302224862338399</v>
      </c>
      <c r="C13" s="692">
        <f>ESA2010_source!T44/ESA2010_source!P$90*100</f>
        <v>34.608130322480527</v>
      </c>
      <c r="D13" s="698">
        <f>ESA2010_source!U44/ESA2010_source!Q$90*100</f>
        <v>34.23068836778836</v>
      </c>
      <c r="E13" s="694">
        <f>ESA2010_source!V44/ESA2010_source!R$90*100</f>
        <v>33.29713010911739</v>
      </c>
      <c r="F13" s="692">
        <f>ESA2010_source!P44/ESA2010_source!P90*100</f>
        <v>35.072060444184608</v>
      </c>
      <c r="G13" s="693">
        <f>ESA2010_source!Q44/ESA2010_source!Q90*100</f>
        <v>34.693335671874856</v>
      </c>
      <c r="H13" s="694">
        <f>ESA2010_source!R44/ESA2010_source!R90*100</f>
        <v>33.81017912726282</v>
      </c>
      <c r="I13" s="713">
        <f t="shared" ref="I13:I21" si="10">F13-C13</f>
        <v>0.46393012170408099</v>
      </c>
      <c r="J13" s="717">
        <f t="shared" ref="J13:J21" si="11">G13-D13</f>
        <v>0.46264730408649513</v>
      </c>
      <c r="K13" s="714">
        <f t="shared" ref="K13:K21" si="12">H13-E13</f>
        <v>0.51304901814543058</v>
      </c>
    </row>
    <row r="14" spans="1:15" x14ac:dyDescent="0.25">
      <c r="A14" s="203" t="s">
        <v>56</v>
      </c>
      <c r="B14" s="698">
        <f>ESA2010_source!O45/ESA2010_source!O90*100</f>
        <v>9.1072161346955411</v>
      </c>
      <c r="C14" s="692">
        <f>ESA2010_source!T45/ESA2010_source!P$90*100</f>
        <v>8.7069387896952257</v>
      </c>
      <c r="D14" s="698">
        <f>ESA2010_source!U45/ESA2010_source!Q$90*100</f>
        <v>8.8520793474983517</v>
      </c>
      <c r="E14" s="694">
        <f>ESA2010_source!V45/ESA2010_source!R$90*100</f>
        <v>8.7747272566154173</v>
      </c>
      <c r="F14" s="692">
        <f>ESA2010_source!P45/ESA2010_source!P90*100</f>
        <v>8.780667811749975</v>
      </c>
      <c r="G14" s="693">
        <f>ESA2010_source!Q45/ESA2010_source!Q90*100</f>
        <v>8.8616589059491773</v>
      </c>
      <c r="H14" s="694">
        <f>ESA2010_source!R45/ESA2010_source!R90*100</f>
        <v>8.6149664401711625</v>
      </c>
      <c r="I14" s="713">
        <f t="shared" si="10"/>
        <v>7.3729022054749294E-2</v>
      </c>
      <c r="J14" s="717">
        <f t="shared" si="11"/>
        <v>9.5795584508255871E-3</v>
      </c>
      <c r="K14" s="714">
        <f t="shared" si="12"/>
        <v>-0.15976081644425477</v>
      </c>
    </row>
    <row r="15" spans="1:15" x14ac:dyDescent="0.25">
      <c r="A15" s="203" t="s">
        <v>57</v>
      </c>
      <c r="B15" s="698">
        <f>ESA2010_source!O48/ESA2010_source!O90*100</f>
        <v>5.3621432851795383</v>
      </c>
      <c r="C15" s="692">
        <f>ESA2010_source!T48/ESA2010_source!P$90*100</f>
        <v>5.0679282926903699</v>
      </c>
      <c r="D15" s="698">
        <f>ESA2010_source!U48/ESA2010_source!Q$90*100</f>
        <v>4.8831308800761075</v>
      </c>
      <c r="E15" s="694">
        <f>ESA2010_source!V48/ESA2010_source!R$90*100</f>
        <v>4.8203867065712078</v>
      </c>
      <c r="F15" s="692">
        <f>ESA2010_source!P48/ESA2010_source!P90*100</f>
        <v>5.3111548633578689</v>
      </c>
      <c r="G15" s="693">
        <f>ESA2010_source!Q48/ESA2010_source!Q90*100</f>
        <v>5.2450731350411237</v>
      </c>
      <c r="H15" s="694">
        <f>ESA2010_source!R48/ESA2010_source!R90*100</f>
        <v>5.1866029424478493</v>
      </c>
      <c r="I15" s="713">
        <f t="shared" si="10"/>
        <v>0.24322657066749898</v>
      </c>
      <c r="J15" s="717">
        <f t="shared" si="11"/>
        <v>0.3619422549650162</v>
      </c>
      <c r="K15" s="714">
        <f t="shared" si="12"/>
        <v>0.36621623587664143</v>
      </c>
    </row>
    <row r="16" spans="1:15" x14ac:dyDescent="0.25">
      <c r="A16" s="203" t="s">
        <v>58</v>
      </c>
      <c r="B16" s="698">
        <f>ESA2010_source!O52/ESA2010_source!O90*100</f>
        <v>0.43828885112324001</v>
      </c>
      <c r="C16" s="692">
        <f>ESA2010_source!T52/ESA2010_source!P$90*100</f>
        <v>0.3995240688787165</v>
      </c>
      <c r="D16" s="698">
        <f>ESA2010_source!U52/ESA2010_source!Q$90*100</f>
        <v>0.38874008154969858</v>
      </c>
      <c r="E16" s="694">
        <f>ESA2010_source!V52/ESA2010_source!R$90*100</f>
        <v>0.27171314493808157</v>
      </c>
      <c r="F16" s="692">
        <f>ESA2010_source!P52/ESA2010_source!P90*100</f>
        <v>0.40262505113827241</v>
      </c>
      <c r="G16" s="693">
        <f>ESA2010_source!Q52/ESA2010_source!Q90*100</f>
        <v>0.38861100031969614</v>
      </c>
      <c r="H16" s="694">
        <f>ESA2010_source!R52/ESA2010_source!R90*100</f>
        <v>0.26949514412403869</v>
      </c>
      <c r="I16" s="713">
        <f t="shared" si="10"/>
        <v>3.1009822595559067E-3</v>
      </c>
      <c r="J16" s="717">
        <f t="shared" si="11"/>
        <v>-1.2908123000243688E-4</v>
      </c>
      <c r="K16" s="714">
        <f t="shared" si="12"/>
        <v>-2.2180008140428864E-3</v>
      </c>
    </row>
    <row r="17" spans="1:11" x14ac:dyDescent="0.25">
      <c r="A17" s="203" t="s">
        <v>59</v>
      </c>
      <c r="B17" s="698">
        <f>ESA2010_source!O59/ESA2010_source!O90*100</f>
        <v>1.2674870324525316</v>
      </c>
      <c r="C17" s="692">
        <f>ESA2010_source!T59/ESA2010_source!P$90*100</f>
        <v>1.1935180988296663</v>
      </c>
      <c r="D17" s="698">
        <f>ESA2010_source!U59/ESA2010_source!Q$90*100</f>
        <v>1.087798872201877</v>
      </c>
      <c r="E17" s="694">
        <f>ESA2010_source!V59/ESA2010_source!R$90*100</f>
        <v>1.0594995220079289</v>
      </c>
      <c r="F17" s="692">
        <f>ESA2010_source!P59/ESA2010_source!P90*100</f>
        <v>1.1935180988296663</v>
      </c>
      <c r="G17" s="693">
        <f>ESA2010_source!Q59/ESA2010_source!Q90*100</f>
        <v>1.087798872201877</v>
      </c>
      <c r="H17" s="694">
        <f>ESA2010_source!R59/ESA2010_source!R90*100</f>
        <v>1.0594995220079289</v>
      </c>
      <c r="I17" s="713">
        <f t="shared" si="10"/>
        <v>0</v>
      </c>
      <c r="J17" s="717">
        <f t="shared" si="11"/>
        <v>0</v>
      </c>
      <c r="K17" s="714">
        <f t="shared" si="12"/>
        <v>0</v>
      </c>
    </row>
    <row r="18" spans="1:11" x14ac:dyDescent="0.25">
      <c r="A18" s="203" t="s">
        <v>60</v>
      </c>
      <c r="B18" s="698">
        <f>ESA2010_source!O61/ESA2010_source!O90*100</f>
        <v>18.134950289242958</v>
      </c>
      <c r="C18" s="692">
        <f>ESA2010_source!T61/ESA2010_source!P$90*100</f>
        <v>17.222531613717397</v>
      </c>
      <c r="D18" s="698">
        <f>ESA2010_source!U61/ESA2010_source!Q$90*100</f>
        <v>16.647274593026832</v>
      </c>
      <c r="E18" s="694">
        <f>ESA2010_source!V61/ESA2010_source!R$90*100</f>
        <v>16.110746651167908</v>
      </c>
      <c r="F18" s="692">
        <f>ESA2010_source!P61/ESA2010_source!P90*100</f>
        <v>17.273324533418183</v>
      </c>
      <c r="G18" s="693">
        <f>ESA2010_source!Q61/ESA2010_source!Q90*100</f>
        <v>16.684637415828139</v>
      </c>
      <c r="H18" s="694">
        <f>ESA2010_source!R61/ESA2010_source!R90*100</f>
        <v>16.159429244354197</v>
      </c>
      <c r="I18" s="713">
        <f t="shared" si="10"/>
        <v>5.0792919700786143E-2</v>
      </c>
      <c r="J18" s="717">
        <f t="shared" si="11"/>
        <v>3.7362822801306095E-2</v>
      </c>
      <c r="K18" s="714">
        <f t="shared" si="12"/>
        <v>4.8682593186288869E-2</v>
      </c>
    </row>
    <row r="19" spans="1:11" ht="16.5" customHeight="1" x14ac:dyDescent="0.25">
      <c r="A19" s="203" t="s">
        <v>539</v>
      </c>
      <c r="B19" s="698">
        <f>ESA2010_source!O62/ESA2010_source!O90*100</f>
        <v>13.173794935949665</v>
      </c>
      <c r="C19" s="692">
        <f>ESA2010_source!T62/ESA2010_source!P$90*100</f>
        <v>12.492599148105107</v>
      </c>
      <c r="D19" s="698">
        <f>ESA2010_source!U62/ESA2010_source!Q$90*100</f>
        <v>12.053127628336856</v>
      </c>
      <c r="E19" s="694">
        <f>ESA2010_source!V62/ESA2010_source!R$90*100</f>
        <v>11.655201844914142</v>
      </c>
      <c r="F19" s="692">
        <f>ESA2010_source!P62/ESA2010_source!P90*100</f>
        <v>12.492599148105107</v>
      </c>
      <c r="G19" s="693">
        <f>ESA2010_source!Q62/ESA2010_source!Q90*100</f>
        <v>12.053127628336856</v>
      </c>
      <c r="H19" s="694">
        <f>ESA2010_source!R62/ESA2010_source!R90*100</f>
        <v>11.655201844914142</v>
      </c>
      <c r="I19" s="713">
        <f t="shared" si="10"/>
        <v>0</v>
      </c>
      <c r="J19" s="717">
        <f t="shared" si="11"/>
        <v>0</v>
      </c>
      <c r="K19" s="714">
        <f t="shared" si="12"/>
        <v>0</v>
      </c>
    </row>
    <row r="20" spans="1:11" x14ac:dyDescent="0.25">
      <c r="A20" s="203" t="s">
        <v>61</v>
      </c>
      <c r="B20" s="698">
        <f>ESA2010_source!O77/ESA2010_source!O90*100</f>
        <v>4.961155353293293</v>
      </c>
      <c r="C20" s="692">
        <f>ESA2010_source!T77/ESA2010_source!P$90*100</f>
        <v>4.729932465612289</v>
      </c>
      <c r="D20" s="698">
        <f>ESA2010_source!U77/ESA2010_source!Q$90*100</f>
        <v>4.594146964689978</v>
      </c>
      <c r="E20" s="694">
        <f>ESA2010_source!V77/ESA2010_source!R$90*100</f>
        <v>4.4555448062537639</v>
      </c>
      <c r="F20" s="692">
        <f>ESA2010_source!P77/ESA2010_source!P90*100</f>
        <v>4.7807253853130751</v>
      </c>
      <c r="G20" s="693">
        <f>ESA2010_source!Q77/ESA2010_source!Q90*100</f>
        <v>4.6315097874912841</v>
      </c>
      <c r="H20" s="694">
        <f>ESA2010_source!R77/ESA2010_source!R90*100</f>
        <v>4.5042273994400537</v>
      </c>
      <c r="I20" s="713">
        <f t="shared" si="10"/>
        <v>5.0792919700786143E-2</v>
      </c>
      <c r="J20" s="717">
        <f t="shared" si="11"/>
        <v>3.7362822801306095E-2</v>
      </c>
      <c r="K20" s="714">
        <f t="shared" si="12"/>
        <v>4.8682593186289758E-2</v>
      </c>
    </row>
    <row r="21" spans="1:11" ht="14.25" thickBot="1" x14ac:dyDescent="0.3">
      <c r="A21" s="204" t="s">
        <v>62</v>
      </c>
      <c r="B21" s="696">
        <f>ESA2010_source!O78/ESA2010_source!O90*100</f>
        <v>1.8913931812745417</v>
      </c>
      <c r="C21" s="695">
        <f>ESA2010_source!T78/ESA2010_source!P$90*100</f>
        <v>1.9210228565120038</v>
      </c>
      <c r="D21" s="696">
        <f>ESA2010_source!U78/ESA2010_source!Q$90*100</f>
        <v>2.2745245871425341</v>
      </c>
      <c r="E21" s="697">
        <f>ESA2010_source!V78/ESA2010_source!R$90*100</f>
        <v>2.1682233541230449</v>
      </c>
      <c r="F21" s="695">
        <f>ESA2010_source!P78/ESA2010_source!P90*100</f>
        <v>2.0141034835334937</v>
      </c>
      <c r="G21" s="696">
        <f>ESA2010_source!Q78/ESA2010_source!Q90*100</f>
        <v>2.3284163362418808</v>
      </c>
      <c r="H21" s="697">
        <f>ESA2010_source!R78/ESA2010_source!R90*100</f>
        <v>2.4283523604638413</v>
      </c>
      <c r="I21" s="715">
        <f t="shared" si="10"/>
        <v>9.3080627021489892E-2</v>
      </c>
      <c r="J21" s="716">
        <f t="shared" si="11"/>
        <v>5.3891749099346686E-2</v>
      </c>
      <c r="K21" s="716">
        <f t="shared" si="12"/>
        <v>0.26012900634079639</v>
      </c>
    </row>
    <row r="22" spans="1:11" x14ac:dyDescent="0.25">
      <c r="A22" s="198" t="s">
        <v>63</v>
      </c>
      <c r="B22" s="698">
        <f>ESA2010_source!O81/ESA2010_source!L90*100</f>
        <v>3.0471092441742162</v>
      </c>
      <c r="C22" s="692">
        <f>ESA2010_source!T81/ESA2010_source!P$90*100</f>
        <v>2.4255791114321879</v>
      </c>
      <c r="D22" s="698">
        <f>ESA2010_source!U81/ESA2010_source!Q$90*100</f>
        <v>2.8571508796628158</v>
      </c>
      <c r="E22" s="694">
        <f>ESA2010_source!V81/ESA2010_source!R$90*100</f>
        <v>2.7305353990014005</v>
      </c>
      <c r="F22" s="698">
        <f>ESA2010_source!P81/ESA2010_source!P90*100</f>
        <v>2.9142229544742544</v>
      </c>
      <c r="G22" s="698">
        <f>ESA2010_source!Q81/ESA2010_source!Q90*100</f>
        <v>3.250845947026864</v>
      </c>
      <c r="H22" s="698">
        <f>ESA2010_source!R81/ESA2010_source!R90*100</f>
        <v>3.2899900543502336</v>
      </c>
      <c r="I22" s="713">
        <f>F22-C22</f>
        <v>0.48864384304206654</v>
      </c>
      <c r="J22" s="717">
        <f t="shared" si="8"/>
        <v>0.39369506736404825</v>
      </c>
      <c r="K22" s="714">
        <f>H22-E22</f>
        <v>0.5594546553488331</v>
      </c>
    </row>
    <row r="23" spans="1:11" x14ac:dyDescent="0.25">
      <c r="A23" s="203" t="s">
        <v>64</v>
      </c>
      <c r="B23" s="698">
        <f>ESA2010_source!O82/ESA2010_source!L90*100</f>
        <v>2.7444167054016813</v>
      </c>
      <c r="C23" s="692">
        <f>ESA2010_source!T82/ESA2010_source!P$90*100</f>
        <v>2.2136365148350095</v>
      </c>
      <c r="D23" s="698">
        <f>ESA2010_source!U82/ESA2010_source!Q$90*100</f>
        <v>2.6508915884569024</v>
      </c>
      <c r="E23" s="694">
        <f>ESA2010_source!V82/ESA2010_source!R$90*100</f>
        <v>2.5291632426890689</v>
      </c>
      <c r="F23" s="698">
        <f>ESA2010_source!P82/ESA2010_source!P90*100</f>
        <v>2.7011638897901653</v>
      </c>
      <c r="G23" s="698">
        <f>ESA2010_source!Q82/ESA2010_source!Q90*100</f>
        <v>3.0345485917291528</v>
      </c>
      <c r="H23" s="698">
        <f>ESA2010_source!R82/ESA2010_source!R90*100</f>
        <v>3.094704564182627</v>
      </c>
      <c r="I23" s="713">
        <f t="shared" ref="I23:I25" si="13">F23-C23</f>
        <v>0.48752737495515586</v>
      </c>
      <c r="J23" s="717">
        <f t="shared" ref="J23:J25" si="14">G23-D23</f>
        <v>0.38365700327225039</v>
      </c>
      <c r="K23" s="714">
        <f>H23-E23</f>
        <v>0.56554132149355807</v>
      </c>
    </row>
    <row r="24" spans="1:11" x14ac:dyDescent="0.25">
      <c r="A24" s="203" t="s">
        <v>65</v>
      </c>
      <c r="B24" s="698">
        <f>ESA2010_source!O83/ESA2010_source!L90*100</f>
        <v>2.7778506844631603</v>
      </c>
      <c r="C24" s="692">
        <f>ESA2010_source!T83/ESA2010_source!P$90*100</f>
        <v>2.2367455866034827</v>
      </c>
      <c r="D24" s="698">
        <f>ESA2010_source!U83/ESA2010_source!Q$90*100</f>
        <v>2.5366258930644321</v>
      </c>
      <c r="E24" s="694">
        <f>ESA2010_source!V83/ESA2010_source!R$90*100</f>
        <v>2.4211396164574439</v>
      </c>
      <c r="F24" s="698">
        <f>ESA2010_source!P83/ESA2010_source!P90*100</f>
        <v>2.7117464418397739</v>
      </c>
      <c r="G24" s="698">
        <f>ESA2010_source!Q83/ESA2010_source!Q90*100</f>
        <v>2.9202828963366829</v>
      </c>
      <c r="H24" s="698">
        <f>ESA2010_source!R83/ESA2010_source!R90*100</f>
        <v>2.986680937951002</v>
      </c>
      <c r="I24" s="713">
        <f t="shared" si="13"/>
        <v>0.47500085523629121</v>
      </c>
      <c r="J24" s="717">
        <f t="shared" si="14"/>
        <v>0.38365700327225083</v>
      </c>
      <c r="K24" s="714">
        <f>H24-E24</f>
        <v>0.56554132149355807</v>
      </c>
    </row>
    <row r="25" spans="1:11" ht="14.25" thickBot="1" x14ac:dyDescent="0.3">
      <c r="A25" s="203" t="s">
        <v>66</v>
      </c>
      <c r="B25" s="696">
        <f>ESA2010_source!O86/ESA2010_source!L90*100</f>
        <v>0.30269253877253516</v>
      </c>
      <c r="C25" s="695">
        <f>ESA2010_source!T86/ESA2010_source!P$90*100</f>
        <v>0.21194259659717812</v>
      </c>
      <c r="D25" s="696">
        <f>ESA2010_source!U86/ESA2010_source!Q$90*100</f>
        <v>0.20625929120591371</v>
      </c>
      <c r="E25" s="697">
        <f>ESA2010_source!V86/ESA2010_source!R$90*100</f>
        <v>0.20137215631233188</v>
      </c>
      <c r="F25" s="696">
        <f>ESA2010_source!P86/ESA2010_source!P90*100</f>
        <v>0.21305906468408911</v>
      </c>
      <c r="G25" s="696">
        <f>ESA2010_source!Q86/ESA2010_source!Q90*100</f>
        <v>0.21629735529771071</v>
      </c>
      <c r="H25" s="696">
        <f>ESA2010_source!R86/ESA2010_source!R90*100</f>
        <v>0.19528549016760652</v>
      </c>
      <c r="I25" s="715">
        <f t="shared" si="13"/>
        <v>1.1164680869109878E-3</v>
      </c>
      <c r="J25" s="716">
        <f t="shared" si="14"/>
        <v>1.0038064091797E-2</v>
      </c>
      <c r="K25" s="716">
        <f t="shared" ref="K25" si="15">H25-E25</f>
        <v>-6.0866661447253612E-3</v>
      </c>
    </row>
    <row r="26" spans="1:11" ht="14.25" thickBot="1" x14ac:dyDescent="0.3">
      <c r="A26" s="206" t="s">
        <v>67</v>
      </c>
      <c r="B26" s="719">
        <f>B7-B12</f>
        <v>-0.79910212580028173</v>
      </c>
      <c r="C26" s="719">
        <f t="shared" ref="C26:K26" si="16">C7-C12</f>
        <v>0.64281578996976663</v>
      </c>
      <c r="D26" s="719">
        <f t="shared" si="16"/>
        <v>0.8778665497392879</v>
      </c>
      <c r="E26" s="720">
        <f t="shared" si="16"/>
        <v>1.0734738938526576</v>
      </c>
      <c r="F26" s="719">
        <f t="shared" si="16"/>
        <v>-0.3151766853913287</v>
      </c>
      <c r="G26" s="719">
        <f t="shared" si="16"/>
        <v>0</v>
      </c>
      <c r="H26" s="720">
        <f t="shared" si="16"/>
        <v>0</v>
      </c>
      <c r="I26" s="775">
        <f t="shared" si="16"/>
        <v>-0.95799247536109955</v>
      </c>
      <c r="J26" s="776">
        <f t="shared" si="16"/>
        <v>-0.87786654973928191</v>
      </c>
      <c r="K26" s="776">
        <f t="shared" si="16"/>
        <v>-1.07347389385266</v>
      </c>
    </row>
    <row r="27" spans="1:11" x14ac:dyDescent="0.25">
      <c r="I27" s="465"/>
      <c r="K27" s="34" t="s">
        <v>19</v>
      </c>
    </row>
    <row r="28" spans="1:11" ht="14.25" thickBot="1" x14ac:dyDescent="0.3">
      <c r="A28" s="806" t="s">
        <v>1268</v>
      </c>
      <c r="B28" s="806"/>
      <c r="C28" s="806"/>
      <c r="D28" s="806"/>
      <c r="E28" s="806"/>
      <c r="F28" s="806"/>
      <c r="G28" s="806"/>
      <c r="H28" s="806"/>
      <c r="I28" s="806"/>
      <c r="J28" s="806"/>
      <c r="K28" s="806"/>
    </row>
    <row r="29" spans="1:11" x14ac:dyDescent="0.25">
      <c r="A29" s="7"/>
      <c r="B29" s="194" t="s">
        <v>1160</v>
      </c>
      <c r="C29" s="1000" t="s">
        <v>1159</v>
      </c>
      <c r="D29" s="1000"/>
      <c r="E29" s="1000"/>
      <c r="F29" s="1000" t="s">
        <v>1161</v>
      </c>
      <c r="G29" s="1000"/>
      <c r="H29" s="1000"/>
      <c r="I29" s="1000" t="s">
        <v>1162</v>
      </c>
      <c r="J29" s="1000"/>
      <c r="K29" s="1000"/>
    </row>
    <row r="30" spans="1:11" ht="14.25" thickBot="1" x14ac:dyDescent="0.3">
      <c r="A30" s="7"/>
      <c r="B30" s="194">
        <f>B6</f>
        <v>2018</v>
      </c>
      <c r="C30" s="809">
        <f t="shared" ref="C30:K30" si="17">C6</f>
        <v>2019</v>
      </c>
      <c r="D30" s="809">
        <f t="shared" si="17"/>
        <v>2020</v>
      </c>
      <c r="E30" s="809">
        <f t="shared" si="17"/>
        <v>2021</v>
      </c>
      <c r="F30" s="809">
        <f t="shared" si="17"/>
        <v>2019</v>
      </c>
      <c r="G30" s="809">
        <f t="shared" si="17"/>
        <v>2020</v>
      </c>
      <c r="H30" s="809">
        <f t="shared" si="17"/>
        <v>2021</v>
      </c>
      <c r="I30" s="809">
        <f t="shared" si="17"/>
        <v>2019</v>
      </c>
      <c r="J30" s="809">
        <f t="shared" si="17"/>
        <v>2020</v>
      </c>
      <c r="K30" s="809">
        <f t="shared" si="17"/>
        <v>2021</v>
      </c>
    </row>
    <row r="31" spans="1:11" x14ac:dyDescent="0.25">
      <c r="A31" s="195" t="s">
        <v>1164</v>
      </c>
      <c r="B31" s="207">
        <f>B7</f>
        <v>38.245817813556449</v>
      </c>
      <c r="C31" s="207">
        <f t="shared" ref="C31:K31" si="18">C7</f>
        <v>37.676525223882479</v>
      </c>
      <c r="D31" s="208">
        <f t="shared" si="18"/>
        <v>37.965705797190466</v>
      </c>
      <c r="E31" s="209">
        <f t="shared" si="18"/>
        <v>37.101139401971452</v>
      </c>
      <c r="F31" s="208">
        <f t="shared" si="18"/>
        <v>37.671106713267534</v>
      </c>
      <c r="G31" s="208">
        <f t="shared" si="18"/>
        <v>37.944181618901716</v>
      </c>
      <c r="H31" s="209">
        <f t="shared" si="18"/>
        <v>37.100169181613055</v>
      </c>
      <c r="I31" s="207">
        <f t="shared" si="18"/>
        <v>-5.4185106149489126E-3</v>
      </c>
      <c r="J31" s="208">
        <f t="shared" si="18"/>
        <v>-2.1524178288751417E-2</v>
      </c>
      <c r="K31" s="208">
        <f t="shared" si="18"/>
        <v>-9.7022035839944287E-4</v>
      </c>
    </row>
    <row r="32" spans="1:11" x14ac:dyDescent="0.25">
      <c r="A32" s="196" t="s">
        <v>540</v>
      </c>
      <c r="B32" s="692">
        <f t="shared" ref="B32:K32" si="19">B8</f>
        <v>17.883842599400428</v>
      </c>
      <c r="C32" s="692">
        <f t="shared" si="19"/>
        <v>17.720538027899831</v>
      </c>
      <c r="D32" s="693">
        <f t="shared" si="19"/>
        <v>17.496736211384835</v>
      </c>
      <c r="E32" s="694">
        <f t="shared" si="19"/>
        <v>17.156038004613766</v>
      </c>
      <c r="F32" s="693">
        <f t="shared" si="19"/>
        <v>17.836032408249554</v>
      </c>
      <c r="G32" s="693">
        <f t="shared" si="19"/>
        <v>17.546678141347112</v>
      </c>
      <c r="H32" s="694">
        <f t="shared" si="19"/>
        <v>17.203024049827832</v>
      </c>
      <c r="I32" s="692">
        <f t="shared" si="19"/>
        <v>0.11549438034972326</v>
      </c>
      <c r="J32" s="693">
        <f t="shared" si="19"/>
        <v>4.9941929962276532E-2</v>
      </c>
      <c r="K32" s="693">
        <f t="shared" si="19"/>
        <v>4.6986045214065797E-2</v>
      </c>
    </row>
    <row r="33" spans="1:11" x14ac:dyDescent="0.25">
      <c r="A33" s="196" t="s">
        <v>1165</v>
      </c>
      <c r="B33" s="692">
        <f t="shared" ref="B33:K33" si="20">B9</f>
        <v>14.667534209399882</v>
      </c>
      <c r="C33" s="692">
        <f t="shared" si="20"/>
        <v>14.386353749614061</v>
      </c>
      <c r="D33" s="693">
        <f t="shared" si="20"/>
        <v>14.165747014183289</v>
      </c>
      <c r="E33" s="694">
        <f t="shared" si="20"/>
        <v>13.948243129441117</v>
      </c>
      <c r="F33" s="693">
        <f t="shared" si="20"/>
        <v>14.337250674687303</v>
      </c>
      <c r="G33" s="693">
        <f t="shared" si="20"/>
        <v>14.119458182712673</v>
      </c>
      <c r="H33" s="694">
        <f t="shared" si="20"/>
        <v>13.855507519883265</v>
      </c>
      <c r="I33" s="692">
        <f t="shared" si="20"/>
        <v>-4.9103074926758694E-2</v>
      </c>
      <c r="J33" s="693">
        <f t="shared" si="20"/>
        <v>-4.6288831470615577E-2</v>
      </c>
      <c r="K33" s="693">
        <f t="shared" si="20"/>
        <v>-9.2735609557852428E-2</v>
      </c>
    </row>
    <row r="34" spans="1:11" ht="16.5" customHeight="1" x14ac:dyDescent="0.25">
      <c r="A34" s="196" t="s">
        <v>541</v>
      </c>
      <c r="B34" s="692">
        <f t="shared" ref="B34:K34" si="21">B10</f>
        <v>4.6303904418516115</v>
      </c>
      <c r="C34" s="692">
        <f t="shared" si="21"/>
        <v>4.5133245484984696</v>
      </c>
      <c r="D34" s="693">
        <f t="shared" si="21"/>
        <v>4.3216463275648005</v>
      </c>
      <c r="E34" s="694">
        <f t="shared" si="21"/>
        <v>4.1307455850442771</v>
      </c>
      <c r="F34" s="693">
        <f t="shared" si="21"/>
        <v>4.4957030934893965</v>
      </c>
      <c r="G34" s="693">
        <f t="shared" si="21"/>
        <v>4.3549872555755051</v>
      </c>
      <c r="H34" s="694">
        <f t="shared" si="21"/>
        <v>4.2363753658168486</v>
      </c>
      <c r="I34" s="692">
        <f t="shared" si="21"/>
        <v>-1.7621455009073195E-2</v>
      </c>
      <c r="J34" s="693">
        <f t="shared" si="21"/>
        <v>3.3340928010704651E-2</v>
      </c>
      <c r="K34" s="693">
        <f t="shared" si="21"/>
        <v>0.10562978077257146</v>
      </c>
    </row>
    <row r="35" spans="1:11" ht="14.25" thickBot="1" x14ac:dyDescent="0.3">
      <c r="A35" s="197" t="s">
        <v>542</v>
      </c>
      <c r="B35" s="695">
        <f t="shared" ref="B35:K35" si="22">B11</f>
        <v>1.0640505629045285</v>
      </c>
      <c r="C35" s="695">
        <f t="shared" si="22"/>
        <v>1.0563088978701203</v>
      </c>
      <c r="D35" s="696">
        <f t="shared" si="22"/>
        <v>1.9815762440575453</v>
      </c>
      <c r="E35" s="697">
        <f t="shared" si="22"/>
        <v>1.8661126828722934</v>
      </c>
      <c r="F35" s="696">
        <f t="shared" si="22"/>
        <v>1.00212053684128</v>
      </c>
      <c r="G35" s="696">
        <f t="shared" si="22"/>
        <v>1.9230580392664283</v>
      </c>
      <c r="H35" s="697">
        <f t="shared" si="22"/>
        <v>1.8052622460851091</v>
      </c>
      <c r="I35" s="695">
        <f t="shared" si="22"/>
        <v>-5.4188361028840282E-2</v>
      </c>
      <c r="J35" s="696">
        <f t="shared" si="22"/>
        <v>-5.8518204791117023E-2</v>
      </c>
      <c r="K35" s="696">
        <f t="shared" si="22"/>
        <v>-6.085043678718427E-2</v>
      </c>
    </row>
    <row r="36" spans="1:11" x14ac:dyDescent="0.25">
      <c r="A36" s="210" t="s">
        <v>431</v>
      </c>
      <c r="B36" s="199">
        <f t="shared" ref="B36:K36" si="23">B12</f>
        <v>39.044919939356731</v>
      </c>
      <c r="C36" s="200">
        <f t="shared" si="23"/>
        <v>37.033709433912712</v>
      </c>
      <c r="D36" s="201">
        <f t="shared" si="23"/>
        <v>37.087839247451178</v>
      </c>
      <c r="E36" s="202">
        <f t="shared" si="23"/>
        <v>36.027665508118794</v>
      </c>
      <c r="F36" s="201">
        <f t="shared" si="23"/>
        <v>37.986283398658863</v>
      </c>
      <c r="G36" s="201">
        <f t="shared" si="23"/>
        <v>37.944181618901709</v>
      </c>
      <c r="H36" s="202">
        <f t="shared" si="23"/>
        <v>37.100169181613055</v>
      </c>
      <c r="I36" s="200">
        <f t="shared" si="23"/>
        <v>0.95257396474615064</v>
      </c>
      <c r="J36" s="201">
        <f t="shared" si="23"/>
        <v>0.85634237145053049</v>
      </c>
      <c r="K36" s="199">
        <f t="shared" si="23"/>
        <v>1.0725036734942606</v>
      </c>
    </row>
    <row r="37" spans="1:11" x14ac:dyDescent="0.25">
      <c r="A37" s="211" t="s">
        <v>345</v>
      </c>
      <c r="B37" s="698">
        <f t="shared" ref="B37:K37" si="24">B13</f>
        <v>36.302224862338399</v>
      </c>
      <c r="C37" s="692">
        <f t="shared" si="24"/>
        <v>34.608130322480527</v>
      </c>
      <c r="D37" s="698">
        <f t="shared" si="24"/>
        <v>34.23068836778836</v>
      </c>
      <c r="E37" s="694">
        <f t="shared" si="24"/>
        <v>33.29713010911739</v>
      </c>
      <c r="F37" s="698">
        <f t="shared" si="24"/>
        <v>35.072060444184608</v>
      </c>
      <c r="G37" s="698">
        <f t="shared" si="24"/>
        <v>34.693335671874856</v>
      </c>
      <c r="H37" s="694">
        <f t="shared" si="24"/>
        <v>33.81017912726282</v>
      </c>
      <c r="I37" s="692">
        <f t="shared" si="24"/>
        <v>0.46393012170408099</v>
      </c>
      <c r="J37" s="698">
        <f t="shared" si="24"/>
        <v>0.46264730408649513</v>
      </c>
      <c r="K37" s="693">
        <f t="shared" si="24"/>
        <v>0.51304901814543058</v>
      </c>
    </row>
    <row r="38" spans="1:11" x14ac:dyDescent="0.25">
      <c r="A38" s="212" t="s">
        <v>346</v>
      </c>
      <c r="B38" s="698">
        <f t="shared" ref="B38:K38" si="25">B14</f>
        <v>9.1072161346955411</v>
      </c>
      <c r="C38" s="692">
        <f t="shared" si="25"/>
        <v>8.7069387896952257</v>
      </c>
      <c r="D38" s="698">
        <f t="shared" si="25"/>
        <v>8.8520793474983517</v>
      </c>
      <c r="E38" s="694">
        <f t="shared" si="25"/>
        <v>8.7747272566154173</v>
      </c>
      <c r="F38" s="698">
        <f t="shared" si="25"/>
        <v>8.780667811749975</v>
      </c>
      <c r="G38" s="698">
        <f t="shared" si="25"/>
        <v>8.8616589059491773</v>
      </c>
      <c r="H38" s="694">
        <f t="shared" si="25"/>
        <v>8.6149664401711625</v>
      </c>
      <c r="I38" s="692">
        <f t="shared" si="25"/>
        <v>7.3729022054749294E-2</v>
      </c>
      <c r="J38" s="698">
        <f t="shared" si="25"/>
        <v>9.5795584508255871E-3</v>
      </c>
      <c r="K38" s="693">
        <f t="shared" si="25"/>
        <v>-0.15976081644425477</v>
      </c>
    </row>
    <row r="39" spans="1:11" x14ac:dyDescent="0.25">
      <c r="A39" s="212" t="s">
        <v>347</v>
      </c>
      <c r="B39" s="698">
        <f t="shared" ref="B39:K39" si="26">B15</f>
        <v>5.3621432851795383</v>
      </c>
      <c r="C39" s="692">
        <f t="shared" si="26"/>
        <v>5.0679282926903699</v>
      </c>
      <c r="D39" s="698">
        <f t="shared" si="26"/>
        <v>4.8831308800761075</v>
      </c>
      <c r="E39" s="694">
        <f t="shared" si="26"/>
        <v>4.8203867065712078</v>
      </c>
      <c r="F39" s="698">
        <f t="shared" si="26"/>
        <v>5.3111548633578689</v>
      </c>
      <c r="G39" s="698">
        <f t="shared" si="26"/>
        <v>5.2450731350411237</v>
      </c>
      <c r="H39" s="694">
        <f t="shared" si="26"/>
        <v>5.1866029424478493</v>
      </c>
      <c r="I39" s="692">
        <f t="shared" si="26"/>
        <v>0.24322657066749898</v>
      </c>
      <c r="J39" s="698">
        <f t="shared" si="26"/>
        <v>0.3619422549650162</v>
      </c>
      <c r="K39" s="693">
        <f t="shared" si="26"/>
        <v>0.36621623587664143</v>
      </c>
    </row>
    <row r="40" spans="1:11" ht="15.75" customHeight="1" x14ac:dyDescent="0.25">
      <c r="A40" s="212" t="s">
        <v>348</v>
      </c>
      <c r="B40" s="698">
        <f t="shared" ref="B40:K40" si="27">B16</f>
        <v>0.43828885112324001</v>
      </c>
      <c r="C40" s="692">
        <f t="shared" si="27"/>
        <v>0.3995240688787165</v>
      </c>
      <c r="D40" s="698">
        <f t="shared" si="27"/>
        <v>0.38874008154969858</v>
      </c>
      <c r="E40" s="694">
        <f t="shared" si="27"/>
        <v>0.27171314493808157</v>
      </c>
      <c r="F40" s="698">
        <f t="shared" si="27"/>
        <v>0.40262505113827241</v>
      </c>
      <c r="G40" s="698">
        <f t="shared" si="27"/>
        <v>0.38861100031969614</v>
      </c>
      <c r="H40" s="694">
        <f t="shared" si="27"/>
        <v>0.26949514412403869</v>
      </c>
      <c r="I40" s="692">
        <f t="shared" si="27"/>
        <v>3.1009822595559067E-3</v>
      </c>
      <c r="J40" s="698">
        <f t="shared" si="27"/>
        <v>-1.2908123000243688E-4</v>
      </c>
      <c r="K40" s="693">
        <f t="shared" si="27"/>
        <v>-2.2180008140428864E-3</v>
      </c>
    </row>
    <row r="41" spans="1:11" ht="15.75" customHeight="1" x14ac:dyDescent="0.25">
      <c r="A41" s="212" t="s">
        <v>349</v>
      </c>
      <c r="B41" s="698">
        <f t="shared" ref="B41:K41" si="28">B17</f>
        <v>1.2674870324525316</v>
      </c>
      <c r="C41" s="692">
        <f t="shared" si="28"/>
        <v>1.1935180988296663</v>
      </c>
      <c r="D41" s="698">
        <f t="shared" si="28"/>
        <v>1.087798872201877</v>
      </c>
      <c r="E41" s="694">
        <f t="shared" si="28"/>
        <v>1.0594995220079289</v>
      </c>
      <c r="F41" s="698">
        <f t="shared" si="28"/>
        <v>1.1935180988296663</v>
      </c>
      <c r="G41" s="698">
        <f t="shared" si="28"/>
        <v>1.087798872201877</v>
      </c>
      <c r="H41" s="694">
        <f t="shared" si="28"/>
        <v>1.0594995220079289</v>
      </c>
      <c r="I41" s="692">
        <f t="shared" si="28"/>
        <v>0</v>
      </c>
      <c r="J41" s="698">
        <f t="shared" si="28"/>
        <v>0</v>
      </c>
      <c r="K41" s="693">
        <f t="shared" si="28"/>
        <v>0</v>
      </c>
    </row>
    <row r="42" spans="1:11" x14ac:dyDescent="0.25">
      <c r="A42" s="212" t="s">
        <v>350</v>
      </c>
      <c r="B42" s="698">
        <f t="shared" ref="B42:K42" si="29">B18</f>
        <v>18.134950289242958</v>
      </c>
      <c r="C42" s="692">
        <f t="shared" si="29"/>
        <v>17.222531613717397</v>
      </c>
      <c r="D42" s="698">
        <f t="shared" si="29"/>
        <v>16.647274593026832</v>
      </c>
      <c r="E42" s="694">
        <f t="shared" si="29"/>
        <v>16.110746651167908</v>
      </c>
      <c r="F42" s="698">
        <f t="shared" si="29"/>
        <v>17.273324533418183</v>
      </c>
      <c r="G42" s="698">
        <f t="shared" si="29"/>
        <v>16.684637415828139</v>
      </c>
      <c r="H42" s="694">
        <f t="shared" si="29"/>
        <v>16.159429244354197</v>
      </c>
      <c r="I42" s="692">
        <f t="shared" si="29"/>
        <v>5.0792919700786143E-2</v>
      </c>
      <c r="J42" s="698">
        <f t="shared" si="29"/>
        <v>3.7362822801306095E-2</v>
      </c>
      <c r="K42" s="693">
        <f t="shared" si="29"/>
        <v>4.8682593186288869E-2</v>
      </c>
    </row>
    <row r="43" spans="1:11" x14ac:dyDescent="0.25">
      <c r="A43" s="212" t="s">
        <v>351</v>
      </c>
      <c r="B43" s="698">
        <f t="shared" ref="B43:K43" si="30">B19</f>
        <v>13.173794935949665</v>
      </c>
      <c r="C43" s="692">
        <f t="shared" si="30"/>
        <v>12.492599148105107</v>
      </c>
      <c r="D43" s="698">
        <f t="shared" si="30"/>
        <v>12.053127628336856</v>
      </c>
      <c r="E43" s="694">
        <f t="shared" si="30"/>
        <v>11.655201844914142</v>
      </c>
      <c r="F43" s="698">
        <f t="shared" si="30"/>
        <v>12.492599148105107</v>
      </c>
      <c r="G43" s="698">
        <f t="shared" si="30"/>
        <v>12.053127628336856</v>
      </c>
      <c r="H43" s="694">
        <f t="shared" si="30"/>
        <v>11.655201844914142</v>
      </c>
      <c r="I43" s="692">
        <f t="shared" si="30"/>
        <v>0</v>
      </c>
      <c r="J43" s="698">
        <f t="shared" si="30"/>
        <v>0</v>
      </c>
      <c r="K43" s="693">
        <f t="shared" si="30"/>
        <v>0</v>
      </c>
    </row>
    <row r="44" spans="1:11" x14ac:dyDescent="0.25">
      <c r="A44" s="212" t="s">
        <v>352</v>
      </c>
      <c r="B44" s="694">
        <f t="shared" ref="B44:K44" si="31">B20</f>
        <v>4.961155353293293</v>
      </c>
      <c r="C44" s="692">
        <f t="shared" si="31"/>
        <v>4.729932465612289</v>
      </c>
      <c r="D44" s="698">
        <f t="shared" si="31"/>
        <v>4.594146964689978</v>
      </c>
      <c r="E44" s="694">
        <f t="shared" si="31"/>
        <v>4.4555448062537639</v>
      </c>
      <c r="F44" s="698">
        <f t="shared" si="31"/>
        <v>4.7807253853130751</v>
      </c>
      <c r="G44" s="698">
        <f t="shared" si="31"/>
        <v>4.6315097874912841</v>
      </c>
      <c r="H44" s="694">
        <f t="shared" si="31"/>
        <v>4.5042273994400537</v>
      </c>
      <c r="I44" s="692">
        <f t="shared" si="31"/>
        <v>5.0792919700786143E-2</v>
      </c>
      <c r="J44" s="698">
        <f t="shared" si="31"/>
        <v>3.7362822801306095E-2</v>
      </c>
      <c r="K44" s="693">
        <f t="shared" si="31"/>
        <v>4.8682593186289758E-2</v>
      </c>
    </row>
    <row r="45" spans="1:11" ht="14.25" thickBot="1" x14ac:dyDescent="0.3">
      <c r="A45" s="213" t="s">
        <v>353</v>
      </c>
      <c r="B45" s="697">
        <f t="shared" ref="B45:K45" si="32">B21</f>
        <v>1.8913931812745417</v>
      </c>
      <c r="C45" s="695">
        <f t="shared" si="32"/>
        <v>1.9210228565120038</v>
      </c>
      <c r="D45" s="696">
        <f t="shared" si="32"/>
        <v>2.2745245871425341</v>
      </c>
      <c r="E45" s="697">
        <f t="shared" si="32"/>
        <v>2.1682233541230449</v>
      </c>
      <c r="F45" s="696">
        <f t="shared" si="32"/>
        <v>2.0141034835334937</v>
      </c>
      <c r="G45" s="696">
        <f t="shared" si="32"/>
        <v>2.3284163362418808</v>
      </c>
      <c r="H45" s="697">
        <f t="shared" si="32"/>
        <v>2.4283523604638413</v>
      </c>
      <c r="I45" s="695">
        <f t="shared" si="32"/>
        <v>9.3080627021489892E-2</v>
      </c>
      <c r="J45" s="696">
        <f t="shared" si="32"/>
        <v>5.3891749099346686E-2</v>
      </c>
      <c r="K45" s="696">
        <f t="shared" si="32"/>
        <v>0.26012900634079639</v>
      </c>
    </row>
    <row r="46" spans="1:11" x14ac:dyDescent="0.25">
      <c r="A46" s="211" t="s">
        <v>354</v>
      </c>
      <c r="B46" s="698">
        <f t="shared" ref="B46:K46" si="33">B22</f>
        <v>3.0471092441742162</v>
      </c>
      <c r="C46" s="692">
        <f t="shared" si="33"/>
        <v>2.4255791114321879</v>
      </c>
      <c r="D46" s="698">
        <f t="shared" si="33"/>
        <v>2.8571508796628158</v>
      </c>
      <c r="E46" s="694">
        <f t="shared" si="33"/>
        <v>2.7305353990014005</v>
      </c>
      <c r="F46" s="698">
        <f t="shared" si="33"/>
        <v>2.9142229544742544</v>
      </c>
      <c r="G46" s="698">
        <f t="shared" si="33"/>
        <v>3.250845947026864</v>
      </c>
      <c r="H46" s="694">
        <f t="shared" si="33"/>
        <v>3.2899900543502336</v>
      </c>
      <c r="I46" s="692">
        <f t="shared" si="33"/>
        <v>0.48864384304206654</v>
      </c>
      <c r="J46" s="698">
        <f t="shared" si="33"/>
        <v>0.39369506736404825</v>
      </c>
      <c r="K46" s="693">
        <f t="shared" si="33"/>
        <v>0.5594546553488331</v>
      </c>
    </row>
    <row r="47" spans="1:11" x14ac:dyDescent="0.25">
      <c r="A47" s="212" t="s">
        <v>355</v>
      </c>
      <c r="B47" s="698">
        <f t="shared" ref="B47:K47" si="34">B23</f>
        <v>2.7444167054016813</v>
      </c>
      <c r="C47" s="692">
        <f t="shared" si="34"/>
        <v>2.2136365148350095</v>
      </c>
      <c r="D47" s="698">
        <f t="shared" si="34"/>
        <v>2.6508915884569024</v>
      </c>
      <c r="E47" s="694">
        <f t="shared" si="34"/>
        <v>2.5291632426890689</v>
      </c>
      <c r="F47" s="698">
        <f t="shared" si="34"/>
        <v>2.7011638897901653</v>
      </c>
      <c r="G47" s="698">
        <f t="shared" si="34"/>
        <v>3.0345485917291528</v>
      </c>
      <c r="H47" s="694">
        <f t="shared" si="34"/>
        <v>3.094704564182627</v>
      </c>
      <c r="I47" s="692">
        <f t="shared" si="34"/>
        <v>0.48752737495515586</v>
      </c>
      <c r="J47" s="698">
        <f t="shared" si="34"/>
        <v>0.38365700327225039</v>
      </c>
      <c r="K47" s="693">
        <f t="shared" si="34"/>
        <v>0.56554132149355807</v>
      </c>
    </row>
    <row r="48" spans="1:11" x14ac:dyDescent="0.25">
      <c r="A48" s="212" t="s">
        <v>356</v>
      </c>
      <c r="B48" s="698">
        <f t="shared" ref="B48:K48" si="35">B24</f>
        <v>2.7778506844631603</v>
      </c>
      <c r="C48" s="692">
        <f t="shared" si="35"/>
        <v>2.2367455866034827</v>
      </c>
      <c r="D48" s="698">
        <f t="shared" si="35"/>
        <v>2.5366258930644321</v>
      </c>
      <c r="E48" s="694">
        <f t="shared" si="35"/>
        <v>2.4211396164574439</v>
      </c>
      <c r="F48" s="698">
        <f t="shared" si="35"/>
        <v>2.7117464418397739</v>
      </c>
      <c r="G48" s="698">
        <f t="shared" si="35"/>
        <v>2.9202828963366829</v>
      </c>
      <c r="H48" s="694">
        <f t="shared" si="35"/>
        <v>2.986680937951002</v>
      </c>
      <c r="I48" s="692">
        <f t="shared" si="35"/>
        <v>0.47500085523629121</v>
      </c>
      <c r="J48" s="698">
        <f t="shared" si="35"/>
        <v>0.38365700327225083</v>
      </c>
      <c r="K48" s="693">
        <f t="shared" si="35"/>
        <v>0.56554132149355807</v>
      </c>
    </row>
    <row r="49" spans="1:11" ht="14.25" thickBot="1" x14ac:dyDescent="0.3">
      <c r="A49" s="213" t="s">
        <v>357</v>
      </c>
      <c r="B49" s="696">
        <f t="shared" ref="B49:K49" si="36">B25</f>
        <v>0.30269253877253516</v>
      </c>
      <c r="C49" s="695">
        <f t="shared" si="36"/>
        <v>0.21194259659717812</v>
      </c>
      <c r="D49" s="696">
        <f t="shared" si="36"/>
        <v>0.20625929120591371</v>
      </c>
      <c r="E49" s="697">
        <f t="shared" si="36"/>
        <v>0.20137215631233188</v>
      </c>
      <c r="F49" s="696">
        <f t="shared" si="36"/>
        <v>0.21305906468408911</v>
      </c>
      <c r="G49" s="696">
        <f t="shared" si="36"/>
        <v>0.21629735529771071</v>
      </c>
      <c r="H49" s="697">
        <f t="shared" si="36"/>
        <v>0.19528549016760652</v>
      </c>
      <c r="I49" s="695">
        <f t="shared" si="36"/>
        <v>1.1164680869109878E-3</v>
      </c>
      <c r="J49" s="696">
        <f t="shared" si="36"/>
        <v>1.0038064091797E-2</v>
      </c>
      <c r="K49" s="696">
        <f t="shared" si="36"/>
        <v>-6.0866661447253612E-3</v>
      </c>
    </row>
    <row r="50" spans="1:11" ht="14.25" thickBot="1" x14ac:dyDescent="0.3">
      <c r="A50" s="214" t="s">
        <v>358</v>
      </c>
      <c r="B50" s="719">
        <f t="shared" ref="B50:K50" si="37">B26</f>
        <v>-0.79910212580028173</v>
      </c>
      <c r="C50" s="718">
        <f t="shared" si="37"/>
        <v>0.64281578996976663</v>
      </c>
      <c r="D50" s="719">
        <f t="shared" si="37"/>
        <v>0.8778665497392879</v>
      </c>
      <c r="E50" s="720">
        <f t="shared" si="37"/>
        <v>1.0734738938526576</v>
      </c>
      <c r="F50" s="719">
        <f t="shared" si="37"/>
        <v>-0.3151766853913287</v>
      </c>
      <c r="G50" s="719">
        <f t="shared" si="37"/>
        <v>0</v>
      </c>
      <c r="H50" s="720">
        <f t="shared" si="37"/>
        <v>0</v>
      </c>
      <c r="I50" s="718">
        <f t="shared" si="37"/>
        <v>-0.95799247536109955</v>
      </c>
      <c r="J50" s="719">
        <f t="shared" si="37"/>
        <v>-0.87786654973928191</v>
      </c>
      <c r="K50" s="719">
        <f t="shared" si="37"/>
        <v>-1.07347389385266</v>
      </c>
    </row>
    <row r="51" spans="1:11" x14ac:dyDescent="0.25">
      <c r="K51" s="34" t="s">
        <v>235</v>
      </c>
    </row>
    <row r="59" spans="1:11" ht="15.75" customHeight="1" x14ac:dyDescent="0.25"/>
    <row r="69" ht="15.75" customHeight="1" x14ac:dyDescent="0.25"/>
  </sheetData>
  <mergeCells count="7">
    <mergeCell ref="I5:K5"/>
    <mergeCell ref="F5:H5"/>
    <mergeCell ref="C5:E5"/>
    <mergeCell ref="A4:K4"/>
    <mergeCell ref="C29:E29"/>
    <mergeCell ref="F29:H29"/>
    <mergeCell ref="I29:K29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3"/>
  <dimension ref="A4:K43"/>
  <sheetViews>
    <sheetView showGridLines="0" zoomScale="90" zoomScaleNormal="90" workbookViewId="0">
      <selection activeCell="G22" sqref="G22"/>
    </sheetView>
  </sheetViews>
  <sheetFormatPr defaultColWidth="9.140625" defaultRowHeight="13.5" x14ac:dyDescent="0.25"/>
  <cols>
    <col min="1" max="1" width="34.7109375" style="34" bestFit="1" customWidth="1"/>
    <col min="2" max="16384" width="9.140625" style="34"/>
  </cols>
  <sheetData>
    <row r="4" spans="1:11" ht="14.25" thickBot="1" x14ac:dyDescent="0.3">
      <c r="A4" s="443" t="s">
        <v>1269</v>
      </c>
      <c r="B4" s="46"/>
      <c r="C4" s="46"/>
      <c r="F4" s="443" t="s">
        <v>1270</v>
      </c>
      <c r="G4" s="46"/>
      <c r="H4" s="46"/>
      <c r="I4" s="46"/>
      <c r="J4" s="46"/>
      <c r="K4" s="46"/>
    </row>
    <row r="18" spans="1:11" x14ac:dyDescent="0.25">
      <c r="A18" s="457" t="s">
        <v>225</v>
      </c>
      <c r="B18" s="457">
        <v>2019</v>
      </c>
      <c r="C18" s="457">
        <v>2020</v>
      </c>
      <c r="D18" s="457">
        <v>2021</v>
      </c>
      <c r="F18" s="300"/>
      <c r="G18" s="300"/>
      <c r="H18" s="300"/>
      <c r="I18" s="379">
        <f>B18</f>
        <v>2019</v>
      </c>
      <c r="J18" s="379">
        <f t="shared" ref="J18:K18" si="0">C18</f>
        <v>2020</v>
      </c>
      <c r="K18" s="379">
        <f t="shared" si="0"/>
        <v>2021</v>
      </c>
    </row>
    <row r="19" spans="1:11" x14ac:dyDescent="0.25">
      <c r="A19" s="458" t="s">
        <v>1166</v>
      </c>
      <c r="B19" s="710">
        <v>0.50593364264864249</v>
      </c>
      <c r="C19" s="710">
        <v>-5.9872645941538849E-3</v>
      </c>
      <c r="D19" s="710">
        <v>2.7540244667861202E-2</v>
      </c>
      <c r="E19" s="105"/>
      <c r="F19" s="428" t="s">
        <v>528</v>
      </c>
      <c r="G19" s="428"/>
      <c r="H19" s="428"/>
      <c r="I19" s="710">
        <v>0.55942141420577529</v>
      </c>
      <c r="J19" s="710">
        <v>0.33076897071019284</v>
      </c>
      <c r="K19" s="710">
        <v>9.4573804715569296E-2</v>
      </c>
    </row>
    <row r="20" spans="1:11" x14ac:dyDescent="0.25">
      <c r="A20" s="461" t="s">
        <v>556</v>
      </c>
      <c r="B20" s="711">
        <v>-0.16791686993519761</v>
      </c>
      <c r="C20" s="711">
        <v>0.1649464252480044</v>
      </c>
      <c r="D20" s="711"/>
      <c r="E20" s="105"/>
      <c r="F20" s="445"/>
      <c r="G20" s="445"/>
      <c r="H20" s="711"/>
      <c r="I20" s="711">
        <v>0.63319657685728847</v>
      </c>
      <c r="J20" s="711">
        <v>0.401348364868858</v>
      </c>
      <c r="K20" s="711"/>
    </row>
    <row r="21" spans="1:11" x14ac:dyDescent="0.25">
      <c r="A21" s="1001" t="s">
        <v>19</v>
      </c>
      <c r="B21" s="1001"/>
      <c r="C21" s="1001"/>
      <c r="D21" s="1001"/>
      <c r="F21" s="1001" t="s">
        <v>19</v>
      </c>
      <c r="G21" s="1001"/>
      <c r="H21" s="1001"/>
      <c r="I21" s="1001"/>
      <c r="J21" s="1001"/>
      <c r="K21" s="1001"/>
    </row>
    <row r="22" spans="1:11" x14ac:dyDescent="0.25">
      <c r="A22" s="303"/>
      <c r="B22" s="464"/>
      <c r="C22" s="464"/>
      <c r="D22" s="464"/>
      <c r="I22" s="35"/>
      <c r="J22" s="35"/>
      <c r="K22" s="35"/>
    </row>
    <row r="25" spans="1:11" ht="14.25" thickBot="1" x14ac:dyDescent="0.3">
      <c r="A25" s="443" t="s">
        <v>1271</v>
      </c>
      <c r="B25" s="46"/>
      <c r="C25" s="46"/>
      <c r="F25" s="443" t="s">
        <v>1272</v>
      </c>
      <c r="G25" s="46"/>
      <c r="H25" s="46"/>
      <c r="I25" s="46"/>
      <c r="J25" s="46"/>
      <c r="K25" s="46"/>
    </row>
    <row r="40" spans="1:11" x14ac:dyDescent="0.25">
      <c r="A40" s="457" t="s">
        <v>670</v>
      </c>
      <c r="B40" s="457">
        <f>B18</f>
        <v>2019</v>
      </c>
      <c r="C40" s="457">
        <f t="shared" ref="C40:D40" si="1">C18</f>
        <v>2020</v>
      </c>
      <c r="D40" s="457">
        <f t="shared" si="1"/>
        <v>2021</v>
      </c>
      <c r="G40" s="300"/>
      <c r="H40" s="300"/>
      <c r="I40" s="457">
        <f>I18</f>
        <v>2019</v>
      </c>
      <c r="J40" s="457">
        <f t="shared" ref="J40:K40" si="2">J18</f>
        <v>2020</v>
      </c>
      <c r="K40" s="457">
        <f t="shared" si="2"/>
        <v>2021</v>
      </c>
    </row>
    <row r="41" spans="1:11" x14ac:dyDescent="0.25">
      <c r="A41" s="458" t="s">
        <v>1167</v>
      </c>
      <c r="B41" s="459">
        <f>B19</f>
        <v>0.50593364264864249</v>
      </c>
      <c r="C41" s="459">
        <f t="shared" ref="C41:D42" si="3">C19</f>
        <v>-5.9872645941538849E-3</v>
      </c>
      <c r="D41" s="459">
        <f t="shared" si="3"/>
        <v>2.7540244667861202E-2</v>
      </c>
      <c r="F41" s="458" t="s">
        <v>529</v>
      </c>
      <c r="G41" s="352"/>
      <c r="H41" s="352"/>
      <c r="I41" s="460">
        <f>I19</f>
        <v>0.55942141420577529</v>
      </c>
      <c r="J41" s="460">
        <f t="shared" ref="J41:K42" si="4">J19</f>
        <v>0.33076897071019284</v>
      </c>
      <c r="K41" s="460">
        <f t="shared" si="4"/>
        <v>9.4573804715569296E-2</v>
      </c>
    </row>
    <row r="42" spans="1:11" x14ac:dyDescent="0.25">
      <c r="A42" s="461" t="s">
        <v>672</v>
      </c>
      <c r="B42" s="462">
        <f>B20</f>
        <v>-0.16791686993519761</v>
      </c>
      <c r="C42" s="462">
        <f t="shared" si="3"/>
        <v>0.1649464252480044</v>
      </c>
      <c r="D42" s="297">
        <f t="shared" si="3"/>
        <v>0</v>
      </c>
      <c r="F42" s="297"/>
      <c r="G42" s="297"/>
      <c r="H42" s="297"/>
      <c r="I42" s="463">
        <f>I20</f>
        <v>0.63319657685728847</v>
      </c>
      <c r="J42" s="463">
        <f t="shared" si="4"/>
        <v>0.401348364868858</v>
      </c>
      <c r="K42" s="297"/>
    </row>
    <row r="43" spans="1:11" x14ac:dyDescent="0.25">
      <c r="A43" s="1001" t="s">
        <v>235</v>
      </c>
      <c r="B43" s="1001"/>
      <c r="C43" s="1001"/>
      <c r="D43" s="1001"/>
      <c r="H43" s="1001" t="s">
        <v>235</v>
      </c>
      <c r="I43" s="1001"/>
      <c r="J43" s="1001"/>
      <c r="K43" s="1001"/>
    </row>
  </sheetData>
  <mergeCells count="4">
    <mergeCell ref="A43:D43"/>
    <mergeCell ref="H43:K43"/>
    <mergeCell ref="A21:D21"/>
    <mergeCell ref="F21:K21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4"/>
  <dimension ref="A2:Q64"/>
  <sheetViews>
    <sheetView showGridLines="0" zoomScale="90" zoomScaleNormal="90" workbookViewId="0">
      <selection activeCell="A33" sqref="A33"/>
    </sheetView>
  </sheetViews>
  <sheetFormatPr defaultColWidth="9.140625" defaultRowHeight="13.5" x14ac:dyDescent="0.25"/>
  <cols>
    <col min="1" max="1" width="13" style="34" customWidth="1"/>
    <col min="2" max="19" width="9.140625" style="34"/>
    <col min="20" max="20" width="38.28515625" style="34" customWidth="1"/>
    <col min="21" max="26" width="8.42578125" style="34" customWidth="1"/>
    <col min="27" max="16384" width="9.140625" style="34"/>
  </cols>
  <sheetData>
    <row r="2" spans="1:12" ht="21" customHeight="1" x14ac:dyDescent="0.25">
      <c r="A2" s="877" t="s">
        <v>1485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</row>
    <row r="6" spans="1:12" ht="26.25" customHeight="1" x14ac:dyDescent="0.25"/>
    <row r="24" spans="1:17" x14ac:dyDescent="0.25">
      <c r="B24" s="110">
        <v>2006</v>
      </c>
      <c r="C24" s="110">
        <v>2007</v>
      </c>
      <c r="D24" s="110">
        <v>2008</v>
      </c>
      <c r="E24" s="110">
        <v>2009</v>
      </c>
      <c r="F24" s="110">
        <v>2010</v>
      </c>
      <c r="G24" s="110">
        <v>2011</v>
      </c>
      <c r="H24" s="110">
        <v>2012</v>
      </c>
      <c r="I24" s="110">
        <v>2013</v>
      </c>
      <c r="J24" s="110">
        <v>2014</v>
      </c>
      <c r="K24" s="110">
        <v>2015</v>
      </c>
      <c r="L24" s="110">
        <v>2016</v>
      </c>
      <c r="M24" s="110">
        <v>2017</v>
      </c>
      <c r="N24" s="110">
        <v>2018</v>
      </c>
      <c r="O24" s="110">
        <v>2019</v>
      </c>
      <c r="P24" s="110">
        <v>2020</v>
      </c>
      <c r="Q24" s="110">
        <v>2021</v>
      </c>
    </row>
    <row r="25" spans="1:17" x14ac:dyDescent="0.25">
      <c r="A25" s="844" t="s">
        <v>1486</v>
      </c>
      <c r="B25" s="43">
        <v>30.975055399865298</v>
      </c>
      <c r="C25" s="43">
        <v>30.100913662755197</v>
      </c>
      <c r="D25" s="43">
        <v>28.461446367145747</v>
      </c>
      <c r="E25" s="43">
        <v>36.294399990003605</v>
      </c>
      <c r="F25" s="43">
        <v>41.200669455571614</v>
      </c>
      <c r="G25" s="43">
        <v>43.675662940364127</v>
      </c>
      <c r="H25" s="43">
        <v>52.16489057413223</v>
      </c>
      <c r="I25" s="43">
        <v>54.739220060414539</v>
      </c>
      <c r="J25" s="43">
        <v>53.523723760720657</v>
      </c>
      <c r="K25" s="43">
        <v>52.340737338437428</v>
      </c>
      <c r="L25" s="43">
        <v>51.819085465274739</v>
      </c>
      <c r="M25" s="43">
        <v>50.863564560753126</v>
      </c>
      <c r="N25" s="43">
        <v>49.268655037020835</v>
      </c>
      <c r="O25" s="43">
        <v>46.524524490032888</v>
      </c>
      <c r="P25" s="43">
        <v>44.858012870079818</v>
      </c>
      <c r="Q25" s="43">
        <v>43.295611962735343</v>
      </c>
    </row>
    <row r="26" spans="1:17" x14ac:dyDescent="0.25">
      <c r="A26" s="844" t="s">
        <v>1487</v>
      </c>
      <c r="B26" s="43">
        <v>0</v>
      </c>
      <c r="C26" s="43">
        <v>0</v>
      </c>
      <c r="D26" s="43">
        <v>0</v>
      </c>
      <c r="E26" s="43">
        <v>0</v>
      </c>
      <c r="F26" s="43">
        <v>0</v>
      </c>
      <c r="G26" s="43">
        <v>0.24440015713491706</v>
      </c>
      <c r="H26" s="43">
        <v>2.4176107782333429</v>
      </c>
      <c r="I26" s="43">
        <v>3.2656963023247996</v>
      </c>
      <c r="J26" s="43">
        <v>3.4909769107614874</v>
      </c>
      <c r="K26" s="43">
        <v>3.219207099788993</v>
      </c>
      <c r="L26" s="43">
        <v>3.1296559117480172</v>
      </c>
      <c r="M26" s="43">
        <v>2.9885675783811561</v>
      </c>
      <c r="N26" s="43">
        <v>2.8169951170355376</v>
      </c>
      <c r="O26" s="43">
        <v>2.643129892969788</v>
      </c>
      <c r="P26" s="43">
        <v>2.4897829648757033</v>
      </c>
      <c r="Q26" s="43">
        <v>2.3537719126620984</v>
      </c>
    </row>
    <row r="27" spans="1:17" x14ac:dyDescent="0.25">
      <c r="A27" s="844" t="s">
        <v>1488</v>
      </c>
      <c r="B27" s="43">
        <v>29.852167321478003</v>
      </c>
      <c r="C27" s="43">
        <v>28.865260255413244</v>
      </c>
      <c r="D27" s="43">
        <v>27.197405055364772</v>
      </c>
      <c r="E27" s="43">
        <v>33.850863204062279</v>
      </c>
      <c r="F27" s="43">
        <v>38.066893764622137</v>
      </c>
      <c r="G27" s="43">
        <v>40.351276820313082</v>
      </c>
      <c r="H27" s="43">
        <v>47.01117266996124</v>
      </c>
      <c r="I27" s="43">
        <v>48.834369987393657</v>
      </c>
      <c r="J27" s="43">
        <v>48.09401920471246</v>
      </c>
      <c r="K27" s="43">
        <v>47.288723910484819</v>
      </c>
      <c r="L27" s="43">
        <v>47.022534432221121</v>
      </c>
      <c r="M27" s="43">
        <v>46.37320145662909</v>
      </c>
      <c r="N27" s="43">
        <v>45.077743002412419</v>
      </c>
      <c r="O27" s="43">
        <v>42.697984972972712</v>
      </c>
      <c r="P27" s="43">
        <v>41.357551763572452</v>
      </c>
      <c r="Q27" s="43">
        <v>40.080418311692021</v>
      </c>
    </row>
    <row r="28" spans="1:17" ht="16.5" customHeight="1" x14ac:dyDescent="0.25">
      <c r="A28" s="844" t="s">
        <v>1489</v>
      </c>
      <c r="B28" s="43">
        <v>1.1228880783872988</v>
      </c>
      <c r="C28" s="43">
        <v>1.2356534073419556</v>
      </c>
      <c r="D28" s="43">
        <v>1.2640413117809797</v>
      </c>
      <c r="E28" s="43">
        <v>2.443536785941324</v>
      </c>
      <c r="F28" s="43">
        <v>3.1337756909494754</v>
      </c>
      <c r="G28" s="43">
        <v>3.0799859629161275</v>
      </c>
      <c r="H28" s="43">
        <v>2.7361071259376408</v>
      </c>
      <c r="I28" s="43">
        <v>2.6391537706960908</v>
      </c>
      <c r="J28" s="43">
        <v>1.9387276452467164</v>
      </c>
      <c r="K28" s="43">
        <v>1.8328063281636158</v>
      </c>
      <c r="L28" s="43">
        <v>1.6668951213055936</v>
      </c>
      <c r="M28" s="43">
        <v>1.5017955257428848</v>
      </c>
      <c r="N28" s="43">
        <v>1.3739169175728749</v>
      </c>
      <c r="O28" s="43">
        <v>1.1834096240903884</v>
      </c>
      <c r="P28" s="43">
        <v>1.0106781416316573</v>
      </c>
      <c r="Q28" s="43">
        <v>0.8614217383812165</v>
      </c>
    </row>
    <row r="29" spans="1:17" x14ac:dyDescent="0.25">
      <c r="A29" s="34" t="s">
        <v>1677</v>
      </c>
      <c r="H29" s="34">
        <v>60</v>
      </c>
      <c r="I29" s="34">
        <v>60</v>
      </c>
      <c r="J29" s="34">
        <v>60</v>
      </c>
      <c r="K29" s="34">
        <v>60</v>
      </c>
      <c r="L29" s="34">
        <v>60</v>
      </c>
      <c r="M29" s="34">
        <v>60</v>
      </c>
      <c r="N29" s="34">
        <f>M29-1</f>
        <v>59</v>
      </c>
      <c r="O29" s="34">
        <f t="shared" ref="O29:Q29" si="0">N29-1</f>
        <v>58</v>
      </c>
      <c r="P29" s="34">
        <f t="shared" si="0"/>
        <v>57</v>
      </c>
      <c r="Q29" s="34">
        <f t="shared" si="0"/>
        <v>56</v>
      </c>
    </row>
    <row r="30" spans="1:17" x14ac:dyDescent="0.25">
      <c r="A30" s="34" t="s">
        <v>1678</v>
      </c>
      <c r="H30" s="34">
        <v>57</v>
      </c>
      <c r="I30" s="34">
        <v>57</v>
      </c>
      <c r="J30" s="34">
        <v>57</v>
      </c>
      <c r="K30" s="34">
        <v>57</v>
      </c>
      <c r="L30" s="34">
        <v>57</v>
      </c>
      <c r="M30" s="34">
        <v>57</v>
      </c>
      <c r="N30" s="34">
        <f t="shared" ref="N30:Q32" si="1">M30-1</f>
        <v>56</v>
      </c>
      <c r="O30" s="34">
        <f t="shared" si="1"/>
        <v>55</v>
      </c>
      <c r="P30" s="34">
        <f t="shared" si="1"/>
        <v>54</v>
      </c>
      <c r="Q30" s="34">
        <f t="shared" si="1"/>
        <v>53</v>
      </c>
    </row>
    <row r="31" spans="1:17" x14ac:dyDescent="0.25">
      <c r="A31" s="34" t="s">
        <v>1679</v>
      </c>
      <c r="H31" s="34">
        <v>55</v>
      </c>
      <c r="I31" s="34">
        <v>55</v>
      </c>
      <c r="J31" s="34">
        <v>55</v>
      </c>
      <c r="K31" s="34">
        <v>55</v>
      </c>
      <c r="L31" s="34">
        <v>55</v>
      </c>
      <c r="M31" s="34">
        <v>55</v>
      </c>
      <c r="N31" s="34">
        <f t="shared" si="1"/>
        <v>54</v>
      </c>
      <c r="O31" s="34">
        <f t="shared" si="1"/>
        <v>53</v>
      </c>
      <c r="P31" s="34">
        <f t="shared" si="1"/>
        <v>52</v>
      </c>
      <c r="Q31" s="34">
        <f t="shared" si="1"/>
        <v>51</v>
      </c>
    </row>
    <row r="32" spans="1:17" x14ac:dyDescent="0.25">
      <c r="A32" s="844" t="s">
        <v>1680</v>
      </c>
      <c r="H32" s="34">
        <v>50</v>
      </c>
      <c r="I32" s="34">
        <v>50</v>
      </c>
      <c r="J32" s="34">
        <v>50</v>
      </c>
      <c r="K32" s="34">
        <v>50</v>
      </c>
      <c r="L32" s="34">
        <v>50</v>
      </c>
      <c r="M32" s="34">
        <v>50</v>
      </c>
      <c r="N32" s="34">
        <f t="shared" si="1"/>
        <v>49</v>
      </c>
      <c r="O32" s="34">
        <f t="shared" si="1"/>
        <v>48</v>
      </c>
      <c r="P32" s="34">
        <f t="shared" si="1"/>
        <v>47</v>
      </c>
      <c r="Q32" s="34">
        <f t="shared" si="1"/>
        <v>46</v>
      </c>
    </row>
    <row r="33" spans="1:12" ht="21" customHeight="1" x14ac:dyDescent="0.25">
      <c r="A33" s="877" t="s">
        <v>1674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</row>
    <row r="56" spans="1:17" x14ac:dyDescent="0.25">
      <c r="B56" s="110">
        <f>B24</f>
        <v>2006</v>
      </c>
      <c r="C56" s="110">
        <f t="shared" ref="C56:Q56" si="2">C24</f>
        <v>2007</v>
      </c>
      <c r="D56" s="110">
        <f t="shared" si="2"/>
        <v>2008</v>
      </c>
      <c r="E56" s="110">
        <f t="shared" si="2"/>
        <v>2009</v>
      </c>
      <c r="F56" s="110">
        <f t="shared" si="2"/>
        <v>2010</v>
      </c>
      <c r="G56" s="110">
        <f t="shared" si="2"/>
        <v>2011</v>
      </c>
      <c r="H56" s="110">
        <f t="shared" si="2"/>
        <v>2012</v>
      </c>
      <c r="I56" s="110">
        <f t="shared" si="2"/>
        <v>2013</v>
      </c>
      <c r="J56" s="110">
        <f t="shared" si="2"/>
        <v>2014</v>
      </c>
      <c r="K56" s="110">
        <f t="shared" si="2"/>
        <v>2015</v>
      </c>
      <c r="L56" s="110">
        <f t="shared" si="2"/>
        <v>2016</v>
      </c>
      <c r="M56" s="110">
        <f t="shared" si="2"/>
        <v>2017</v>
      </c>
      <c r="N56" s="110">
        <f t="shared" si="2"/>
        <v>2018</v>
      </c>
      <c r="O56" s="110">
        <f t="shared" si="2"/>
        <v>2019</v>
      </c>
      <c r="P56" s="110">
        <f t="shared" si="2"/>
        <v>2020</v>
      </c>
      <c r="Q56" s="110">
        <f t="shared" si="2"/>
        <v>2021</v>
      </c>
    </row>
    <row r="57" spans="1:17" x14ac:dyDescent="0.25">
      <c r="A57" s="844" t="s">
        <v>399</v>
      </c>
      <c r="B57" s="43">
        <f t="shared" ref="B57:Q57" si="3">B25</f>
        <v>30.975055399865298</v>
      </c>
      <c r="C57" s="43">
        <f t="shared" si="3"/>
        <v>30.100913662755197</v>
      </c>
      <c r="D57" s="43">
        <f t="shared" si="3"/>
        <v>28.461446367145747</v>
      </c>
      <c r="E57" s="43">
        <f t="shared" si="3"/>
        <v>36.294399990003605</v>
      </c>
      <c r="F57" s="43">
        <f t="shared" si="3"/>
        <v>41.200669455571614</v>
      </c>
      <c r="G57" s="43">
        <f t="shared" si="3"/>
        <v>43.675662940364127</v>
      </c>
      <c r="H57" s="43">
        <f t="shared" si="3"/>
        <v>52.16489057413223</v>
      </c>
      <c r="I57" s="43">
        <f t="shared" si="3"/>
        <v>54.739220060414539</v>
      </c>
      <c r="J57" s="43">
        <f t="shared" si="3"/>
        <v>53.523723760720657</v>
      </c>
      <c r="K57" s="43">
        <f t="shared" si="3"/>
        <v>52.340737338437428</v>
      </c>
      <c r="L57" s="43">
        <f t="shared" si="3"/>
        <v>51.819085465274739</v>
      </c>
      <c r="M57" s="43">
        <f t="shared" si="3"/>
        <v>50.863564560753126</v>
      </c>
      <c r="N57" s="43">
        <f t="shared" si="3"/>
        <v>49.268655037020835</v>
      </c>
      <c r="O57" s="43">
        <f t="shared" si="3"/>
        <v>46.524524490032888</v>
      </c>
      <c r="P57" s="43">
        <f t="shared" si="3"/>
        <v>44.858012870079818</v>
      </c>
      <c r="Q57" s="43">
        <f t="shared" si="3"/>
        <v>43.295611962735343</v>
      </c>
    </row>
    <row r="58" spans="1:17" x14ac:dyDescent="0.25">
      <c r="A58" s="844" t="s">
        <v>330</v>
      </c>
      <c r="B58" s="43">
        <f t="shared" ref="B58:Q58" si="4">B26</f>
        <v>0</v>
      </c>
      <c r="C58" s="43">
        <f t="shared" si="4"/>
        <v>0</v>
      </c>
      <c r="D58" s="43">
        <f t="shared" si="4"/>
        <v>0</v>
      </c>
      <c r="E58" s="43">
        <f t="shared" si="4"/>
        <v>0</v>
      </c>
      <c r="F58" s="43">
        <f t="shared" si="4"/>
        <v>0</v>
      </c>
      <c r="G58" s="43">
        <f t="shared" si="4"/>
        <v>0.24440015713491706</v>
      </c>
      <c r="H58" s="43">
        <f t="shared" si="4"/>
        <v>2.4176107782333429</v>
      </c>
      <c r="I58" s="43">
        <f t="shared" si="4"/>
        <v>3.2656963023247996</v>
      </c>
      <c r="J58" s="43">
        <f t="shared" si="4"/>
        <v>3.4909769107614874</v>
      </c>
      <c r="K58" s="43">
        <f t="shared" si="4"/>
        <v>3.219207099788993</v>
      </c>
      <c r="L58" s="43">
        <f t="shared" si="4"/>
        <v>3.1296559117480172</v>
      </c>
      <c r="M58" s="43">
        <f t="shared" si="4"/>
        <v>2.9885675783811561</v>
      </c>
      <c r="N58" s="43">
        <f t="shared" si="4"/>
        <v>2.8169951170355376</v>
      </c>
      <c r="O58" s="43">
        <f t="shared" si="4"/>
        <v>2.643129892969788</v>
      </c>
      <c r="P58" s="43">
        <f t="shared" si="4"/>
        <v>2.4897829648757033</v>
      </c>
      <c r="Q58" s="43">
        <f t="shared" si="4"/>
        <v>2.3537719126620984</v>
      </c>
    </row>
    <row r="59" spans="1:17" x14ac:dyDescent="0.25">
      <c r="A59" s="844" t="s">
        <v>1675</v>
      </c>
      <c r="B59" s="43">
        <f t="shared" ref="B59:Q59" si="5">B27</f>
        <v>29.852167321478003</v>
      </c>
      <c r="C59" s="43">
        <f t="shared" si="5"/>
        <v>28.865260255413244</v>
      </c>
      <c r="D59" s="43">
        <f t="shared" si="5"/>
        <v>27.197405055364772</v>
      </c>
      <c r="E59" s="43">
        <f t="shared" si="5"/>
        <v>33.850863204062279</v>
      </c>
      <c r="F59" s="43">
        <f t="shared" si="5"/>
        <v>38.066893764622137</v>
      </c>
      <c r="G59" s="43">
        <f t="shared" si="5"/>
        <v>40.351276820313082</v>
      </c>
      <c r="H59" s="43">
        <f t="shared" si="5"/>
        <v>47.01117266996124</v>
      </c>
      <c r="I59" s="43">
        <f t="shared" si="5"/>
        <v>48.834369987393657</v>
      </c>
      <c r="J59" s="43">
        <f t="shared" si="5"/>
        <v>48.09401920471246</v>
      </c>
      <c r="K59" s="43">
        <f t="shared" si="5"/>
        <v>47.288723910484819</v>
      </c>
      <c r="L59" s="43">
        <f t="shared" si="5"/>
        <v>47.022534432221121</v>
      </c>
      <c r="M59" s="43">
        <f t="shared" si="5"/>
        <v>46.37320145662909</v>
      </c>
      <c r="N59" s="43">
        <f t="shared" si="5"/>
        <v>45.077743002412419</v>
      </c>
      <c r="O59" s="43">
        <f t="shared" si="5"/>
        <v>42.697984972972712</v>
      </c>
      <c r="P59" s="43">
        <f t="shared" si="5"/>
        <v>41.357551763572452</v>
      </c>
      <c r="Q59" s="43">
        <f t="shared" si="5"/>
        <v>40.080418311692021</v>
      </c>
    </row>
    <row r="60" spans="1:17" x14ac:dyDescent="0.25">
      <c r="A60" s="844" t="s">
        <v>1676</v>
      </c>
      <c r="B60" s="43">
        <f t="shared" ref="B60:Q60" si="6">B28</f>
        <v>1.1228880783872988</v>
      </c>
      <c r="C60" s="43">
        <f t="shared" si="6"/>
        <v>1.2356534073419556</v>
      </c>
      <c r="D60" s="43">
        <f t="shared" si="6"/>
        <v>1.2640413117809797</v>
      </c>
      <c r="E60" s="43">
        <f t="shared" si="6"/>
        <v>2.443536785941324</v>
      </c>
      <c r="F60" s="43">
        <f t="shared" si="6"/>
        <v>3.1337756909494754</v>
      </c>
      <c r="G60" s="43">
        <f t="shared" si="6"/>
        <v>3.0799859629161275</v>
      </c>
      <c r="H60" s="43">
        <f t="shared" si="6"/>
        <v>2.7361071259376408</v>
      </c>
      <c r="I60" s="43">
        <f t="shared" si="6"/>
        <v>2.6391537706960908</v>
      </c>
      <c r="J60" s="43">
        <f t="shared" si="6"/>
        <v>1.9387276452467164</v>
      </c>
      <c r="K60" s="43">
        <f t="shared" si="6"/>
        <v>1.8328063281636158</v>
      </c>
      <c r="L60" s="43">
        <f t="shared" si="6"/>
        <v>1.6668951213055936</v>
      </c>
      <c r="M60" s="43">
        <f t="shared" si="6"/>
        <v>1.5017955257428848</v>
      </c>
      <c r="N60" s="43">
        <f t="shared" si="6"/>
        <v>1.3739169175728749</v>
      </c>
      <c r="O60" s="43">
        <f t="shared" si="6"/>
        <v>1.1834096240903884</v>
      </c>
      <c r="P60" s="43">
        <f t="shared" si="6"/>
        <v>1.0106781416316573</v>
      </c>
      <c r="Q60" s="43">
        <f t="shared" si="6"/>
        <v>0.8614217383812165</v>
      </c>
    </row>
    <row r="61" spans="1:17" x14ac:dyDescent="0.25">
      <c r="A61" s="844" t="s">
        <v>1681</v>
      </c>
      <c r="H61" s="34">
        <f>H29</f>
        <v>60</v>
      </c>
      <c r="I61" s="34">
        <f t="shared" ref="I61:Q61" si="7">I29</f>
        <v>60</v>
      </c>
      <c r="J61" s="34">
        <f t="shared" si="7"/>
        <v>60</v>
      </c>
      <c r="K61" s="34">
        <f t="shared" si="7"/>
        <v>60</v>
      </c>
      <c r="L61" s="34">
        <f t="shared" si="7"/>
        <v>60</v>
      </c>
      <c r="M61" s="34">
        <f t="shared" si="7"/>
        <v>60</v>
      </c>
      <c r="N61" s="34">
        <f t="shared" si="7"/>
        <v>59</v>
      </c>
      <c r="O61" s="34">
        <f t="shared" si="7"/>
        <v>58</v>
      </c>
      <c r="P61" s="34">
        <f t="shared" si="7"/>
        <v>57</v>
      </c>
      <c r="Q61" s="34">
        <f t="shared" si="7"/>
        <v>56</v>
      </c>
    </row>
    <row r="62" spans="1:17" x14ac:dyDescent="0.25">
      <c r="A62" s="844" t="s">
        <v>1682</v>
      </c>
      <c r="H62" s="34">
        <f t="shared" ref="H62:Q64" si="8">H30</f>
        <v>57</v>
      </c>
      <c r="I62" s="34">
        <f t="shared" si="8"/>
        <v>57</v>
      </c>
      <c r="J62" s="34">
        <f t="shared" si="8"/>
        <v>57</v>
      </c>
      <c r="K62" s="34">
        <f t="shared" si="8"/>
        <v>57</v>
      </c>
      <c r="L62" s="34">
        <f t="shared" si="8"/>
        <v>57</v>
      </c>
      <c r="M62" s="34">
        <f t="shared" si="8"/>
        <v>57</v>
      </c>
      <c r="N62" s="34">
        <f t="shared" si="8"/>
        <v>56</v>
      </c>
      <c r="O62" s="34">
        <f t="shared" si="8"/>
        <v>55</v>
      </c>
      <c r="P62" s="34">
        <f t="shared" si="8"/>
        <v>54</v>
      </c>
      <c r="Q62" s="34">
        <f t="shared" si="8"/>
        <v>53</v>
      </c>
    </row>
    <row r="63" spans="1:17" x14ac:dyDescent="0.25">
      <c r="A63" s="844" t="s">
        <v>1683</v>
      </c>
      <c r="H63" s="34">
        <f t="shared" si="8"/>
        <v>55</v>
      </c>
      <c r="I63" s="34">
        <f t="shared" si="8"/>
        <v>55</v>
      </c>
      <c r="J63" s="34">
        <f t="shared" si="8"/>
        <v>55</v>
      </c>
      <c r="K63" s="34">
        <f t="shared" si="8"/>
        <v>55</v>
      </c>
      <c r="L63" s="34">
        <f t="shared" si="8"/>
        <v>55</v>
      </c>
      <c r="M63" s="34">
        <f t="shared" si="8"/>
        <v>55</v>
      </c>
      <c r="N63" s="34">
        <f t="shared" si="8"/>
        <v>54</v>
      </c>
      <c r="O63" s="34">
        <f t="shared" si="8"/>
        <v>53</v>
      </c>
      <c r="P63" s="34">
        <f t="shared" si="8"/>
        <v>52</v>
      </c>
      <c r="Q63" s="34">
        <f t="shared" si="8"/>
        <v>51</v>
      </c>
    </row>
    <row r="64" spans="1:17" x14ac:dyDescent="0.25">
      <c r="A64" s="844" t="s">
        <v>1684</v>
      </c>
      <c r="H64" s="34">
        <f t="shared" si="8"/>
        <v>50</v>
      </c>
      <c r="I64" s="34">
        <f t="shared" si="8"/>
        <v>50</v>
      </c>
      <c r="J64" s="34">
        <f t="shared" si="8"/>
        <v>50</v>
      </c>
      <c r="K64" s="34">
        <f t="shared" si="8"/>
        <v>50</v>
      </c>
      <c r="L64" s="34">
        <f t="shared" si="8"/>
        <v>50</v>
      </c>
      <c r="M64" s="34">
        <f t="shared" si="8"/>
        <v>50</v>
      </c>
      <c r="N64" s="34">
        <f t="shared" si="8"/>
        <v>49</v>
      </c>
      <c r="O64" s="34">
        <f t="shared" si="8"/>
        <v>48</v>
      </c>
      <c r="P64" s="34">
        <f t="shared" si="8"/>
        <v>47</v>
      </c>
      <c r="Q64" s="34">
        <f t="shared" si="8"/>
        <v>46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6"/>
  <dimension ref="A3:R58"/>
  <sheetViews>
    <sheetView showGridLines="0" zoomScale="90" zoomScaleNormal="90" workbookViewId="0">
      <pane xSplit="1" ySplit="3" topLeftCell="L5" activePane="bottomRight" state="frozen"/>
      <selection activeCell="R43" sqref="R43"/>
      <selection pane="topRight" activeCell="R43" sqref="R43"/>
      <selection pane="bottomLeft" activeCell="R43" sqref="R43"/>
      <selection pane="bottomRight" activeCell="U6" sqref="U6"/>
    </sheetView>
  </sheetViews>
  <sheetFormatPr defaultColWidth="9.140625" defaultRowHeight="13.5" x14ac:dyDescent="0.25"/>
  <cols>
    <col min="1" max="1" width="9.140625" style="333"/>
    <col min="2" max="2" width="18.5703125" style="333" bestFit="1" customWidth="1"/>
    <col min="3" max="3" width="12.7109375" style="333" customWidth="1"/>
    <col min="4" max="12" width="10.7109375" style="333" bestFit="1" customWidth="1"/>
    <col min="13" max="16384" width="9.140625" style="333"/>
  </cols>
  <sheetData>
    <row r="3" spans="1:15" s="331" customFormat="1" x14ac:dyDescent="0.25">
      <c r="A3" s="445"/>
      <c r="B3" s="445" t="s">
        <v>505</v>
      </c>
      <c r="C3" s="445" t="s">
        <v>506</v>
      </c>
      <c r="D3" s="445">
        <v>10</v>
      </c>
      <c r="E3" s="445">
        <v>20</v>
      </c>
      <c r="F3" s="445">
        <v>30</v>
      </c>
      <c r="G3" s="445">
        <v>40</v>
      </c>
      <c r="H3" s="445">
        <v>50</v>
      </c>
      <c r="I3" s="445">
        <v>60</v>
      </c>
      <c r="J3" s="445">
        <v>70</v>
      </c>
      <c r="K3" s="445">
        <v>80</v>
      </c>
      <c r="L3" s="445">
        <v>90</v>
      </c>
      <c r="M3" s="330"/>
    </row>
    <row r="4" spans="1:15" x14ac:dyDescent="0.25">
      <c r="A4" s="105">
        <v>1998</v>
      </c>
      <c r="B4" s="115">
        <v>33.860943795753776</v>
      </c>
      <c r="C4" s="115">
        <v>33.860943795753776</v>
      </c>
      <c r="D4" s="115">
        <v>33.860943795753776</v>
      </c>
      <c r="E4" s="115">
        <v>33.860943795753776</v>
      </c>
      <c r="F4" s="115">
        <v>33.860943795753776</v>
      </c>
      <c r="G4" s="115">
        <v>33.860943795753776</v>
      </c>
      <c r="H4" s="115">
        <v>33.860943795753776</v>
      </c>
      <c r="I4" s="115">
        <v>33.860943795753776</v>
      </c>
      <c r="J4" s="115">
        <v>33.860943795753776</v>
      </c>
      <c r="K4" s="115">
        <v>33.860943795753776</v>
      </c>
      <c r="L4" s="115">
        <v>33.860943795753776</v>
      </c>
      <c r="M4" s="332"/>
    </row>
    <row r="5" spans="1:15" x14ac:dyDescent="0.25">
      <c r="A5" s="105">
        <v>1999</v>
      </c>
      <c r="B5" s="115">
        <v>47.07994984798902</v>
      </c>
      <c r="C5" s="115">
        <v>47.07994984798902</v>
      </c>
      <c r="D5" s="115">
        <v>47.07994984798902</v>
      </c>
      <c r="E5" s="115">
        <v>47.07994984798902</v>
      </c>
      <c r="F5" s="115">
        <v>47.07994984798902</v>
      </c>
      <c r="G5" s="115">
        <v>47.07994984798902</v>
      </c>
      <c r="H5" s="115">
        <v>47.07994984798902</v>
      </c>
      <c r="I5" s="115">
        <v>47.07994984798902</v>
      </c>
      <c r="J5" s="115">
        <v>47.07994984798902</v>
      </c>
      <c r="K5" s="115">
        <v>47.07994984798902</v>
      </c>
      <c r="L5" s="115">
        <v>47.07994984798902</v>
      </c>
      <c r="M5" s="332"/>
    </row>
    <row r="6" spans="1:15" x14ac:dyDescent="0.25">
      <c r="A6" s="105">
        <v>2000</v>
      </c>
      <c r="B6" s="115">
        <v>49.623613418770361</v>
      </c>
      <c r="C6" s="115">
        <v>49.623613418770361</v>
      </c>
      <c r="D6" s="115">
        <v>49.623613418770361</v>
      </c>
      <c r="E6" s="115">
        <v>49.623613418770361</v>
      </c>
      <c r="F6" s="115">
        <v>49.623613418770361</v>
      </c>
      <c r="G6" s="115">
        <v>49.623613418770361</v>
      </c>
      <c r="H6" s="115">
        <v>49.623613418770361</v>
      </c>
      <c r="I6" s="115">
        <v>49.623613418770361</v>
      </c>
      <c r="J6" s="115">
        <v>49.623613418770361</v>
      </c>
      <c r="K6" s="115">
        <v>49.623613418770361</v>
      </c>
      <c r="L6" s="115">
        <v>49.623613418770361</v>
      </c>
      <c r="M6" s="332"/>
    </row>
    <row r="7" spans="1:15" x14ac:dyDescent="0.25">
      <c r="A7" s="105">
        <v>2001</v>
      </c>
      <c r="B7" s="115">
        <v>48.281258206277919</v>
      </c>
      <c r="C7" s="115">
        <v>48.281258206277919</v>
      </c>
      <c r="D7" s="115">
        <v>48.281258206277919</v>
      </c>
      <c r="E7" s="115">
        <v>48.281258206277919</v>
      </c>
      <c r="F7" s="115">
        <v>48.281258206277919</v>
      </c>
      <c r="G7" s="115">
        <v>48.281258206277919</v>
      </c>
      <c r="H7" s="115">
        <v>48.281258206277919</v>
      </c>
      <c r="I7" s="115">
        <v>48.281258206277919</v>
      </c>
      <c r="J7" s="115">
        <v>48.281258206277919</v>
      </c>
      <c r="K7" s="115">
        <v>48.281258206277919</v>
      </c>
      <c r="L7" s="115">
        <v>48.281258206277919</v>
      </c>
      <c r="M7" s="332"/>
      <c r="O7" s="334" t="s">
        <v>1282</v>
      </c>
    </row>
    <row r="8" spans="1:15" x14ac:dyDescent="0.25">
      <c r="A8" s="105">
        <v>2002</v>
      </c>
      <c r="B8" s="115">
        <v>42.88215599197013</v>
      </c>
      <c r="C8" s="115">
        <v>42.88215599197013</v>
      </c>
      <c r="D8" s="115">
        <v>42.88215599197013</v>
      </c>
      <c r="E8" s="115">
        <v>42.88215599197013</v>
      </c>
      <c r="F8" s="115">
        <v>42.88215599197013</v>
      </c>
      <c r="G8" s="115">
        <v>42.88215599197013</v>
      </c>
      <c r="H8" s="115">
        <v>42.88215599197013</v>
      </c>
      <c r="I8" s="115">
        <v>42.88215599197013</v>
      </c>
      <c r="J8" s="115">
        <v>42.88215599197013</v>
      </c>
      <c r="K8" s="115">
        <v>42.88215599197013</v>
      </c>
      <c r="L8" s="115">
        <v>42.88215599197013</v>
      </c>
      <c r="M8" s="332"/>
    </row>
    <row r="9" spans="1:15" x14ac:dyDescent="0.25">
      <c r="A9" s="105">
        <v>2003</v>
      </c>
      <c r="B9" s="115">
        <v>41.588629367554795</v>
      </c>
      <c r="C9" s="115">
        <v>41.588629367554795</v>
      </c>
      <c r="D9" s="115">
        <v>41.588629367554795</v>
      </c>
      <c r="E9" s="115">
        <v>41.588629367554795</v>
      </c>
      <c r="F9" s="115">
        <v>41.588629367554795</v>
      </c>
      <c r="G9" s="115">
        <v>41.588629367554795</v>
      </c>
      <c r="H9" s="115">
        <v>41.588629367554795</v>
      </c>
      <c r="I9" s="115">
        <v>41.588629367554795</v>
      </c>
      <c r="J9" s="115">
        <v>41.588629367554795</v>
      </c>
      <c r="K9" s="115">
        <v>41.588629367554795</v>
      </c>
      <c r="L9" s="115">
        <v>41.588629367554795</v>
      </c>
      <c r="M9" s="332"/>
    </row>
    <row r="10" spans="1:15" x14ac:dyDescent="0.25">
      <c r="A10" s="105">
        <v>2004</v>
      </c>
      <c r="B10" s="115">
        <v>40.639217872327734</v>
      </c>
      <c r="C10" s="115">
        <v>40.639217872327734</v>
      </c>
      <c r="D10" s="115">
        <v>40.639217872327734</v>
      </c>
      <c r="E10" s="115">
        <v>40.639217872327734</v>
      </c>
      <c r="F10" s="115">
        <v>40.639217872327734</v>
      </c>
      <c r="G10" s="115">
        <v>40.639217872327734</v>
      </c>
      <c r="H10" s="115">
        <v>40.639217872327734</v>
      </c>
      <c r="I10" s="115">
        <v>40.639217872327734</v>
      </c>
      <c r="J10" s="115">
        <v>40.639217872327734</v>
      </c>
      <c r="K10" s="115">
        <v>40.639217872327734</v>
      </c>
      <c r="L10" s="115">
        <v>40.639217872327734</v>
      </c>
      <c r="M10" s="332"/>
    </row>
    <row r="11" spans="1:15" x14ac:dyDescent="0.25">
      <c r="A11" s="105">
        <v>2005</v>
      </c>
      <c r="B11" s="115">
        <v>33.817651269980828</v>
      </c>
      <c r="C11" s="115">
        <v>33.817651269980828</v>
      </c>
      <c r="D11" s="115">
        <v>33.817651269980828</v>
      </c>
      <c r="E11" s="115">
        <v>33.817651269980828</v>
      </c>
      <c r="F11" s="115">
        <v>33.817651269980828</v>
      </c>
      <c r="G11" s="115">
        <v>33.817651269980828</v>
      </c>
      <c r="H11" s="115">
        <v>33.817651269980828</v>
      </c>
      <c r="I11" s="115">
        <v>33.817651269980828</v>
      </c>
      <c r="J11" s="115">
        <v>33.817651269980828</v>
      </c>
      <c r="K11" s="115">
        <v>33.817651269980828</v>
      </c>
      <c r="L11" s="115">
        <v>33.817651269980828</v>
      </c>
      <c r="M11" s="332"/>
    </row>
    <row r="12" spans="1:15" x14ac:dyDescent="0.25">
      <c r="A12" s="105">
        <v>2006</v>
      </c>
      <c r="B12" s="115">
        <v>30.676534834780224</v>
      </c>
      <c r="C12" s="115">
        <v>30.676534834780224</v>
      </c>
      <c r="D12" s="115">
        <v>30.676534834780224</v>
      </c>
      <c r="E12" s="115">
        <v>30.676534834780224</v>
      </c>
      <c r="F12" s="115">
        <v>30.676534834780224</v>
      </c>
      <c r="G12" s="115">
        <v>30.676534834780224</v>
      </c>
      <c r="H12" s="115">
        <v>30.676534834780224</v>
      </c>
      <c r="I12" s="115">
        <v>30.676534834780224</v>
      </c>
      <c r="J12" s="115">
        <v>30.676534834780224</v>
      </c>
      <c r="K12" s="115">
        <v>30.676534834780224</v>
      </c>
      <c r="L12" s="115">
        <v>30.676534834780224</v>
      </c>
      <c r="M12" s="332"/>
    </row>
    <row r="13" spans="1:15" x14ac:dyDescent="0.25">
      <c r="A13" s="105">
        <v>2007</v>
      </c>
      <c r="B13" s="115">
        <v>29.817355258158408</v>
      </c>
      <c r="C13" s="115">
        <v>29.817355258158408</v>
      </c>
      <c r="D13" s="115">
        <v>29.817355258158408</v>
      </c>
      <c r="E13" s="115">
        <v>29.817355258158408</v>
      </c>
      <c r="F13" s="115">
        <v>29.817355258158408</v>
      </c>
      <c r="G13" s="115">
        <v>29.817355258158408</v>
      </c>
      <c r="H13" s="115">
        <v>29.817355258158408</v>
      </c>
      <c r="I13" s="115">
        <v>29.817355258158408</v>
      </c>
      <c r="J13" s="115">
        <v>29.817355258158408</v>
      </c>
      <c r="K13" s="115">
        <v>29.817355258158408</v>
      </c>
      <c r="L13" s="115">
        <v>29.817355258158408</v>
      </c>
      <c r="M13" s="332"/>
    </row>
    <row r="14" spans="1:15" x14ac:dyDescent="0.25">
      <c r="A14" s="105">
        <v>2008</v>
      </c>
      <c r="B14" s="115">
        <v>28.14402572997869</v>
      </c>
      <c r="C14" s="115">
        <v>28.14402572997869</v>
      </c>
      <c r="D14" s="115">
        <v>28.14402572997869</v>
      </c>
      <c r="E14" s="115">
        <v>28.14402572997869</v>
      </c>
      <c r="F14" s="115">
        <v>28.14402572997869</v>
      </c>
      <c r="G14" s="115">
        <v>28.14402572997869</v>
      </c>
      <c r="H14" s="115">
        <v>28.14402572997869</v>
      </c>
      <c r="I14" s="115">
        <v>28.14402572997869</v>
      </c>
      <c r="J14" s="115">
        <v>28.14402572997869</v>
      </c>
      <c r="K14" s="115">
        <v>28.14402572997869</v>
      </c>
      <c r="L14" s="115">
        <v>28.14402572997869</v>
      </c>
      <c r="M14" s="332"/>
    </row>
    <row r="15" spans="1:15" x14ac:dyDescent="0.25">
      <c r="A15" s="105">
        <v>2009</v>
      </c>
      <c r="B15" s="115">
        <v>35.892848047362186</v>
      </c>
      <c r="C15" s="115">
        <v>35.892848047362186</v>
      </c>
      <c r="D15" s="115">
        <v>35.892848047362186</v>
      </c>
      <c r="E15" s="115">
        <v>35.892848047362186</v>
      </c>
      <c r="F15" s="115">
        <v>35.892848047362186</v>
      </c>
      <c r="G15" s="115">
        <v>35.892848047362186</v>
      </c>
      <c r="H15" s="115">
        <v>35.892848047362186</v>
      </c>
      <c r="I15" s="115">
        <v>35.892848047362186</v>
      </c>
      <c r="J15" s="115">
        <v>35.892848047362186</v>
      </c>
      <c r="K15" s="115">
        <v>35.892848047362186</v>
      </c>
      <c r="L15" s="115">
        <v>35.892848047362186</v>
      </c>
      <c r="M15" s="332"/>
    </row>
    <row r="16" spans="1:15" x14ac:dyDescent="0.25">
      <c r="A16" s="105">
        <v>2010</v>
      </c>
      <c r="B16" s="115">
        <v>40.700508727133297</v>
      </c>
      <c r="C16" s="115">
        <v>40.700508727133297</v>
      </c>
      <c r="D16" s="115">
        <v>40.700508727133297</v>
      </c>
      <c r="E16" s="115">
        <v>40.700508727133297</v>
      </c>
      <c r="F16" s="115">
        <v>40.700508727133297</v>
      </c>
      <c r="G16" s="115">
        <v>40.700508727133297</v>
      </c>
      <c r="H16" s="115">
        <v>40.700508727133297</v>
      </c>
      <c r="I16" s="115">
        <v>40.700508727133297</v>
      </c>
      <c r="J16" s="115">
        <v>40.700508727133297</v>
      </c>
      <c r="K16" s="115">
        <v>40.700508727133297</v>
      </c>
      <c r="L16" s="115">
        <v>40.700508727133297</v>
      </c>
      <c r="M16" s="332"/>
    </row>
    <row r="17" spans="1:13" x14ac:dyDescent="0.25">
      <c r="A17" s="105">
        <v>2011</v>
      </c>
      <c r="B17" s="115">
        <v>43.156457911650328</v>
      </c>
      <c r="C17" s="115">
        <v>43.156457911650328</v>
      </c>
      <c r="D17" s="115">
        <v>43.156457911650328</v>
      </c>
      <c r="E17" s="115">
        <v>43.156457911650328</v>
      </c>
      <c r="F17" s="115">
        <v>43.156457911650328</v>
      </c>
      <c r="G17" s="115">
        <v>43.156457911650328</v>
      </c>
      <c r="H17" s="115">
        <v>43.156457911650328</v>
      </c>
      <c r="I17" s="115">
        <v>43.156457911650328</v>
      </c>
      <c r="J17" s="115">
        <v>43.156457911650328</v>
      </c>
      <c r="K17" s="115">
        <v>43.156457911650328</v>
      </c>
      <c r="L17" s="115">
        <v>43.156457911650328</v>
      </c>
      <c r="M17" s="332"/>
    </row>
    <row r="18" spans="1:13" x14ac:dyDescent="0.25">
      <c r="A18" s="105">
        <v>2012</v>
      </c>
      <c r="B18" s="115">
        <v>51.735739372043824</v>
      </c>
      <c r="C18" s="115">
        <v>51.735739372043824</v>
      </c>
      <c r="D18" s="115">
        <v>51.735739372043824</v>
      </c>
      <c r="E18" s="115">
        <v>51.735739372043824</v>
      </c>
      <c r="F18" s="115">
        <v>51.735739372043824</v>
      </c>
      <c r="G18" s="115">
        <v>51.735739372043824</v>
      </c>
      <c r="H18" s="115">
        <v>51.735739372043824</v>
      </c>
      <c r="I18" s="115">
        <v>51.735739372043824</v>
      </c>
      <c r="J18" s="115">
        <v>51.735739372043824</v>
      </c>
      <c r="K18" s="115">
        <v>51.735739372043824</v>
      </c>
      <c r="L18" s="115">
        <v>51.735739372043824</v>
      </c>
      <c r="M18" s="332"/>
    </row>
    <row r="19" spans="1:13" x14ac:dyDescent="0.25">
      <c r="A19" s="105">
        <v>2013</v>
      </c>
      <c r="B19" s="115">
        <v>54.313562057737364</v>
      </c>
      <c r="C19" s="115">
        <v>54.313562057737364</v>
      </c>
      <c r="D19" s="115">
        <v>54.313562057737364</v>
      </c>
      <c r="E19" s="115">
        <v>54.313562057737364</v>
      </c>
      <c r="F19" s="115">
        <v>54.313562057737364</v>
      </c>
      <c r="G19" s="115">
        <v>54.313562057737364</v>
      </c>
      <c r="H19" s="115">
        <v>54.313562057737364</v>
      </c>
      <c r="I19" s="115">
        <v>54.313562057737364</v>
      </c>
      <c r="J19" s="115">
        <v>54.313562057737364</v>
      </c>
      <c r="K19" s="115">
        <v>54.313562057737364</v>
      </c>
      <c r="L19" s="115">
        <v>54.313562057737364</v>
      </c>
      <c r="M19" s="332"/>
    </row>
    <row r="20" spans="1:13" x14ac:dyDescent="0.25">
      <c r="A20" s="105">
        <v>2014</v>
      </c>
      <c r="B20" s="115">
        <v>53.523723760720664</v>
      </c>
      <c r="C20" s="115">
        <v>53.523723760720664</v>
      </c>
      <c r="D20" s="115">
        <v>53.523723760720664</v>
      </c>
      <c r="E20" s="115">
        <v>53.523723760720664</v>
      </c>
      <c r="F20" s="115">
        <v>53.523723760720664</v>
      </c>
      <c r="G20" s="115">
        <v>53.523723760720664</v>
      </c>
      <c r="H20" s="115">
        <v>53.523723760720664</v>
      </c>
      <c r="I20" s="115">
        <v>53.523723760720664</v>
      </c>
      <c r="J20" s="115">
        <v>53.523723760720664</v>
      </c>
      <c r="K20" s="115">
        <v>53.523723760720664</v>
      </c>
      <c r="L20" s="115">
        <v>53.523723760720664</v>
      </c>
      <c r="M20" s="332"/>
    </row>
    <row r="21" spans="1:13" x14ac:dyDescent="0.25">
      <c r="A21" s="105">
        <v>2015</v>
      </c>
      <c r="B21" s="115">
        <v>52.340737338437428</v>
      </c>
      <c r="C21" s="115">
        <v>52.340737338437428</v>
      </c>
      <c r="D21" s="115">
        <v>52.340737338437428</v>
      </c>
      <c r="E21" s="115">
        <v>52.340737338437428</v>
      </c>
      <c r="F21" s="115">
        <v>52.340737338437428</v>
      </c>
      <c r="G21" s="115">
        <v>52.340737338437428</v>
      </c>
      <c r="H21" s="115">
        <v>52.340737338437428</v>
      </c>
      <c r="I21" s="115">
        <v>52.340737338437428</v>
      </c>
      <c r="J21" s="115">
        <v>52.340737338437428</v>
      </c>
      <c r="K21" s="115">
        <v>52.340737338437428</v>
      </c>
      <c r="L21" s="115">
        <v>52.340737338437428</v>
      </c>
      <c r="M21" s="332"/>
    </row>
    <row r="22" spans="1:13" x14ac:dyDescent="0.25">
      <c r="A22" s="105">
        <v>2016</v>
      </c>
      <c r="B22" s="115">
        <v>51.819085465274739</v>
      </c>
      <c r="C22" s="115">
        <v>51.819085465274739</v>
      </c>
      <c r="D22" s="115">
        <v>51.819085465274739</v>
      </c>
      <c r="E22" s="115">
        <v>51.819085465274739</v>
      </c>
      <c r="F22" s="115">
        <v>51.819085465274739</v>
      </c>
      <c r="G22" s="115">
        <v>51.819085465274739</v>
      </c>
      <c r="H22" s="115">
        <v>51.819085465274739</v>
      </c>
      <c r="I22" s="115">
        <v>51.819085465274739</v>
      </c>
      <c r="J22" s="115">
        <v>51.819085465274739</v>
      </c>
      <c r="K22" s="115">
        <v>51.819085465274739</v>
      </c>
      <c r="L22" s="115">
        <v>51.819085465274739</v>
      </c>
      <c r="M22" s="332"/>
    </row>
    <row r="23" spans="1:13" x14ac:dyDescent="0.25">
      <c r="A23" s="105">
        <v>2017</v>
      </c>
      <c r="B23" s="115">
        <v>50.863564560753119</v>
      </c>
      <c r="C23" s="115">
        <v>50.863564560753119</v>
      </c>
      <c r="D23" s="115">
        <v>50.863564560753119</v>
      </c>
      <c r="E23" s="115">
        <v>50.863564560753119</v>
      </c>
      <c r="F23" s="115">
        <v>50.863564560753119</v>
      </c>
      <c r="G23" s="115">
        <v>50.863564560753119</v>
      </c>
      <c r="H23" s="115">
        <v>50.863564560753119</v>
      </c>
      <c r="I23" s="115">
        <v>50.863564560753119</v>
      </c>
      <c r="J23" s="115">
        <v>50.863564560753119</v>
      </c>
      <c r="K23" s="115">
        <v>50.863564560753119</v>
      </c>
      <c r="L23" s="115">
        <v>50.863564560753119</v>
      </c>
      <c r="M23" s="335"/>
    </row>
    <row r="24" spans="1:13" x14ac:dyDescent="0.25">
      <c r="A24" s="105">
        <v>2018</v>
      </c>
      <c r="B24" s="115">
        <v>49.268653343201116</v>
      </c>
      <c r="C24" s="115">
        <v>48.734354993442253</v>
      </c>
      <c r="D24" s="115">
        <v>44.923797949015615</v>
      </c>
      <c r="E24" s="115">
        <v>46.217157508681218</v>
      </c>
      <c r="F24" s="115">
        <v>47.162417525055524</v>
      </c>
      <c r="G24" s="115">
        <v>48.00474932007873</v>
      </c>
      <c r="H24" s="115">
        <v>48.734354993442253</v>
      </c>
      <c r="I24" s="115">
        <v>49.476941363381528</v>
      </c>
      <c r="J24" s="115">
        <v>50.330035338464086</v>
      </c>
      <c r="K24" s="115">
        <v>51.375230147231996</v>
      </c>
      <c r="L24" s="115">
        <v>52.734111417732308</v>
      </c>
      <c r="M24" s="335"/>
    </row>
    <row r="25" spans="1:13" x14ac:dyDescent="0.25">
      <c r="A25" s="105">
        <v>2019</v>
      </c>
      <c r="B25" s="115">
        <v>46.524525986890588</v>
      </c>
      <c r="C25" s="115">
        <v>46.76176948059976</v>
      </c>
      <c r="D25" s="115">
        <v>39.899273054061858</v>
      </c>
      <c r="E25" s="115">
        <v>42.311551050435867</v>
      </c>
      <c r="F25" s="115">
        <v>44.048727019192171</v>
      </c>
      <c r="G25" s="115">
        <v>45.411010792628758</v>
      </c>
      <c r="H25" s="115">
        <v>46.76176948059976</v>
      </c>
      <c r="I25" s="115">
        <v>48.072162373289132</v>
      </c>
      <c r="J25" s="115">
        <v>49.631043551295754</v>
      </c>
      <c r="K25" s="115">
        <v>51.635727902334125</v>
      </c>
      <c r="L25" s="115">
        <v>54.179673379412321</v>
      </c>
      <c r="M25" s="335"/>
    </row>
    <row r="26" spans="1:13" x14ac:dyDescent="0.25">
      <c r="A26" s="445">
        <v>2020</v>
      </c>
      <c r="B26" s="446">
        <v>44.858014497269863</v>
      </c>
      <c r="C26" s="446">
        <v>45.602327376450582</v>
      </c>
      <c r="D26" s="446">
        <v>37.044344296310719</v>
      </c>
      <c r="E26" s="446">
        <v>39.951432561932407</v>
      </c>
      <c r="F26" s="446">
        <v>42.16434850092876</v>
      </c>
      <c r="G26" s="446">
        <v>43.854666962017731</v>
      </c>
      <c r="H26" s="446">
        <v>45.602327376450582</v>
      </c>
      <c r="I26" s="446">
        <v>47.410838867727378</v>
      </c>
      <c r="J26" s="446">
        <v>49.159079610225568</v>
      </c>
      <c r="K26" s="446">
        <v>51.433149576009285</v>
      </c>
      <c r="L26" s="446">
        <v>54.969539987708359</v>
      </c>
      <c r="M26" s="335"/>
    </row>
    <row r="27" spans="1:13" x14ac:dyDescent="0.25">
      <c r="A27" s="105">
        <v>2021</v>
      </c>
      <c r="B27" s="441">
        <v>43.295611253716935</v>
      </c>
      <c r="C27" s="441">
        <v>45.222711792599831</v>
      </c>
      <c r="D27" s="441">
        <v>35.969702703322532</v>
      </c>
      <c r="E27" s="441">
        <v>39.016838996882662</v>
      </c>
      <c r="F27" s="441">
        <v>41.370442481751624</v>
      </c>
      <c r="G27" s="441">
        <v>43.398631676089188</v>
      </c>
      <c r="H27" s="441">
        <v>45.222711792599831</v>
      </c>
      <c r="I27" s="441">
        <v>47.254082251604224</v>
      </c>
      <c r="J27" s="441">
        <v>49.32626939182019</v>
      </c>
      <c r="K27" s="441">
        <v>51.636698714840399</v>
      </c>
      <c r="L27" s="441">
        <v>55.286629493890203</v>
      </c>
      <c r="M27" s="335"/>
    </row>
    <row r="28" spans="1:13" x14ac:dyDescent="0.25">
      <c r="A28" s="330"/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</row>
    <row r="29" spans="1:13" x14ac:dyDescent="0.25">
      <c r="A29" s="105"/>
      <c r="B29" s="336"/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</row>
    <row r="30" spans="1:13" x14ac:dyDescent="0.25">
      <c r="A30" s="105"/>
      <c r="B30" s="336"/>
      <c r="C30" s="336"/>
      <c r="D30" s="336"/>
      <c r="E30" s="336"/>
      <c r="F30" s="336"/>
      <c r="G30" s="336"/>
      <c r="H30" s="336"/>
      <c r="I30" s="336"/>
      <c r="J30" s="336"/>
      <c r="K30" s="336"/>
      <c r="L30" s="336"/>
      <c r="M30" s="336"/>
    </row>
    <row r="31" spans="1:13" x14ac:dyDescent="0.25">
      <c r="A31" s="105"/>
      <c r="B31" s="336"/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</row>
    <row r="32" spans="1:13" x14ac:dyDescent="0.25">
      <c r="A32" s="105"/>
      <c r="B32" s="336"/>
      <c r="C32" s="336"/>
      <c r="D32" s="336"/>
      <c r="E32" s="336"/>
      <c r="F32" s="336"/>
      <c r="G32" s="336"/>
      <c r="H32" s="336"/>
      <c r="I32" s="336"/>
      <c r="J32" s="336"/>
      <c r="K32" s="336"/>
      <c r="L32" s="336"/>
      <c r="M32" s="336"/>
    </row>
    <row r="33" spans="1:18" x14ac:dyDescent="0.25">
      <c r="A33" s="309"/>
      <c r="B33" s="309" t="s">
        <v>507</v>
      </c>
      <c r="C33" s="309" t="s">
        <v>449</v>
      </c>
      <c r="D33" s="309"/>
      <c r="E33" s="309"/>
      <c r="F33" s="309"/>
      <c r="G33" s="309"/>
      <c r="H33" s="309"/>
      <c r="I33" s="309"/>
      <c r="J33" s="309"/>
      <c r="K33" s="309"/>
      <c r="L33" s="309"/>
      <c r="M33" s="309"/>
    </row>
    <row r="34" spans="1:18" x14ac:dyDescent="0.25">
      <c r="A34" s="445"/>
      <c r="B34" s="445" t="s">
        <v>447</v>
      </c>
      <c r="C34" s="445" t="s">
        <v>448</v>
      </c>
      <c r="D34" s="445"/>
      <c r="E34" s="445"/>
      <c r="F34" s="445"/>
      <c r="G34" s="445"/>
      <c r="H34" s="445"/>
      <c r="I34" s="445"/>
      <c r="J34" s="445"/>
      <c r="K34" s="445"/>
      <c r="L34" s="445"/>
      <c r="M34" s="445"/>
    </row>
    <row r="35" spans="1:18" x14ac:dyDescent="0.25">
      <c r="A35" s="105">
        <f t="shared" ref="A35:C56" si="0">+A4</f>
        <v>1998</v>
      </c>
      <c r="B35" s="336">
        <f t="shared" si="0"/>
        <v>33.860943795753776</v>
      </c>
      <c r="C35" s="336">
        <f t="shared" si="0"/>
        <v>33.860943795753776</v>
      </c>
      <c r="D35" s="336">
        <f t="shared" ref="D35:D38" si="1">+B35-C35</f>
        <v>0</v>
      </c>
      <c r="E35" s="336">
        <f t="shared" ref="E35:E56" si="2">+D4</f>
        <v>33.860943795753776</v>
      </c>
      <c r="F35" s="336">
        <f t="shared" ref="F35:F56" si="3">+E4-D4</f>
        <v>0</v>
      </c>
      <c r="G35" s="336">
        <f t="shared" ref="G35:G56" si="4">+F4-E4</f>
        <v>0</v>
      </c>
      <c r="H35" s="336">
        <f t="shared" ref="H35:H56" si="5">+G4-F4</f>
        <v>0</v>
      </c>
      <c r="I35" s="336">
        <f t="shared" ref="I35:I56" si="6">+H4-G4</f>
        <v>0</v>
      </c>
      <c r="J35" s="336">
        <f t="shared" ref="J35:J56" si="7">+I4-H4</f>
        <v>0</v>
      </c>
      <c r="K35" s="336">
        <f t="shared" ref="K35:K56" si="8">+J4-I4</f>
        <v>0</v>
      </c>
      <c r="L35" s="336">
        <f t="shared" ref="L35:L56" si="9">+K4-J4</f>
        <v>0</v>
      </c>
      <c r="M35" s="336">
        <f t="shared" ref="M35:M56" si="10">+L4-K4</f>
        <v>0</v>
      </c>
    </row>
    <row r="36" spans="1:18" x14ac:dyDescent="0.25">
      <c r="A36" s="105">
        <f t="shared" si="0"/>
        <v>1999</v>
      </c>
      <c r="B36" s="336">
        <f t="shared" si="0"/>
        <v>47.07994984798902</v>
      </c>
      <c r="C36" s="336">
        <f t="shared" si="0"/>
        <v>47.07994984798902</v>
      </c>
      <c r="D36" s="336">
        <f t="shared" si="1"/>
        <v>0</v>
      </c>
      <c r="E36" s="336">
        <f t="shared" si="2"/>
        <v>47.07994984798902</v>
      </c>
      <c r="F36" s="336">
        <f t="shared" si="3"/>
        <v>0</v>
      </c>
      <c r="G36" s="336">
        <f t="shared" si="4"/>
        <v>0</v>
      </c>
      <c r="H36" s="336">
        <f t="shared" si="5"/>
        <v>0</v>
      </c>
      <c r="I36" s="336">
        <f t="shared" si="6"/>
        <v>0</v>
      </c>
      <c r="J36" s="336">
        <f t="shared" si="7"/>
        <v>0</v>
      </c>
      <c r="K36" s="336">
        <f t="shared" si="8"/>
        <v>0</v>
      </c>
      <c r="L36" s="336">
        <f t="shared" si="9"/>
        <v>0</v>
      </c>
      <c r="M36" s="336">
        <f t="shared" si="10"/>
        <v>0</v>
      </c>
    </row>
    <row r="37" spans="1:18" x14ac:dyDescent="0.25">
      <c r="A37" s="105">
        <f t="shared" si="0"/>
        <v>2000</v>
      </c>
      <c r="B37" s="336">
        <f t="shared" si="0"/>
        <v>49.623613418770361</v>
      </c>
      <c r="C37" s="336">
        <f t="shared" si="0"/>
        <v>49.623613418770361</v>
      </c>
      <c r="D37" s="336">
        <f t="shared" si="1"/>
        <v>0</v>
      </c>
      <c r="E37" s="336">
        <f t="shared" si="2"/>
        <v>49.623613418770361</v>
      </c>
      <c r="F37" s="336">
        <f t="shared" si="3"/>
        <v>0</v>
      </c>
      <c r="G37" s="336">
        <f t="shared" si="4"/>
        <v>0</v>
      </c>
      <c r="H37" s="336">
        <f t="shared" si="5"/>
        <v>0</v>
      </c>
      <c r="I37" s="336">
        <f t="shared" si="6"/>
        <v>0</v>
      </c>
      <c r="J37" s="336">
        <f t="shared" si="7"/>
        <v>0</v>
      </c>
      <c r="K37" s="336">
        <f t="shared" si="8"/>
        <v>0</v>
      </c>
      <c r="L37" s="336">
        <f t="shared" si="9"/>
        <v>0</v>
      </c>
      <c r="M37" s="336">
        <f t="shared" si="10"/>
        <v>0</v>
      </c>
    </row>
    <row r="38" spans="1:18" x14ac:dyDescent="0.25">
      <c r="A38" s="105">
        <f t="shared" si="0"/>
        <v>2001</v>
      </c>
      <c r="B38" s="336">
        <f t="shared" si="0"/>
        <v>48.281258206277919</v>
      </c>
      <c r="C38" s="336">
        <f t="shared" si="0"/>
        <v>48.281258206277919</v>
      </c>
      <c r="D38" s="336">
        <f t="shared" si="1"/>
        <v>0</v>
      </c>
      <c r="E38" s="336">
        <f t="shared" si="2"/>
        <v>48.281258206277919</v>
      </c>
      <c r="F38" s="336">
        <f t="shared" si="3"/>
        <v>0</v>
      </c>
      <c r="G38" s="336">
        <f t="shared" si="4"/>
        <v>0</v>
      </c>
      <c r="H38" s="336">
        <f t="shared" si="5"/>
        <v>0</v>
      </c>
      <c r="I38" s="336">
        <f t="shared" si="6"/>
        <v>0</v>
      </c>
      <c r="J38" s="336">
        <f t="shared" si="7"/>
        <v>0</v>
      </c>
      <c r="K38" s="336">
        <f t="shared" si="8"/>
        <v>0</v>
      </c>
      <c r="L38" s="336">
        <f t="shared" si="9"/>
        <v>0</v>
      </c>
      <c r="M38" s="336">
        <f t="shared" si="10"/>
        <v>0</v>
      </c>
    </row>
    <row r="39" spans="1:18" x14ac:dyDescent="0.25">
      <c r="A39" s="105">
        <f t="shared" si="0"/>
        <v>2002</v>
      </c>
      <c r="B39" s="336">
        <f t="shared" si="0"/>
        <v>42.88215599197013</v>
      </c>
      <c r="C39" s="336">
        <f t="shared" si="0"/>
        <v>42.88215599197013</v>
      </c>
      <c r="D39" s="336">
        <f>+B39-C39</f>
        <v>0</v>
      </c>
      <c r="E39" s="337">
        <f t="shared" si="2"/>
        <v>42.88215599197013</v>
      </c>
      <c r="F39" s="337">
        <f t="shared" si="3"/>
        <v>0</v>
      </c>
      <c r="G39" s="337">
        <f t="shared" si="4"/>
        <v>0</v>
      </c>
      <c r="H39" s="337">
        <f t="shared" si="5"/>
        <v>0</v>
      </c>
      <c r="I39" s="337">
        <f t="shared" si="6"/>
        <v>0</v>
      </c>
      <c r="J39" s="337">
        <f t="shared" si="7"/>
        <v>0</v>
      </c>
      <c r="K39" s="337">
        <f t="shared" si="8"/>
        <v>0</v>
      </c>
      <c r="L39" s="337">
        <f t="shared" si="9"/>
        <v>0</v>
      </c>
      <c r="M39" s="337">
        <f t="shared" si="10"/>
        <v>0</v>
      </c>
    </row>
    <row r="40" spans="1:18" x14ac:dyDescent="0.25">
      <c r="A40" s="105">
        <f t="shared" si="0"/>
        <v>2003</v>
      </c>
      <c r="B40" s="336">
        <f t="shared" si="0"/>
        <v>41.588629367554795</v>
      </c>
      <c r="C40" s="336">
        <f t="shared" si="0"/>
        <v>41.588629367554795</v>
      </c>
      <c r="D40" s="336">
        <f t="shared" ref="D40:D57" si="11">+B40-C40</f>
        <v>0</v>
      </c>
      <c r="E40" s="337">
        <f t="shared" si="2"/>
        <v>41.588629367554795</v>
      </c>
      <c r="F40" s="337">
        <f t="shared" si="3"/>
        <v>0</v>
      </c>
      <c r="G40" s="337">
        <f t="shared" si="4"/>
        <v>0</v>
      </c>
      <c r="H40" s="337">
        <f t="shared" si="5"/>
        <v>0</v>
      </c>
      <c r="I40" s="337">
        <f t="shared" si="6"/>
        <v>0</v>
      </c>
      <c r="J40" s="337">
        <f t="shared" si="7"/>
        <v>0</v>
      </c>
      <c r="K40" s="337">
        <f t="shared" si="8"/>
        <v>0</v>
      </c>
      <c r="L40" s="337">
        <f t="shared" si="9"/>
        <v>0</v>
      </c>
      <c r="M40" s="337">
        <f t="shared" si="10"/>
        <v>0</v>
      </c>
      <c r="Q40" s="335"/>
      <c r="R40" s="335"/>
    </row>
    <row r="41" spans="1:18" x14ac:dyDescent="0.25">
      <c r="A41" s="105">
        <f t="shared" si="0"/>
        <v>2004</v>
      </c>
      <c r="B41" s="336">
        <f t="shared" si="0"/>
        <v>40.639217872327734</v>
      </c>
      <c r="C41" s="336">
        <f t="shared" si="0"/>
        <v>40.639217872327734</v>
      </c>
      <c r="D41" s="336">
        <f t="shared" si="11"/>
        <v>0</v>
      </c>
      <c r="E41" s="337">
        <f t="shared" si="2"/>
        <v>40.639217872327734</v>
      </c>
      <c r="F41" s="337">
        <f t="shared" si="3"/>
        <v>0</v>
      </c>
      <c r="G41" s="337">
        <f t="shared" si="4"/>
        <v>0</v>
      </c>
      <c r="H41" s="337">
        <f t="shared" si="5"/>
        <v>0</v>
      </c>
      <c r="I41" s="337">
        <f t="shared" si="6"/>
        <v>0</v>
      </c>
      <c r="J41" s="337">
        <f t="shared" si="7"/>
        <v>0</v>
      </c>
      <c r="K41" s="337">
        <f t="shared" si="8"/>
        <v>0</v>
      </c>
      <c r="L41" s="337">
        <f t="shared" si="9"/>
        <v>0</v>
      </c>
      <c r="M41" s="337">
        <f t="shared" si="10"/>
        <v>0</v>
      </c>
      <c r="Q41" s="335"/>
      <c r="R41" s="335"/>
    </row>
    <row r="42" spans="1:18" x14ac:dyDescent="0.25">
      <c r="A42" s="105">
        <f t="shared" si="0"/>
        <v>2005</v>
      </c>
      <c r="B42" s="336">
        <f t="shared" si="0"/>
        <v>33.817651269980828</v>
      </c>
      <c r="C42" s="336">
        <f t="shared" si="0"/>
        <v>33.817651269980828</v>
      </c>
      <c r="D42" s="336">
        <f t="shared" si="11"/>
        <v>0</v>
      </c>
      <c r="E42" s="337">
        <f t="shared" si="2"/>
        <v>33.817651269980828</v>
      </c>
      <c r="F42" s="337">
        <f t="shared" si="3"/>
        <v>0</v>
      </c>
      <c r="G42" s="337">
        <f t="shared" si="4"/>
        <v>0</v>
      </c>
      <c r="H42" s="337">
        <f t="shared" si="5"/>
        <v>0</v>
      </c>
      <c r="I42" s="337">
        <f t="shared" si="6"/>
        <v>0</v>
      </c>
      <c r="J42" s="337">
        <f t="shared" si="7"/>
        <v>0</v>
      </c>
      <c r="K42" s="337">
        <f t="shared" si="8"/>
        <v>0</v>
      </c>
      <c r="L42" s="337">
        <f t="shared" si="9"/>
        <v>0</v>
      </c>
      <c r="M42" s="337">
        <f t="shared" si="10"/>
        <v>0</v>
      </c>
      <c r="Q42" s="335"/>
      <c r="R42" s="335"/>
    </row>
    <row r="43" spans="1:18" x14ac:dyDescent="0.25">
      <c r="A43" s="105">
        <f t="shared" si="0"/>
        <v>2006</v>
      </c>
      <c r="B43" s="336">
        <f t="shared" si="0"/>
        <v>30.676534834780224</v>
      </c>
      <c r="C43" s="336">
        <f t="shared" si="0"/>
        <v>30.676534834780224</v>
      </c>
      <c r="D43" s="336">
        <f t="shared" si="11"/>
        <v>0</v>
      </c>
      <c r="E43" s="337">
        <f t="shared" si="2"/>
        <v>30.676534834780224</v>
      </c>
      <c r="F43" s="337">
        <f t="shared" si="3"/>
        <v>0</v>
      </c>
      <c r="G43" s="337">
        <f t="shared" si="4"/>
        <v>0</v>
      </c>
      <c r="H43" s="337">
        <f t="shared" si="5"/>
        <v>0</v>
      </c>
      <c r="I43" s="337">
        <f t="shared" si="6"/>
        <v>0</v>
      </c>
      <c r="J43" s="337">
        <f t="shared" si="7"/>
        <v>0</v>
      </c>
      <c r="K43" s="337">
        <f t="shared" si="8"/>
        <v>0</v>
      </c>
      <c r="L43" s="337">
        <f t="shared" si="9"/>
        <v>0</v>
      </c>
      <c r="M43" s="337">
        <f t="shared" si="10"/>
        <v>0</v>
      </c>
      <c r="Q43" s="335"/>
      <c r="R43" s="335"/>
    </row>
    <row r="44" spans="1:18" x14ac:dyDescent="0.25">
      <c r="A44" s="105">
        <f t="shared" si="0"/>
        <v>2007</v>
      </c>
      <c r="B44" s="336">
        <f t="shared" si="0"/>
        <v>29.817355258158408</v>
      </c>
      <c r="C44" s="336">
        <f t="shared" si="0"/>
        <v>29.817355258158408</v>
      </c>
      <c r="D44" s="336">
        <f t="shared" si="11"/>
        <v>0</v>
      </c>
      <c r="E44" s="337">
        <f t="shared" si="2"/>
        <v>29.817355258158408</v>
      </c>
      <c r="F44" s="337">
        <f t="shared" si="3"/>
        <v>0</v>
      </c>
      <c r="G44" s="337">
        <f t="shared" si="4"/>
        <v>0</v>
      </c>
      <c r="H44" s="337">
        <f t="shared" si="5"/>
        <v>0</v>
      </c>
      <c r="I44" s="337">
        <f t="shared" si="6"/>
        <v>0</v>
      </c>
      <c r="J44" s="337">
        <f t="shared" si="7"/>
        <v>0</v>
      </c>
      <c r="K44" s="337">
        <f t="shared" si="8"/>
        <v>0</v>
      </c>
      <c r="L44" s="337">
        <f t="shared" si="9"/>
        <v>0</v>
      </c>
      <c r="M44" s="337">
        <f t="shared" si="10"/>
        <v>0</v>
      </c>
      <c r="Q44" s="335"/>
      <c r="R44" s="335"/>
    </row>
    <row r="45" spans="1:18" x14ac:dyDescent="0.25">
      <c r="A45" s="105">
        <f t="shared" si="0"/>
        <v>2008</v>
      </c>
      <c r="B45" s="336">
        <f t="shared" si="0"/>
        <v>28.14402572997869</v>
      </c>
      <c r="C45" s="336">
        <f t="shared" si="0"/>
        <v>28.14402572997869</v>
      </c>
      <c r="D45" s="336">
        <f t="shared" si="11"/>
        <v>0</v>
      </c>
      <c r="E45" s="337">
        <f t="shared" si="2"/>
        <v>28.14402572997869</v>
      </c>
      <c r="F45" s="337">
        <f t="shared" si="3"/>
        <v>0</v>
      </c>
      <c r="G45" s="337">
        <f t="shared" si="4"/>
        <v>0</v>
      </c>
      <c r="H45" s="337">
        <f t="shared" si="5"/>
        <v>0</v>
      </c>
      <c r="I45" s="337">
        <f t="shared" si="6"/>
        <v>0</v>
      </c>
      <c r="J45" s="337">
        <f t="shared" si="7"/>
        <v>0</v>
      </c>
      <c r="K45" s="337">
        <f t="shared" si="8"/>
        <v>0</v>
      </c>
      <c r="L45" s="337">
        <f t="shared" si="9"/>
        <v>0</v>
      </c>
      <c r="M45" s="337">
        <f t="shared" si="10"/>
        <v>0</v>
      </c>
      <c r="Q45" s="335"/>
      <c r="R45" s="335"/>
    </row>
    <row r="46" spans="1:18" x14ac:dyDescent="0.25">
      <c r="A46" s="105">
        <f t="shared" si="0"/>
        <v>2009</v>
      </c>
      <c r="B46" s="336">
        <f t="shared" si="0"/>
        <v>35.892848047362186</v>
      </c>
      <c r="C46" s="336">
        <f t="shared" si="0"/>
        <v>35.892848047362186</v>
      </c>
      <c r="D46" s="336">
        <f t="shared" si="11"/>
        <v>0</v>
      </c>
      <c r="E46" s="337">
        <f t="shared" si="2"/>
        <v>35.892848047362186</v>
      </c>
      <c r="F46" s="337">
        <f t="shared" si="3"/>
        <v>0</v>
      </c>
      <c r="G46" s="337">
        <f t="shared" si="4"/>
        <v>0</v>
      </c>
      <c r="H46" s="337">
        <f t="shared" si="5"/>
        <v>0</v>
      </c>
      <c r="I46" s="337">
        <f t="shared" si="6"/>
        <v>0</v>
      </c>
      <c r="J46" s="337">
        <f t="shared" si="7"/>
        <v>0</v>
      </c>
      <c r="K46" s="337">
        <f t="shared" si="8"/>
        <v>0</v>
      </c>
      <c r="L46" s="337">
        <f t="shared" si="9"/>
        <v>0</v>
      </c>
      <c r="M46" s="337">
        <f t="shared" si="10"/>
        <v>0</v>
      </c>
    </row>
    <row r="47" spans="1:18" x14ac:dyDescent="0.25">
      <c r="A47" s="105">
        <f t="shared" si="0"/>
        <v>2010</v>
      </c>
      <c r="B47" s="336">
        <f t="shared" si="0"/>
        <v>40.700508727133297</v>
      </c>
      <c r="C47" s="336">
        <f t="shared" si="0"/>
        <v>40.700508727133297</v>
      </c>
      <c r="D47" s="336">
        <f t="shared" si="11"/>
        <v>0</v>
      </c>
      <c r="E47" s="337">
        <f t="shared" si="2"/>
        <v>40.700508727133297</v>
      </c>
      <c r="F47" s="337">
        <f t="shared" si="3"/>
        <v>0</v>
      </c>
      <c r="G47" s="337">
        <f t="shared" si="4"/>
        <v>0</v>
      </c>
      <c r="H47" s="337">
        <f t="shared" si="5"/>
        <v>0</v>
      </c>
      <c r="I47" s="337">
        <f t="shared" si="6"/>
        <v>0</v>
      </c>
      <c r="J47" s="337">
        <f t="shared" si="7"/>
        <v>0</v>
      </c>
      <c r="K47" s="337">
        <f t="shared" si="8"/>
        <v>0</v>
      </c>
      <c r="L47" s="337">
        <f t="shared" si="9"/>
        <v>0</v>
      </c>
      <c r="M47" s="337">
        <f t="shared" si="10"/>
        <v>0</v>
      </c>
    </row>
    <row r="48" spans="1:18" x14ac:dyDescent="0.25">
      <c r="A48" s="105">
        <f t="shared" si="0"/>
        <v>2011</v>
      </c>
      <c r="B48" s="336">
        <f t="shared" si="0"/>
        <v>43.156457911650328</v>
      </c>
      <c r="C48" s="336">
        <f t="shared" si="0"/>
        <v>43.156457911650328</v>
      </c>
      <c r="D48" s="336">
        <f t="shared" si="11"/>
        <v>0</v>
      </c>
      <c r="E48" s="337">
        <f t="shared" si="2"/>
        <v>43.156457911650328</v>
      </c>
      <c r="F48" s="337">
        <f t="shared" si="3"/>
        <v>0</v>
      </c>
      <c r="G48" s="337">
        <f t="shared" si="4"/>
        <v>0</v>
      </c>
      <c r="H48" s="337">
        <f t="shared" si="5"/>
        <v>0</v>
      </c>
      <c r="I48" s="337">
        <f t="shared" si="6"/>
        <v>0</v>
      </c>
      <c r="J48" s="337">
        <f t="shared" si="7"/>
        <v>0</v>
      </c>
      <c r="K48" s="337">
        <f t="shared" si="8"/>
        <v>0</v>
      </c>
      <c r="L48" s="337">
        <f t="shared" si="9"/>
        <v>0</v>
      </c>
      <c r="M48" s="337">
        <f t="shared" si="10"/>
        <v>0</v>
      </c>
    </row>
    <row r="49" spans="1:13" x14ac:dyDescent="0.25">
      <c r="A49" s="105">
        <f t="shared" si="0"/>
        <v>2012</v>
      </c>
      <c r="B49" s="336">
        <f t="shared" si="0"/>
        <v>51.735739372043824</v>
      </c>
      <c r="C49" s="336">
        <f t="shared" si="0"/>
        <v>51.735739372043824</v>
      </c>
      <c r="D49" s="336">
        <f t="shared" si="11"/>
        <v>0</v>
      </c>
      <c r="E49" s="337">
        <f t="shared" si="2"/>
        <v>51.735739372043824</v>
      </c>
      <c r="F49" s="337">
        <f t="shared" si="3"/>
        <v>0</v>
      </c>
      <c r="G49" s="337">
        <f t="shared" si="4"/>
        <v>0</v>
      </c>
      <c r="H49" s="337">
        <f t="shared" si="5"/>
        <v>0</v>
      </c>
      <c r="I49" s="337">
        <f t="shared" si="6"/>
        <v>0</v>
      </c>
      <c r="J49" s="337">
        <f t="shared" si="7"/>
        <v>0</v>
      </c>
      <c r="K49" s="337">
        <f t="shared" si="8"/>
        <v>0</v>
      </c>
      <c r="L49" s="337">
        <f t="shared" si="9"/>
        <v>0</v>
      </c>
      <c r="M49" s="337">
        <f t="shared" si="10"/>
        <v>0</v>
      </c>
    </row>
    <row r="50" spans="1:13" x14ac:dyDescent="0.25">
      <c r="A50" s="105">
        <f t="shared" si="0"/>
        <v>2013</v>
      </c>
      <c r="B50" s="336">
        <f t="shared" si="0"/>
        <v>54.313562057737364</v>
      </c>
      <c r="C50" s="336">
        <f t="shared" si="0"/>
        <v>54.313562057737364</v>
      </c>
      <c r="D50" s="336">
        <f t="shared" si="11"/>
        <v>0</v>
      </c>
      <c r="E50" s="337">
        <f t="shared" si="2"/>
        <v>54.313562057737364</v>
      </c>
      <c r="F50" s="337">
        <f t="shared" si="3"/>
        <v>0</v>
      </c>
      <c r="G50" s="337">
        <f t="shared" si="4"/>
        <v>0</v>
      </c>
      <c r="H50" s="337">
        <f t="shared" si="5"/>
        <v>0</v>
      </c>
      <c r="I50" s="337">
        <f t="shared" si="6"/>
        <v>0</v>
      </c>
      <c r="J50" s="337">
        <f t="shared" si="7"/>
        <v>0</v>
      </c>
      <c r="K50" s="337">
        <f t="shared" si="8"/>
        <v>0</v>
      </c>
      <c r="L50" s="337">
        <f t="shared" si="9"/>
        <v>0</v>
      </c>
      <c r="M50" s="337">
        <f t="shared" si="10"/>
        <v>0</v>
      </c>
    </row>
    <row r="51" spans="1:13" x14ac:dyDescent="0.25">
      <c r="A51" s="105">
        <f t="shared" si="0"/>
        <v>2014</v>
      </c>
      <c r="B51" s="336">
        <f t="shared" si="0"/>
        <v>53.523723760720664</v>
      </c>
      <c r="C51" s="336">
        <f t="shared" si="0"/>
        <v>53.523723760720664</v>
      </c>
      <c r="D51" s="336">
        <f t="shared" si="11"/>
        <v>0</v>
      </c>
      <c r="E51" s="337">
        <f t="shared" si="2"/>
        <v>53.523723760720664</v>
      </c>
      <c r="F51" s="337">
        <f t="shared" si="3"/>
        <v>0</v>
      </c>
      <c r="G51" s="337">
        <f t="shared" si="4"/>
        <v>0</v>
      </c>
      <c r="H51" s="337">
        <f t="shared" si="5"/>
        <v>0</v>
      </c>
      <c r="I51" s="337">
        <f t="shared" si="6"/>
        <v>0</v>
      </c>
      <c r="J51" s="337">
        <f t="shared" si="7"/>
        <v>0</v>
      </c>
      <c r="K51" s="337">
        <f t="shared" si="8"/>
        <v>0</v>
      </c>
      <c r="L51" s="337">
        <f t="shared" si="9"/>
        <v>0</v>
      </c>
      <c r="M51" s="337">
        <f t="shared" si="10"/>
        <v>0</v>
      </c>
    </row>
    <row r="52" spans="1:13" x14ac:dyDescent="0.25">
      <c r="A52" s="105">
        <f t="shared" si="0"/>
        <v>2015</v>
      </c>
      <c r="B52" s="336">
        <f t="shared" si="0"/>
        <v>52.340737338437428</v>
      </c>
      <c r="C52" s="336">
        <f t="shared" si="0"/>
        <v>52.340737338437428</v>
      </c>
      <c r="D52" s="336">
        <f t="shared" si="11"/>
        <v>0</v>
      </c>
      <c r="E52" s="337">
        <f t="shared" si="2"/>
        <v>52.340737338437428</v>
      </c>
      <c r="F52" s="337">
        <f t="shared" si="3"/>
        <v>0</v>
      </c>
      <c r="G52" s="337">
        <f t="shared" si="4"/>
        <v>0</v>
      </c>
      <c r="H52" s="337">
        <f t="shared" si="5"/>
        <v>0</v>
      </c>
      <c r="I52" s="337">
        <f t="shared" si="6"/>
        <v>0</v>
      </c>
      <c r="J52" s="337">
        <f t="shared" si="7"/>
        <v>0</v>
      </c>
      <c r="K52" s="337">
        <f t="shared" si="8"/>
        <v>0</v>
      </c>
      <c r="L52" s="337">
        <f t="shared" si="9"/>
        <v>0</v>
      </c>
      <c r="M52" s="337">
        <f t="shared" si="10"/>
        <v>0</v>
      </c>
    </row>
    <row r="53" spans="1:13" x14ac:dyDescent="0.25">
      <c r="A53" s="105">
        <f t="shared" si="0"/>
        <v>2016</v>
      </c>
      <c r="B53" s="336">
        <f t="shared" si="0"/>
        <v>51.819085465274739</v>
      </c>
      <c r="C53" s="336">
        <f t="shared" si="0"/>
        <v>51.819085465274739</v>
      </c>
      <c r="D53" s="336">
        <f t="shared" si="11"/>
        <v>0</v>
      </c>
      <c r="E53" s="337">
        <f t="shared" si="2"/>
        <v>51.819085465274739</v>
      </c>
      <c r="F53" s="337">
        <f t="shared" si="3"/>
        <v>0</v>
      </c>
      <c r="G53" s="337">
        <f t="shared" si="4"/>
        <v>0</v>
      </c>
      <c r="H53" s="337">
        <f t="shared" si="5"/>
        <v>0</v>
      </c>
      <c r="I53" s="337">
        <f t="shared" si="6"/>
        <v>0</v>
      </c>
      <c r="J53" s="337">
        <f t="shared" si="7"/>
        <v>0</v>
      </c>
      <c r="K53" s="337">
        <f t="shared" si="8"/>
        <v>0</v>
      </c>
      <c r="L53" s="337">
        <f t="shared" si="9"/>
        <v>0</v>
      </c>
      <c r="M53" s="337">
        <f t="shared" si="10"/>
        <v>0</v>
      </c>
    </row>
    <row r="54" spans="1:13" x14ac:dyDescent="0.25">
      <c r="A54" s="105">
        <f t="shared" si="0"/>
        <v>2017</v>
      </c>
      <c r="B54" s="336">
        <f t="shared" si="0"/>
        <v>50.863564560753119</v>
      </c>
      <c r="C54" s="336">
        <f t="shared" si="0"/>
        <v>50.863564560753119</v>
      </c>
      <c r="D54" s="115">
        <f t="shared" si="11"/>
        <v>0</v>
      </c>
      <c r="E54" s="337">
        <f t="shared" si="2"/>
        <v>50.863564560753119</v>
      </c>
      <c r="F54" s="337">
        <f t="shared" si="3"/>
        <v>0</v>
      </c>
      <c r="G54" s="337">
        <f t="shared" si="4"/>
        <v>0</v>
      </c>
      <c r="H54" s="337">
        <f t="shared" si="5"/>
        <v>0</v>
      </c>
      <c r="I54" s="337">
        <f t="shared" si="6"/>
        <v>0</v>
      </c>
      <c r="J54" s="337">
        <f t="shared" si="7"/>
        <v>0</v>
      </c>
      <c r="K54" s="337">
        <f t="shared" si="8"/>
        <v>0</v>
      </c>
      <c r="L54" s="337">
        <f t="shared" si="9"/>
        <v>0</v>
      </c>
      <c r="M54" s="337">
        <f t="shared" si="10"/>
        <v>0</v>
      </c>
    </row>
    <row r="55" spans="1:13" x14ac:dyDescent="0.25">
      <c r="A55" s="105">
        <f t="shared" si="0"/>
        <v>2018</v>
      </c>
      <c r="B55" s="336">
        <f t="shared" si="0"/>
        <v>49.268653343201116</v>
      </c>
      <c r="C55" s="336">
        <f t="shared" si="0"/>
        <v>48.734354993442253</v>
      </c>
      <c r="D55" s="115">
        <f t="shared" si="11"/>
        <v>0.53429834975886337</v>
      </c>
      <c r="E55" s="337">
        <f t="shared" si="2"/>
        <v>44.923797949015615</v>
      </c>
      <c r="F55" s="337">
        <f t="shared" si="3"/>
        <v>1.2933595596656033</v>
      </c>
      <c r="G55" s="337">
        <f t="shared" si="4"/>
        <v>0.94526001637430568</v>
      </c>
      <c r="H55" s="337">
        <f t="shared" si="5"/>
        <v>0.8423317950232061</v>
      </c>
      <c r="I55" s="337">
        <f t="shared" si="6"/>
        <v>0.72960567336352256</v>
      </c>
      <c r="J55" s="337">
        <f t="shared" si="7"/>
        <v>0.74258636993927496</v>
      </c>
      <c r="K55" s="337">
        <f t="shared" si="8"/>
        <v>0.85309397508255813</v>
      </c>
      <c r="L55" s="337">
        <f t="shared" si="9"/>
        <v>1.0451948087679099</v>
      </c>
      <c r="M55" s="337">
        <f t="shared" si="10"/>
        <v>1.3588812705003122</v>
      </c>
    </row>
    <row r="56" spans="1:13" x14ac:dyDescent="0.25">
      <c r="A56" s="105">
        <f t="shared" si="0"/>
        <v>2019</v>
      </c>
      <c r="B56" s="336">
        <f t="shared" si="0"/>
        <v>46.524525986890588</v>
      </c>
      <c r="C56" s="336">
        <f t="shared" si="0"/>
        <v>46.76176948059976</v>
      </c>
      <c r="D56" s="115">
        <f t="shared" si="11"/>
        <v>-0.23724349370917253</v>
      </c>
      <c r="E56" s="337">
        <f t="shared" si="2"/>
        <v>39.899273054061858</v>
      </c>
      <c r="F56" s="337">
        <f t="shared" si="3"/>
        <v>2.4122779963740086</v>
      </c>
      <c r="G56" s="337">
        <f t="shared" si="4"/>
        <v>1.7371759687563042</v>
      </c>
      <c r="H56" s="337">
        <f t="shared" si="5"/>
        <v>1.3622837734365874</v>
      </c>
      <c r="I56" s="337">
        <f t="shared" si="6"/>
        <v>1.3507586879710018</v>
      </c>
      <c r="J56" s="337">
        <f t="shared" si="7"/>
        <v>1.3103928926893715</v>
      </c>
      <c r="K56" s="337">
        <f t="shared" si="8"/>
        <v>1.5588811780066223</v>
      </c>
      <c r="L56" s="337">
        <f t="shared" si="9"/>
        <v>2.0046843510383709</v>
      </c>
      <c r="M56" s="337">
        <f t="shared" si="10"/>
        <v>2.5439454770781964</v>
      </c>
    </row>
    <row r="57" spans="1:13" x14ac:dyDescent="0.25">
      <c r="A57" s="445">
        <f t="shared" ref="A57:C58" si="12">+A26</f>
        <v>2020</v>
      </c>
      <c r="B57" s="447">
        <f t="shared" si="12"/>
        <v>44.858014497269863</v>
      </c>
      <c r="C57" s="447">
        <f t="shared" si="12"/>
        <v>45.602327376450582</v>
      </c>
      <c r="D57" s="446">
        <f t="shared" si="11"/>
        <v>-0.74431287918071831</v>
      </c>
      <c r="E57" s="448">
        <f t="shared" ref="E57" si="13">+D26</f>
        <v>37.044344296310719</v>
      </c>
      <c r="F57" s="448">
        <f t="shared" ref="F57:M57" si="14">+E26-D26</f>
        <v>2.9070882656216881</v>
      </c>
      <c r="G57" s="448">
        <f t="shared" si="14"/>
        <v>2.2129159389963533</v>
      </c>
      <c r="H57" s="448">
        <f t="shared" si="14"/>
        <v>1.690318461088971</v>
      </c>
      <c r="I57" s="448">
        <f t="shared" si="14"/>
        <v>1.7476604144328505</v>
      </c>
      <c r="J57" s="448">
        <f t="shared" si="14"/>
        <v>1.8085114912767963</v>
      </c>
      <c r="K57" s="448">
        <f t="shared" si="14"/>
        <v>1.7482407424981901</v>
      </c>
      <c r="L57" s="448">
        <f t="shared" si="14"/>
        <v>2.2740699657837169</v>
      </c>
      <c r="M57" s="448">
        <f t="shared" si="14"/>
        <v>3.5363904116990739</v>
      </c>
    </row>
    <row r="58" spans="1:13" x14ac:dyDescent="0.25">
      <c r="A58" s="445">
        <f t="shared" si="12"/>
        <v>2021</v>
      </c>
      <c r="B58" s="447">
        <f t="shared" si="12"/>
        <v>43.295611253716935</v>
      </c>
      <c r="C58" s="447">
        <f t="shared" si="12"/>
        <v>45.222711792599831</v>
      </c>
      <c r="D58" s="446">
        <f t="shared" ref="D58" si="15">+B58-C58</f>
        <v>-1.9271005388828968</v>
      </c>
      <c r="E58" s="448">
        <f t="shared" ref="E58" si="16">+D27</f>
        <v>35.969702703322532</v>
      </c>
      <c r="F58" s="448">
        <f t="shared" ref="F58" si="17">+E27-D27</f>
        <v>3.0471362935601292</v>
      </c>
      <c r="G58" s="448">
        <f t="shared" ref="G58" si="18">+F27-E27</f>
        <v>2.3536034848689624</v>
      </c>
      <c r="H58" s="448">
        <f t="shared" ref="H58" si="19">+G27-F27</f>
        <v>2.0281891943375641</v>
      </c>
      <c r="I58" s="448">
        <f t="shared" ref="I58" si="20">+H27-G27</f>
        <v>1.8240801165106433</v>
      </c>
      <c r="J58" s="448">
        <f t="shared" ref="J58" si="21">+I27-H27</f>
        <v>2.0313704590043926</v>
      </c>
      <c r="K58" s="448">
        <f t="shared" ref="K58" si="22">+J27-I27</f>
        <v>2.0721871402159664</v>
      </c>
      <c r="L58" s="448">
        <f t="shared" ref="L58" si="23">+K27-J27</f>
        <v>2.3104293230202089</v>
      </c>
      <c r="M58" s="448">
        <f t="shared" ref="M58" si="24">+L27-K27</f>
        <v>3.6499307790498037</v>
      </c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/>
  <dimension ref="A3:S36"/>
  <sheetViews>
    <sheetView showGridLines="0" zoomScale="90" zoomScaleNormal="90" workbookViewId="0">
      <selection activeCell="A46" sqref="A46"/>
    </sheetView>
  </sheetViews>
  <sheetFormatPr defaultColWidth="9.140625" defaultRowHeight="13.5" x14ac:dyDescent="0.25"/>
  <cols>
    <col min="1" max="1" width="34.7109375" style="34" bestFit="1" customWidth="1"/>
    <col min="2" max="8" width="9.140625" style="34"/>
    <col min="9" max="9" width="9.85546875" style="34" customWidth="1"/>
    <col min="10" max="10" width="9.140625" style="34"/>
    <col min="11" max="11" width="29.7109375" style="34" customWidth="1"/>
    <col min="12" max="12" width="8.7109375" style="34" customWidth="1"/>
    <col min="13" max="16384" width="9.140625" style="34"/>
  </cols>
  <sheetData>
    <row r="3" spans="1:14" ht="14.25" thickBot="1" x14ac:dyDescent="0.3">
      <c r="A3" s="449" t="s">
        <v>1278</v>
      </c>
      <c r="B3" s="46"/>
      <c r="C3" s="46"/>
      <c r="D3" s="46"/>
      <c r="E3" s="46"/>
      <c r="F3" s="46"/>
      <c r="G3" s="46"/>
      <c r="J3" s="449" t="s">
        <v>1277</v>
      </c>
      <c r="K3" s="46"/>
      <c r="L3" s="46"/>
      <c r="M3" s="46"/>
      <c r="N3" s="46"/>
    </row>
    <row r="18" spans="1:19" s="300" customFormat="1" x14ac:dyDescent="0.25"/>
    <row r="19" spans="1:19" ht="14.25" thickBot="1" x14ac:dyDescent="0.3">
      <c r="A19" s="46"/>
      <c r="B19" s="47">
        <v>2014</v>
      </c>
      <c r="C19" s="47">
        <v>2015</v>
      </c>
      <c r="D19" s="47">
        <v>2016</v>
      </c>
      <c r="E19" s="47">
        <v>2017</v>
      </c>
      <c r="F19" s="47">
        <v>2018</v>
      </c>
      <c r="G19" s="47">
        <v>2019</v>
      </c>
      <c r="H19" s="47">
        <v>2020</v>
      </c>
      <c r="I19" s="47">
        <v>2021</v>
      </c>
      <c r="K19" s="46"/>
      <c r="L19" s="47">
        <f t="shared" ref="L19:M28" si="0">B19</f>
        <v>2014</v>
      </c>
      <c r="M19" s="47">
        <f t="shared" si="0"/>
        <v>2015</v>
      </c>
      <c r="N19" s="47">
        <f t="shared" ref="N19:N28" si="1">D19</f>
        <v>2016</v>
      </c>
      <c r="O19" s="47">
        <f t="shared" ref="O19:O28" si="2">E19</f>
        <v>2017</v>
      </c>
      <c r="P19" s="47">
        <f t="shared" ref="P19:P28" si="3">F19</f>
        <v>2018</v>
      </c>
      <c r="Q19" s="47">
        <f t="shared" ref="Q19:Q28" si="4">G19</f>
        <v>2019</v>
      </c>
      <c r="R19" s="47">
        <f t="shared" ref="R19:R28" si="5">H19</f>
        <v>2020</v>
      </c>
      <c r="S19" s="47">
        <f t="shared" ref="S19:S28" si="6">I19</f>
        <v>2021</v>
      </c>
    </row>
    <row r="20" spans="1:19" ht="14.25" thickBot="1" x14ac:dyDescent="0.3">
      <c r="A20" s="48" t="s">
        <v>130</v>
      </c>
      <c r="B20" s="49">
        <v>-1.2154962996938821</v>
      </c>
      <c r="C20" s="49">
        <v>-1.1829864222832285</v>
      </c>
      <c r="D20" s="49">
        <v>-0.52165187316268913</v>
      </c>
      <c r="E20" s="49">
        <v>-0.95552090452161309</v>
      </c>
      <c r="F20" s="49">
        <v>-1.5949095237322908</v>
      </c>
      <c r="G20" s="49">
        <v>-2.7441305469879467</v>
      </c>
      <c r="H20" s="49">
        <v>-1.6665116199530701</v>
      </c>
      <c r="I20" s="49">
        <v>-1.5624009073444753</v>
      </c>
      <c r="K20" s="48" t="s">
        <v>390</v>
      </c>
      <c r="L20" s="49">
        <f t="shared" si="0"/>
        <v>-1.2154962996938821</v>
      </c>
      <c r="M20" s="49">
        <f t="shared" si="0"/>
        <v>-1.1829864222832285</v>
      </c>
      <c r="N20" s="49">
        <f t="shared" si="1"/>
        <v>-0.52165187316268913</v>
      </c>
      <c r="O20" s="49">
        <f t="shared" si="2"/>
        <v>-0.95552090452161309</v>
      </c>
      <c r="P20" s="49">
        <f t="shared" si="3"/>
        <v>-1.5949095237322908</v>
      </c>
      <c r="Q20" s="49">
        <f t="shared" si="4"/>
        <v>-2.7441305469879467</v>
      </c>
      <c r="R20" s="49">
        <f t="shared" si="5"/>
        <v>-1.6665116199530701</v>
      </c>
      <c r="S20" s="49">
        <f t="shared" si="6"/>
        <v>-1.5624009073444753</v>
      </c>
    </row>
    <row r="21" spans="1:19" ht="14.25" thickBot="1" x14ac:dyDescent="0.3">
      <c r="A21" s="50" t="s">
        <v>131</v>
      </c>
      <c r="B21" s="48"/>
      <c r="C21" s="48"/>
      <c r="D21" s="48"/>
      <c r="E21" s="48"/>
      <c r="F21" s="48"/>
      <c r="G21" s="48"/>
      <c r="H21" s="48"/>
      <c r="I21" s="48"/>
      <c r="K21" s="50" t="s">
        <v>391</v>
      </c>
      <c r="L21" s="48">
        <f t="shared" si="0"/>
        <v>0</v>
      </c>
      <c r="M21" s="48">
        <f t="shared" si="0"/>
        <v>0</v>
      </c>
      <c r="N21" s="48">
        <f t="shared" si="1"/>
        <v>0</v>
      </c>
      <c r="O21" s="48">
        <f t="shared" si="2"/>
        <v>0</v>
      </c>
      <c r="P21" s="48">
        <f t="shared" si="3"/>
        <v>0</v>
      </c>
      <c r="Q21" s="48">
        <f t="shared" si="4"/>
        <v>0</v>
      </c>
      <c r="R21" s="48">
        <f t="shared" si="5"/>
        <v>0</v>
      </c>
      <c r="S21" s="48">
        <f t="shared" si="6"/>
        <v>0</v>
      </c>
    </row>
    <row r="22" spans="1:19" x14ac:dyDescent="0.25">
      <c r="A22" s="41" t="s">
        <v>132</v>
      </c>
      <c r="B22" s="43">
        <v>0.80501090654638408</v>
      </c>
      <c r="C22" s="43">
        <v>0.98886967565825468</v>
      </c>
      <c r="D22" s="43">
        <v>0.56047907751051829</v>
      </c>
      <c r="E22" s="43">
        <v>-0.35495830850155641</v>
      </c>
      <c r="F22" s="43">
        <v>-0.46838544819269051</v>
      </c>
      <c r="G22" s="43">
        <v>-0.87834141343833605</v>
      </c>
      <c r="H22" s="43">
        <v>-1.087798872201877</v>
      </c>
      <c r="I22" s="43">
        <v>-1.0594995220079289</v>
      </c>
      <c r="K22" s="41" t="s">
        <v>392</v>
      </c>
      <c r="L22" s="43">
        <f t="shared" si="0"/>
        <v>0.80501090654638408</v>
      </c>
      <c r="M22" s="43">
        <f t="shared" si="0"/>
        <v>0.98886967565825468</v>
      </c>
      <c r="N22" s="43">
        <f t="shared" si="1"/>
        <v>0.56047907751051829</v>
      </c>
      <c r="O22" s="43">
        <f t="shared" si="2"/>
        <v>-0.35495830850155641</v>
      </c>
      <c r="P22" s="43">
        <f t="shared" si="3"/>
        <v>-0.46838544819269051</v>
      </c>
      <c r="Q22" s="43">
        <f t="shared" si="4"/>
        <v>-0.87834141343833605</v>
      </c>
      <c r="R22" s="43">
        <f t="shared" si="5"/>
        <v>-1.087798872201877</v>
      </c>
      <c r="S22" s="43">
        <f t="shared" si="6"/>
        <v>-1.0594995220079289</v>
      </c>
    </row>
    <row r="23" spans="1:19" x14ac:dyDescent="0.25">
      <c r="A23" s="42" t="s">
        <v>133</v>
      </c>
      <c r="B23" s="43">
        <v>0.51749268228322598</v>
      </c>
      <c r="C23" s="43">
        <v>-0.15702762208738008</v>
      </c>
      <c r="D23" s="43">
        <v>0.19001390051003741</v>
      </c>
      <c r="E23" s="43">
        <v>-0.94037591314475644</v>
      </c>
      <c r="F23" s="43">
        <v>-1.6525697290637378</v>
      </c>
      <c r="G23" s="43">
        <v>-1.8473482823816272</v>
      </c>
      <c r="H23" s="43">
        <v>-1.6114225813334435</v>
      </c>
      <c r="I23" s="43">
        <v>-1.3909893827450908</v>
      </c>
      <c r="K23" s="42" t="s">
        <v>393</v>
      </c>
      <c r="L23" s="43">
        <f t="shared" si="0"/>
        <v>0.51749268228322598</v>
      </c>
      <c r="M23" s="43">
        <f t="shared" si="0"/>
        <v>-0.15702762208738008</v>
      </c>
      <c r="N23" s="43">
        <f t="shared" si="1"/>
        <v>0.19001390051003741</v>
      </c>
      <c r="O23" s="43">
        <f t="shared" si="2"/>
        <v>-0.94037591314475644</v>
      </c>
      <c r="P23" s="43">
        <f t="shared" si="3"/>
        <v>-1.6525697290637378</v>
      </c>
      <c r="Q23" s="43">
        <f t="shared" si="4"/>
        <v>-1.8473482823816272</v>
      </c>
      <c r="R23" s="43">
        <f t="shared" si="5"/>
        <v>-1.6114225813334435</v>
      </c>
      <c r="S23" s="43">
        <f t="shared" si="6"/>
        <v>-1.3909893827450908</v>
      </c>
    </row>
    <row r="24" spans="1:19" x14ac:dyDescent="0.25">
      <c r="A24" s="41" t="s">
        <v>134</v>
      </c>
      <c r="B24" s="43">
        <v>1.8972834129797094</v>
      </c>
      <c r="C24" s="43">
        <v>1.7483766663599778</v>
      </c>
      <c r="D24" s="43">
        <v>1.6460169056925698</v>
      </c>
      <c r="E24" s="43">
        <v>1.3956854977747184</v>
      </c>
      <c r="F24" s="43">
        <v>1.2674870324525316</v>
      </c>
      <c r="G24" s="43">
        <v>1.1935180988296663</v>
      </c>
      <c r="H24" s="43">
        <v>1.087798872201877</v>
      </c>
      <c r="I24" s="43">
        <v>1.0594995220079289</v>
      </c>
      <c r="K24" s="41" t="s">
        <v>394</v>
      </c>
      <c r="L24" s="43">
        <f t="shared" si="0"/>
        <v>1.8972834129797094</v>
      </c>
      <c r="M24" s="43">
        <f t="shared" si="0"/>
        <v>1.7483766663599778</v>
      </c>
      <c r="N24" s="43">
        <f t="shared" si="1"/>
        <v>1.6460169056925698</v>
      </c>
      <c r="O24" s="43">
        <f t="shared" si="2"/>
        <v>1.3956854977747184</v>
      </c>
      <c r="P24" s="43">
        <f t="shared" si="3"/>
        <v>1.2674870324525316</v>
      </c>
      <c r="Q24" s="43">
        <f t="shared" si="4"/>
        <v>1.1935180988296663</v>
      </c>
      <c r="R24" s="43">
        <f t="shared" si="5"/>
        <v>1.087798872201877</v>
      </c>
      <c r="S24" s="43">
        <f t="shared" si="6"/>
        <v>1.0594995220079289</v>
      </c>
    </row>
    <row r="25" spans="1:19" x14ac:dyDescent="0.25">
      <c r="A25" s="42" t="s">
        <v>135</v>
      </c>
      <c r="B25" s="43">
        <v>-1.3797907306964834</v>
      </c>
      <c r="C25" s="43">
        <v>-1.9054042884473579</v>
      </c>
      <c r="D25" s="43">
        <v>-1.4560030051825323</v>
      </c>
      <c r="E25" s="43">
        <v>-2.3360614109194748</v>
      </c>
      <c r="F25" s="43">
        <v>-2.9200567615162694</v>
      </c>
      <c r="G25" s="43">
        <v>-3.0408663812112935</v>
      </c>
      <c r="H25" s="43">
        <v>-2.6992214535353205</v>
      </c>
      <c r="I25" s="43">
        <v>-2.4504889047530196</v>
      </c>
      <c r="K25" s="42" t="s">
        <v>395</v>
      </c>
      <c r="L25" s="43">
        <f t="shared" si="0"/>
        <v>-1.3797907306964834</v>
      </c>
      <c r="M25" s="43">
        <f t="shared" si="0"/>
        <v>-1.9054042884473579</v>
      </c>
      <c r="N25" s="43">
        <f t="shared" si="1"/>
        <v>-1.4560030051825323</v>
      </c>
      <c r="O25" s="43">
        <f t="shared" si="2"/>
        <v>-2.3360614109194748</v>
      </c>
      <c r="P25" s="43">
        <f t="shared" si="3"/>
        <v>-2.9200567615162694</v>
      </c>
      <c r="Q25" s="43">
        <f t="shared" si="4"/>
        <v>-3.0408663812112935</v>
      </c>
      <c r="R25" s="43">
        <f t="shared" si="5"/>
        <v>-2.6992214535353205</v>
      </c>
      <c r="S25" s="43">
        <f t="shared" si="6"/>
        <v>-2.4504889047530196</v>
      </c>
    </row>
    <row r="26" spans="1:19" x14ac:dyDescent="0.25">
      <c r="A26" s="453" t="s">
        <v>501</v>
      </c>
      <c r="B26" s="43">
        <v>-1.4629306864555198</v>
      </c>
      <c r="C26" s="43">
        <v>-1.981397591056578</v>
      </c>
      <c r="D26" s="43">
        <v>-1.6768662006357824</v>
      </c>
      <c r="E26" s="43">
        <v>-1.7045064074559106</v>
      </c>
      <c r="F26" s="43">
        <v>-2.091878469358964</v>
      </c>
      <c r="G26" s="43">
        <v>-2.1655614890736765</v>
      </c>
      <c r="H26" s="43">
        <v>-1.7719030934240523</v>
      </c>
      <c r="I26" s="43">
        <v>-1.50430875372881</v>
      </c>
      <c r="K26" s="41" t="s">
        <v>503</v>
      </c>
      <c r="L26" s="43">
        <f t="shared" si="0"/>
        <v>-1.4629306864555198</v>
      </c>
      <c r="M26" s="43">
        <f t="shared" si="0"/>
        <v>-1.981397591056578</v>
      </c>
      <c r="N26" s="43">
        <f t="shared" si="1"/>
        <v>-1.6768662006357824</v>
      </c>
      <c r="O26" s="43">
        <f t="shared" si="2"/>
        <v>-1.7045064074559106</v>
      </c>
      <c r="P26" s="43">
        <f t="shared" si="3"/>
        <v>-2.091878469358964</v>
      </c>
      <c r="Q26" s="43">
        <f t="shared" si="4"/>
        <v>-2.1655614890736765</v>
      </c>
      <c r="R26" s="43">
        <f t="shared" si="5"/>
        <v>-1.7719030934240523</v>
      </c>
      <c r="S26" s="43">
        <f t="shared" si="6"/>
        <v>-1.50430875372881</v>
      </c>
    </row>
    <row r="27" spans="1:19" x14ac:dyDescent="0.25">
      <c r="A27" s="453" t="s">
        <v>502</v>
      </c>
      <c r="B27" s="43">
        <v>8.3139955759036432E-2</v>
      </c>
      <c r="C27" s="43">
        <v>7.5993302609220104E-2</v>
      </c>
      <c r="D27" s="43">
        <v>0.22086319545325006</v>
      </c>
      <c r="E27" s="43">
        <v>-0.63155500346356419</v>
      </c>
      <c r="F27" s="43">
        <v>-0.82817829215730532</v>
      </c>
      <c r="G27" s="43">
        <v>-0.87530489213761697</v>
      </c>
      <c r="H27" s="43">
        <v>-0.92731836011126823</v>
      </c>
      <c r="I27" s="43">
        <v>-0.9461801510242096</v>
      </c>
      <c r="K27" s="41" t="s">
        <v>504</v>
      </c>
      <c r="L27" s="43">
        <f t="shared" si="0"/>
        <v>8.3139955759036432E-2</v>
      </c>
      <c r="M27" s="43">
        <f t="shared" si="0"/>
        <v>7.5993302609220104E-2</v>
      </c>
      <c r="N27" s="43">
        <f t="shared" si="1"/>
        <v>0.22086319545325006</v>
      </c>
      <c r="O27" s="43">
        <f t="shared" si="2"/>
        <v>-0.63155500346356419</v>
      </c>
      <c r="P27" s="43">
        <f t="shared" si="3"/>
        <v>-0.82817829215730532</v>
      </c>
      <c r="Q27" s="43">
        <f t="shared" si="4"/>
        <v>-0.87530489213761697</v>
      </c>
      <c r="R27" s="43">
        <f t="shared" si="5"/>
        <v>-0.92731836011126823</v>
      </c>
      <c r="S27" s="43">
        <f t="shared" si="6"/>
        <v>-0.9461801510242096</v>
      </c>
    </row>
    <row r="28" spans="1:19" ht="14.25" thickBot="1" x14ac:dyDescent="0.3">
      <c r="A28" s="44" t="s">
        <v>136</v>
      </c>
      <c r="B28" s="45">
        <v>-2.5379998885234922</v>
      </c>
      <c r="C28" s="45">
        <v>-2.0148284758541033</v>
      </c>
      <c r="D28" s="45">
        <v>-1.2721448511832449</v>
      </c>
      <c r="E28" s="45">
        <v>0.33981331712469975</v>
      </c>
      <c r="F28" s="45">
        <v>0.52604565352413757</v>
      </c>
      <c r="G28" s="45">
        <v>-1.8440851167983441E-2</v>
      </c>
      <c r="H28" s="45">
        <v>1.0327098335822504</v>
      </c>
      <c r="I28" s="45">
        <v>0.88808799740854427</v>
      </c>
      <c r="K28" s="44" t="s">
        <v>396</v>
      </c>
      <c r="L28" s="45">
        <f t="shared" si="0"/>
        <v>-2.5379998885234922</v>
      </c>
      <c r="M28" s="45">
        <f t="shared" si="0"/>
        <v>-2.0148284758541033</v>
      </c>
      <c r="N28" s="45">
        <f t="shared" si="1"/>
        <v>-1.2721448511832449</v>
      </c>
      <c r="O28" s="45">
        <f t="shared" si="2"/>
        <v>0.33981331712469975</v>
      </c>
      <c r="P28" s="45">
        <f t="shared" si="3"/>
        <v>0.52604565352413757</v>
      </c>
      <c r="Q28" s="45">
        <f t="shared" si="4"/>
        <v>-1.8440851167983441E-2</v>
      </c>
      <c r="R28" s="45">
        <f t="shared" si="5"/>
        <v>1.0327098335822504</v>
      </c>
      <c r="S28" s="45">
        <f t="shared" si="6"/>
        <v>0.88808799740854427</v>
      </c>
    </row>
    <row r="29" spans="1:19" ht="15.75" customHeight="1" x14ac:dyDescent="0.25">
      <c r="A29" s="155"/>
      <c r="D29" s="156"/>
      <c r="E29" s="156"/>
      <c r="F29" s="156"/>
      <c r="G29" s="156"/>
      <c r="H29" s="1003" t="s">
        <v>19</v>
      </c>
      <c r="I29" s="1003"/>
      <c r="K29" s="155"/>
      <c r="N29" s="156"/>
      <c r="O29" s="156"/>
      <c r="P29" s="156"/>
      <c r="Q29" s="156"/>
      <c r="R29" s="1003" t="s">
        <v>397</v>
      </c>
      <c r="S29" s="1003"/>
    </row>
    <row r="30" spans="1:19" ht="15" customHeight="1" x14ac:dyDescent="0.25">
      <c r="B30" s="43"/>
      <c r="C30" s="43"/>
      <c r="D30" s="43"/>
      <c r="E30" s="43"/>
      <c r="F30" s="1002"/>
      <c r="G30" s="1002"/>
      <c r="N30" s="1002"/>
      <c r="O30" s="1002"/>
    </row>
    <row r="36" spans="1:1" x14ac:dyDescent="0.25">
      <c r="A36" s="110"/>
    </row>
  </sheetData>
  <mergeCells count="4">
    <mergeCell ref="F30:G30"/>
    <mergeCell ref="N30:O30"/>
    <mergeCell ref="H29:I29"/>
    <mergeCell ref="R29:S29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/>
  <dimension ref="B2:J31"/>
  <sheetViews>
    <sheetView showGridLines="0" zoomScale="90" zoomScaleNormal="90" workbookViewId="0">
      <selection activeCell="B21" sqref="B21:B30"/>
    </sheetView>
  </sheetViews>
  <sheetFormatPr defaultColWidth="9.140625" defaultRowHeight="13.5" x14ac:dyDescent="0.25"/>
  <cols>
    <col min="1" max="1" width="15.5703125" style="34" customWidth="1"/>
    <col min="2" max="2" width="36.28515625" style="34" bestFit="1" customWidth="1"/>
    <col min="3" max="10" width="6.42578125" style="34" customWidth="1"/>
    <col min="11" max="16384" width="9.140625" style="34"/>
  </cols>
  <sheetData>
    <row r="2" spans="2:10" ht="14.25" thickBot="1" x14ac:dyDescent="0.3">
      <c r="B2" s="994" t="s">
        <v>1490</v>
      </c>
      <c r="C2" s="994"/>
      <c r="D2" s="994"/>
      <c r="E2" s="994"/>
      <c r="F2" s="994"/>
      <c r="G2" s="994"/>
      <c r="H2" s="994"/>
      <c r="I2" s="994"/>
      <c r="J2" s="994"/>
    </row>
    <row r="3" spans="2:10" ht="14.25" thickBot="1" x14ac:dyDescent="0.3">
      <c r="B3" s="16"/>
      <c r="C3" s="11">
        <v>2014</v>
      </c>
      <c r="D3" s="11">
        <v>2015</v>
      </c>
      <c r="E3" s="11">
        <v>2016</v>
      </c>
      <c r="F3" s="11">
        <v>2017</v>
      </c>
      <c r="G3" s="11">
        <v>2018</v>
      </c>
      <c r="H3" s="11">
        <v>2019</v>
      </c>
      <c r="I3" s="11">
        <v>2020</v>
      </c>
      <c r="J3" s="11">
        <v>2021</v>
      </c>
    </row>
    <row r="4" spans="2:10" x14ac:dyDescent="0.25">
      <c r="B4" s="14" t="s">
        <v>1172</v>
      </c>
      <c r="C4" s="661">
        <v>-2.5</v>
      </c>
      <c r="D4" s="661">
        <v>-2</v>
      </c>
      <c r="E4" s="661">
        <v>-1.3</v>
      </c>
      <c r="F4" s="661">
        <v>0.3</v>
      </c>
      <c r="G4" s="661">
        <v>0.5</v>
      </c>
      <c r="H4" s="661">
        <v>0</v>
      </c>
      <c r="I4" s="661">
        <v>1</v>
      </c>
      <c r="J4" s="661">
        <v>0.9</v>
      </c>
    </row>
    <row r="5" spans="2:10" x14ac:dyDescent="0.25">
      <c r="B5" s="7" t="s">
        <v>1169</v>
      </c>
      <c r="C5" s="661">
        <v>-0.4</v>
      </c>
      <c r="D5" s="661">
        <v>-0.9</v>
      </c>
      <c r="E5" s="661">
        <v>-0.9</v>
      </c>
      <c r="F5" s="661">
        <v>-0.1</v>
      </c>
      <c r="G5" s="661">
        <v>0.5</v>
      </c>
      <c r="H5" s="661">
        <v>0.6</v>
      </c>
      <c r="I5" s="661">
        <v>0.5</v>
      </c>
      <c r="J5" s="661">
        <v>0.3</v>
      </c>
    </row>
    <row r="6" spans="2:10" x14ac:dyDescent="0.25">
      <c r="B6" s="7" t="s">
        <v>682</v>
      </c>
      <c r="C6" s="661">
        <v>-1.9</v>
      </c>
      <c r="D6" s="661">
        <v>-1</v>
      </c>
      <c r="E6" s="661">
        <v>-0.3</v>
      </c>
      <c r="F6" s="661">
        <v>0.5</v>
      </c>
      <c r="G6" s="661">
        <v>0.3</v>
      </c>
      <c r="H6" s="661">
        <v>-0.5</v>
      </c>
      <c r="I6" s="661">
        <v>0.5</v>
      </c>
      <c r="J6" s="661">
        <v>0.3</v>
      </c>
    </row>
    <row r="7" spans="2:10" x14ac:dyDescent="0.25">
      <c r="B7" s="247" t="s">
        <v>683</v>
      </c>
      <c r="C7" s="662">
        <v>-2.9</v>
      </c>
      <c r="D7" s="662">
        <v>0.7</v>
      </c>
      <c r="E7" s="662">
        <v>0.8</v>
      </c>
      <c r="F7" s="662">
        <v>0.7</v>
      </c>
      <c r="G7" s="662">
        <v>0.3</v>
      </c>
      <c r="H7" s="662">
        <v>-0.5</v>
      </c>
      <c r="I7" s="662">
        <v>0.5</v>
      </c>
      <c r="J7" s="662">
        <v>0.3</v>
      </c>
    </row>
    <row r="8" spans="2:10" ht="13.5" hidden="1" customHeight="1" x14ac:dyDescent="0.25">
      <c r="B8" s="247" t="s">
        <v>684</v>
      </c>
      <c r="C8" s="662" t="e">
        <v>#REF!</v>
      </c>
      <c r="D8" s="662" t="e">
        <v>#REF!</v>
      </c>
      <c r="E8" s="662" t="e">
        <v>#REF!</v>
      </c>
      <c r="F8" s="662" t="e">
        <v>#REF!</v>
      </c>
      <c r="G8" s="662" t="e">
        <v>#REF!</v>
      </c>
      <c r="H8" s="662" t="e">
        <v>#REF!</v>
      </c>
      <c r="I8" s="662" t="e">
        <v>#REF!</v>
      </c>
      <c r="J8" s="662" t="e">
        <v>#REF!</v>
      </c>
    </row>
    <row r="9" spans="2:10" ht="13.5" hidden="1" customHeight="1" x14ac:dyDescent="0.25">
      <c r="B9" s="247" t="s">
        <v>685</v>
      </c>
      <c r="C9" s="662" t="e">
        <v>#REF!</v>
      </c>
      <c r="D9" s="662" t="e">
        <v>#REF!</v>
      </c>
      <c r="E9" s="662" t="e">
        <v>#REF!</v>
      </c>
      <c r="F9" s="662" t="e">
        <v>#REF!</v>
      </c>
      <c r="G9" s="662" t="e">
        <v>#REF!</v>
      </c>
      <c r="H9" s="662" t="e">
        <v>#REF!</v>
      </c>
      <c r="I9" s="662" t="e">
        <v>#REF!</v>
      </c>
      <c r="J9" s="662" t="e">
        <v>#REF!</v>
      </c>
    </row>
    <row r="10" spans="2:10" x14ac:dyDescent="0.25">
      <c r="B10" s="247" t="s">
        <v>1171</v>
      </c>
      <c r="C10" s="662">
        <v>0.7</v>
      </c>
      <c r="D10" s="662">
        <v>-1.5</v>
      </c>
      <c r="E10" s="662">
        <v>-1.1000000000000001</v>
      </c>
      <c r="F10" s="662">
        <v>-0.2</v>
      </c>
      <c r="G10" s="662">
        <v>0</v>
      </c>
      <c r="H10" s="662">
        <v>0</v>
      </c>
      <c r="I10" s="662">
        <v>0</v>
      </c>
      <c r="J10" s="662">
        <v>0</v>
      </c>
    </row>
    <row r="11" spans="2:10" x14ac:dyDescent="0.25">
      <c r="B11" s="7" t="s">
        <v>686</v>
      </c>
      <c r="C11" s="661">
        <v>-0.4</v>
      </c>
      <c r="D11" s="661">
        <v>-0.5</v>
      </c>
      <c r="E11" s="661">
        <v>-0.4</v>
      </c>
      <c r="F11" s="661">
        <v>0.1</v>
      </c>
      <c r="G11" s="661">
        <v>0.1</v>
      </c>
      <c r="H11" s="661">
        <v>0.1</v>
      </c>
      <c r="I11" s="661">
        <v>0.2</v>
      </c>
      <c r="J11" s="661">
        <v>0.4</v>
      </c>
    </row>
    <row r="12" spans="2:10" x14ac:dyDescent="0.25">
      <c r="B12" s="7" t="s">
        <v>687</v>
      </c>
      <c r="C12" s="661">
        <v>0</v>
      </c>
      <c r="D12" s="661">
        <v>0</v>
      </c>
      <c r="E12" s="661">
        <v>0</v>
      </c>
      <c r="F12" s="661">
        <v>-0.1</v>
      </c>
      <c r="G12" s="661">
        <v>0</v>
      </c>
      <c r="H12" s="661">
        <v>0</v>
      </c>
      <c r="I12" s="661">
        <v>-0.1</v>
      </c>
      <c r="J12" s="661">
        <v>0</v>
      </c>
    </row>
    <row r="13" spans="2:10" ht="14.25" thickBot="1" x14ac:dyDescent="0.3">
      <c r="B13" s="40" t="s">
        <v>688</v>
      </c>
      <c r="C13" s="663">
        <v>0.2</v>
      </c>
      <c r="D13" s="663">
        <v>0.3</v>
      </c>
      <c r="E13" s="663">
        <v>0.4</v>
      </c>
      <c r="F13" s="663">
        <v>-0.1</v>
      </c>
      <c r="G13" s="663">
        <v>-0.3</v>
      </c>
      <c r="H13" s="663">
        <v>-0.2</v>
      </c>
      <c r="I13" s="663">
        <v>-0.2</v>
      </c>
      <c r="J13" s="663">
        <v>0</v>
      </c>
    </row>
    <row r="14" spans="2:10" x14ac:dyDescent="0.25">
      <c r="B14" s="928" t="s">
        <v>689</v>
      </c>
      <c r="C14" s="928"/>
      <c r="D14" s="928"/>
      <c r="E14" s="928"/>
      <c r="F14" s="928"/>
      <c r="G14" s="928"/>
      <c r="H14" s="928"/>
      <c r="I14" s="928"/>
      <c r="J14" s="928"/>
    </row>
    <row r="19" spans="2:10" ht="14.25" thickBot="1" x14ac:dyDescent="0.3">
      <c r="B19" s="994" t="s">
        <v>1491</v>
      </c>
      <c r="C19" s="994"/>
      <c r="D19" s="994"/>
      <c r="E19" s="994"/>
      <c r="F19" s="994"/>
      <c r="G19" s="994"/>
      <c r="H19" s="994"/>
      <c r="I19" s="994"/>
      <c r="J19" s="994"/>
    </row>
    <row r="20" spans="2:10" ht="14.25" thickBot="1" x14ac:dyDescent="0.3">
      <c r="B20" s="16"/>
      <c r="C20" s="11">
        <f t="shared" ref="C20:E20" si="0">C3</f>
        <v>2014</v>
      </c>
      <c r="D20" s="11">
        <f t="shared" si="0"/>
        <v>2015</v>
      </c>
      <c r="E20" s="11">
        <f t="shared" si="0"/>
        <v>2016</v>
      </c>
      <c r="F20" s="11">
        <f>F3</f>
        <v>2017</v>
      </c>
      <c r="G20" s="11">
        <f t="shared" ref="G20:J20" si="1">G3</f>
        <v>2018</v>
      </c>
      <c r="H20" s="11">
        <f t="shared" si="1"/>
        <v>2019</v>
      </c>
      <c r="I20" s="11">
        <f t="shared" si="1"/>
        <v>2020</v>
      </c>
      <c r="J20" s="11">
        <f t="shared" si="1"/>
        <v>2021</v>
      </c>
    </row>
    <row r="21" spans="2:10" x14ac:dyDescent="0.25">
      <c r="B21" s="14" t="s">
        <v>1173</v>
      </c>
      <c r="C21" s="661">
        <f t="shared" ref="C21:E21" si="2">C4</f>
        <v>-2.5</v>
      </c>
      <c r="D21" s="661">
        <f t="shared" si="2"/>
        <v>-2</v>
      </c>
      <c r="E21" s="661">
        <f t="shared" si="2"/>
        <v>-1.3</v>
      </c>
      <c r="F21" s="661">
        <f t="shared" ref="F21:J21" si="3">F4</f>
        <v>0.3</v>
      </c>
      <c r="G21" s="661">
        <f t="shared" si="3"/>
        <v>0.5</v>
      </c>
      <c r="H21" s="661">
        <f t="shared" si="3"/>
        <v>0</v>
      </c>
      <c r="I21" s="661">
        <f t="shared" si="3"/>
        <v>1</v>
      </c>
      <c r="J21" s="661">
        <f t="shared" si="3"/>
        <v>0.9</v>
      </c>
    </row>
    <row r="22" spans="2:10" x14ac:dyDescent="0.25">
      <c r="B22" s="7" t="s">
        <v>1168</v>
      </c>
      <c r="C22" s="661">
        <f t="shared" ref="C22:E22" si="4">C5</f>
        <v>-0.4</v>
      </c>
      <c r="D22" s="661">
        <f t="shared" si="4"/>
        <v>-0.9</v>
      </c>
      <c r="E22" s="661">
        <f t="shared" si="4"/>
        <v>-0.9</v>
      </c>
      <c r="F22" s="661">
        <f t="shared" ref="F22:J22" si="5">F5</f>
        <v>-0.1</v>
      </c>
      <c r="G22" s="661">
        <f t="shared" si="5"/>
        <v>0.5</v>
      </c>
      <c r="H22" s="661">
        <f t="shared" si="5"/>
        <v>0.6</v>
      </c>
      <c r="I22" s="661">
        <f t="shared" si="5"/>
        <v>0.5</v>
      </c>
      <c r="J22" s="661">
        <f t="shared" si="5"/>
        <v>0.3</v>
      </c>
    </row>
    <row r="23" spans="2:10" x14ac:dyDescent="0.25">
      <c r="B23" s="7" t="s">
        <v>997</v>
      </c>
      <c r="C23" s="661">
        <f t="shared" ref="C23:E23" si="6">C6</f>
        <v>-1.9</v>
      </c>
      <c r="D23" s="661">
        <f t="shared" si="6"/>
        <v>-1</v>
      </c>
      <c r="E23" s="661">
        <f t="shared" si="6"/>
        <v>-0.3</v>
      </c>
      <c r="F23" s="661">
        <f t="shared" ref="F23:J23" si="7">F6</f>
        <v>0.5</v>
      </c>
      <c r="G23" s="661">
        <f t="shared" si="7"/>
        <v>0.3</v>
      </c>
      <c r="H23" s="661">
        <f t="shared" si="7"/>
        <v>-0.5</v>
      </c>
      <c r="I23" s="661">
        <f t="shared" si="7"/>
        <v>0.5</v>
      </c>
      <c r="J23" s="661">
        <f t="shared" si="7"/>
        <v>0.3</v>
      </c>
    </row>
    <row r="24" spans="2:10" x14ac:dyDescent="0.25">
      <c r="B24" s="247" t="s">
        <v>998</v>
      </c>
      <c r="C24" s="662">
        <f t="shared" ref="C24:E24" si="8">C7</f>
        <v>-2.9</v>
      </c>
      <c r="D24" s="662">
        <f t="shared" si="8"/>
        <v>0.7</v>
      </c>
      <c r="E24" s="662">
        <f t="shared" si="8"/>
        <v>0.8</v>
      </c>
      <c r="F24" s="662">
        <f t="shared" ref="F24:J24" si="9">F7</f>
        <v>0.7</v>
      </c>
      <c r="G24" s="662">
        <f t="shared" si="9"/>
        <v>0.3</v>
      </c>
      <c r="H24" s="662">
        <f t="shared" si="9"/>
        <v>-0.5</v>
      </c>
      <c r="I24" s="662">
        <f t="shared" si="9"/>
        <v>0.5</v>
      </c>
      <c r="J24" s="662">
        <f t="shared" si="9"/>
        <v>0.3</v>
      </c>
    </row>
    <row r="25" spans="2:10" hidden="1" x14ac:dyDescent="0.25">
      <c r="B25" s="247" t="s">
        <v>684</v>
      </c>
      <c r="C25" s="662" t="e">
        <f t="shared" ref="C25:E25" si="10">C8</f>
        <v>#REF!</v>
      </c>
      <c r="D25" s="662" t="e">
        <f t="shared" si="10"/>
        <v>#REF!</v>
      </c>
      <c r="E25" s="662" t="e">
        <f t="shared" si="10"/>
        <v>#REF!</v>
      </c>
      <c r="F25" s="662" t="e">
        <f t="shared" ref="F25:J25" si="11">F8</f>
        <v>#REF!</v>
      </c>
      <c r="G25" s="662" t="e">
        <f t="shared" si="11"/>
        <v>#REF!</v>
      </c>
      <c r="H25" s="662" t="e">
        <f t="shared" si="11"/>
        <v>#REF!</v>
      </c>
      <c r="I25" s="662" t="e">
        <f t="shared" si="11"/>
        <v>#REF!</v>
      </c>
      <c r="J25" s="662" t="e">
        <f t="shared" si="11"/>
        <v>#REF!</v>
      </c>
    </row>
    <row r="26" spans="2:10" hidden="1" x14ac:dyDescent="0.25">
      <c r="B26" s="247" t="s">
        <v>685</v>
      </c>
      <c r="C26" s="662" t="e">
        <f t="shared" ref="C26:E26" si="12">C9</f>
        <v>#REF!</v>
      </c>
      <c r="D26" s="662" t="e">
        <f t="shared" si="12"/>
        <v>#REF!</v>
      </c>
      <c r="E26" s="662" t="e">
        <f t="shared" si="12"/>
        <v>#REF!</v>
      </c>
      <c r="F26" s="662" t="e">
        <f t="shared" ref="F26:J26" si="13">F9</f>
        <v>#REF!</v>
      </c>
      <c r="G26" s="662" t="e">
        <f t="shared" si="13"/>
        <v>#REF!</v>
      </c>
      <c r="H26" s="662" t="e">
        <f t="shared" si="13"/>
        <v>#REF!</v>
      </c>
      <c r="I26" s="662" t="e">
        <f t="shared" si="13"/>
        <v>#REF!</v>
      </c>
      <c r="J26" s="662" t="e">
        <f t="shared" si="13"/>
        <v>#REF!</v>
      </c>
    </row>
    <row r="27" spans="2:10" x14ac:dyDescent="0.25">
      <c r="B27" s="247" t="s">
        <v>1170</v>
      </c>
      <c r="C27" s="662">
        <f t="shared" ref="C27:E27" si="14">C10</f>
        <v>0.7</v>
      </c>
      <c r="D27" s="662">
        <f t="shared" si="14"/>
        <v>-1.5</v>
      </c>
      <c r="E27" s="662">
        <f t="shared" si="14"/>
        <v>-1.1000000000000001</v>
      </c>
      <c r="F27" s="662">
        <f t="shared" ref="F27:J27" si="15">F10</f>
        <v>-0.2</v>
      </c>
      <c r="G27" s="662">
        <f t="shared" si="15"/>
        <v>0</v>
      </c>
      <c r="H27" s="662">
        <f t="shared" si="15"/>
        <v>0</v>
      </c>
      <c r="I27" s="662">
        <f t="shared" si="15"/>
        <v>0</v>
      </c>
      <c r="J27" s="662">
        <f t="shared" si="15"/>
        <v>0</v>
      </c>
    </row>
    <row r="28" spans="2:10" x14ac:dyDescent="0.25">
      <c r="B28" s="7" t="s">
        <v>999</v>
      </c>
      <c r="C28" s="661">
        <f t="shared" ref="C28:E28" si="16">C11</f>
        <v>-0.4</v>
      </c>
      <c r="D28" s="661">
        <f t="shared" si="16"/>
        <v>-0.5</v>
      </c>
      <c r="E28" s="661">
        <f t="shared" si="16"/>
        <v>-0.4</v>
      </c>
      <c r="F28" s="661">
        <f t="shared" ref="F28:J28" si="17">F11</f>
        <v>0.1</v>
      </c>
      <c r="G28" s="661">
        <f t="shared" si="17"/>
        <v>0.1</v>
      </c>
      <c r="H28" s="661">
        <f t="shared" si="17"/>
        <v>0.1</v>
      </c>
      <c r="I28" s="661">
        <f t="shared" si="17"/>
        <v>0.2</v>
      </c>
      <c r="J28" s="661">
        <f t="shared" si="17"/>
        <v>0.4</v>
      </c>
    </row>
    <row r="29" spans="2:10" x14ac:dyDescent="0.25">
      <c r="B29" s="7" t="s">
        <v>1000</v>
      </c>
      <c r="C29" s="661">
        <f t="shared" ref="C29:E29" si="18">C12</f>
        <v>0</v>
      </c>
      <c r="D29" s="661">
        <f t="shared" si="18"/>
        <v>0</v>
      </c>
      <c r="E29" s="661">
        <f t="shared" si="18"/>
        <v>0</v>
      </c>
      <c r="F29" s="661">
        <f t="shared" ref="F29:J29" si="19">F12</f>
        <v>-0.1</v>
      </c>
      <c r="G29" s="661">
        <f t="shared" si="19"/>
        <v>0</v>
      </c>
      <c r="H29" s="661">
        <f t="shared" si="19"/>
        <v>0</v>
      </c>
      <c r="I29" s="661">
        <f t="shared" si="19"/>
        <v>-0.1</v>
      </c>
      <c r="J29" s="661">
        <f t="shared" si="19"/>
        <v>0</v>
      </c>
    </row>
    <row r="30" spans="2:10" ht="14.25" thickBot="1" x14ac:dyDescent="0.3">
      <c r="B30" s="40" t="s">
        <v>1001</v>
      </c>
      <c r="C30" s="663">
        <f t="shared" ref="C30:E30" si="20">C13</f>
        <v>0.2</v>
      </c>
      <c r="D30" s="663">
        <f t="shared" si="20"/>
        <v>0.3</v>
      </c>
      <c r="E30" s="663">
        <f t="shared" si="20"/>
        <v>0.4</v>
      </c>
      <c r="F30" s="663">
        <f t="shared" ref="F30:J30" si="21">F13</f>
        <v>-0.1</v>
      </c>
      <c r="G30" s="663">
        <f t="shared" si="21"/>
        <v>-0.3</v>
      </c>
      <c r="H30" s="663">
        <f t="shared" si="21"/>
        <v>-0.2</v>
      </c>
      <c r="I30" s="663">
        <f t="shared" si="21"/>
        <v>-0.2</v>
      </c>
      <c r="J30" s="663">
        <f t="shared" si="21"/>
        <v>0</v>
      </c>
    </row>
    <row r="31" spans="2:10" x14ac:dyDescent="0.25">
      <c r="B31" s="928" t="s">
        <v>1002</v>
      </c>
      <c r="C31" s="928"/>
      <c r="D31" s="928"/>
      <c r="E31" s="928"/>
      <c r="F31" s="928"/>
      <c r="G31" s="928"/>
      <c r="H31" s="928"/>
      <c r="I31" s="928"/>
      <c r="J31" s="928"/>
    </row>
  </sheetData>
  <mergeCells count="4">
    <mergeCell ref="B2:J2"/>
    <mergeCell ref="B14:J14"/>
    <mergeCell ref="B19:J19"/>
    <mergeCell ref="B31:J31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2"/>
  <dimension ref="A2:I43"/>
  <sheetViews>
    <sheetView showGridLines="0" topLeftCell="A16" workbookViewId="0">
      <selection activeCell="A24" sqref="A24:G24"/>
    </sheetView>
  </sheetViews>
  <sheetFormatPr defaultColWidth="9.140625" defaultRowHeight="13.5" x14ac:dyDescent="0.25"/>
  <cols>
    <col min="1" max="1" width="44" style="34" bestFit="1" customWidth="1"/>
    <col min="2" max="16384" width="9.140625" style="34"/>
  </cols>
  <sheetData>
    <row r="2" spans="1:9" ht="14.25" thickBot="1" x14ac:dyDescent="0.3">
      <c r="A2" s="994" t="s">
        <v>1492</v>
      </c>
      <c r="B2" s="994"/>
      <c r="C2" s="994"/>
      <c r="D2" s="994"/>
      <c r="E2" s="994"/>
      <c r="F2" s="994"/>
      <c r="G2" s="994"/>
      <c r="H2" s="994"/>
      <c r="I2" s="994"/>
    </row>
    <row r="3" spans="1:9" ht="14.25" thickBot="1" x14ac:dyDescent="0.3">
      <c r="A3" s="63"/>
      <c r="B3" s="61">
        <v>2016</v>
      </c>
      <c r="C3" s="61">
        <v>2017</v>
      </c>
      <c r="D3" s="61">
        <v>2018</v>
      </c>
      <c r="E3" s="71">
        <v>2019</v>
      </c>
      <c r="F3" s="71">
        <v>2020</v>
      </c>
      <c r="G3" s="71">
        <v>2021</v>
      </c>
    </row>
    <row r="4" spans="1:9" x14ac:dyDescent="0.25">
      <c r="A4" s="19" t="s">
        <v>86</v>
      </c>
      <c r="B4" s="898">
        <v>41294.980000000003</v>
      </c>
      <c r="C4" s="898">
        <v>42052.911149978827</v>
      </c>
      <c r="D4" s="898">
        <v>43226.175544278172</v>
      </c>
      <c r="E4" s="898">
        <v>44420.945744732438</v>
      </c>
      <c r="F4" s="898">
        <v>44706.085537484876</v>
      </c>
      <c r="G4" s="899">
        <v>45759.557937214209</v>
      </c>
    </row>
    <row r="5" spans="1:9" x14ac:dyDescent="0.25">
      <c r="A5" s="20" t="s">
        <v>87</v>
      </c>
      <c r="B5" s="85">
        <f t="shared" ref="B5:G5" si="0">B6+B7+B8+B9+B10+B11+B16</f>
        <v>757.93114997882662</v>
      </c>
      <c r="C5" s="85">
        <f t="shared" si="0"/>
        <v>1173.2643942993425</v>
      </c>
      <c r="D5" s="85">
        <f t="shared" si="0"/>
        <v>1194.7702004542625</v>
      </c>
      <c r="E5" s="85">
        <f t="shared" si="0"/>
        <v>285.1397927524348</v>
      </c>
      <c r="F5" s="85">
        <f t="shared" si="0"/>
        <v>1053.4723997293329</v>
      </c>
      <c r="G5" s="93">
        <f t="shared" si="0"/>
        <v>958.29222599848481</v>
      </c>
    </row>
    <row r="6" spans="1:9" x14ac:dyDescent="0.25">
      <c r="A6" s="21" t="s">
        <v>1123</v>
      </c>
      <c r="B6" s="87">
        <v>980.255</v>
      </c>
      <c r="C6" s="87">
        <v>1220.1320000000001</v>
      </c>
      <c r="D6" s="87">
        <v>1790.3571979999999</v>
      </c>
      <c r="E6" s="87">
        <v>1575.994062</v>
      </c>
      <c r="F6" s="87">
        <v>1413.5630839999999</v>
      </c>
      <c r="G6" s="86">
        <v>1181.048663</v>
      </c>
    </row>
    <row r="7" spans="1:9" x14ac:dyDescent="0.25">
      <c r="A7" s="22" t="s">
        <v>88</v>
      </c>
      <c r="B7" s="87">
        <v>44.952678799999831</v>
      </c>
      <c r="C7" s="87">
        <v>1.2528639399993153</v>
      </c>
      <c r="D7" s="87">
        <v>-614.18103312511391</v>
      </c>
      <c r="E7" s="87">
        <v>-1302.6395575271101</v>
      </c>
      <c r="F7" s="87">
        <v>-448.40282888883974</v>
      </c>
      <c r="G7" s="86">
        <v>-494.00002438647516</v>
      </c>
    </row>
    <row r="8" spans="1:9" x14ac:dyDescent="0.25">
      <c r="A8" s="21" t="s">
        <v>1124</v>
      </c>
      <c r="B8" s="72">
        <v>0</v>
      </c>
      <c r="C8" s="72">
        <v>0</v>
      </c>
      <c r="D8" s="72">
        <v>0</v>
      </c>
      <c r="E8" s="72">
        <v>0</v>
      </c>
      <c r="F8" s="72">
        <v>0</v>
      </c>
      <c r="G8" s="94">
        <v>0</v>
      </c>
    </row>
    <row r="9" spans="1:9" x14ac:dyDescent="0.25">
      <c r="A9" s="21" t="s">
        <v>89</v>
      </c>
      <c r="B9" s="87">
        <v>42.917776040000014</v>
      </c>
      <c r="C9" s="87">
        <v>68.307245850000058</v>
      </c>
      <c r="D9" s="87">
        <v>63.855199254494799</v>
      </c>
      <c r="E9" s="87">
        <v>115.1670140302475</v>
      </c>
      <c r="F9" s="87">
        <v>254.11397716824348</v>
      </c>
      <c r="G9" s="86">
        <v>378.28405266534685</v>
      </c>
    </row>
    <row r="10" spans="1:9" x14ac:dyDescent="0.25">
      <c r="A10" s="21" t="s">
        <v>90</v>
      </c>
      <c r="B10" s="37">
        <v>-61.400103450209656</v>
      </c>
      <c r="C10" s="37">
        <v>-62.006163310000005</v>
      </c>
      <c r="D10" s="37">
        <v>-5.5073864500000029</v>
      </c>
      <c r="E10" s="37">
        <v>0.11825498578435167</v>
      </c>
      <c r="F10" s="37">
        <v>-59.433394000000007</v>
      </c>
      <c r="G10" s="95">
        <v>-4.1312534358499047</v>
      </c>
    </row>
    <row r="11" spans="1:9" x14ac:dyDescent="0.25">
      <c r="A11" s="21" t="s">
        <v>1125</v>
      </c>
      <c r="B11" s="37">
        <v>-93.267499999999998</v>
      </c>
      <c r="C11" s="37">
        <v>-76.44768900000004</v>
      </c>
      <c r="D11" s="37">
        <v>-37.562224999999991</v>
      </c>
      <c r="E11" s="37">
        <v>-101.57803499999997</v>
      </c>
      <c r="F11" s="37">
        <v>-106.16578899999999</v>
      </c>
      <c r="G11" s="95">
        <v>-101.479789</v>
      </c>
    </row>
    <row r="12" spans="1:9" x14ac:dyDescent="0.25">
      <c r="A12" s="23" t="s">
        <v>1126</v>
      </c>
      <c r="B12" s="87">
        <v>31.728999999999999</v>
      </c>
      <c r="C12" s="87">
        <v>40.836999999999996</v>
      </c>
      <c r="D12" s="87">
        <v>46.127924999999998</v>
      </c>
      <c r="E12" s="87">
        <v>17.449757000000002</v>
      </c>
      <c r="F12" s="87">
        <v>18.481999999999999</v>
      </c>
      <c r="G12" s="86">
        <v>18.481999999999999</v>
      </c>
    </row>
    <row r="13" spans="1:9" x14ac:dyDescent="0.25">
      <c r="A13" s="23" t="s">
        <v>91</v>
      </c>
      <c r="B13" s="87">
        <v>-40.156999999999996</v>
      </c>
      <c r="C13" s="87">
        <v>-37.177188999999998</v>
      </c>
      <c r="D13" s="87">
        <v>-17.177188999999998</v>
      </c>
      <c r="E13" s="87">
        <v>-37.177188999999998</v>
      </c>
      <c r="F13" s="87">
        <v>-37.177188999999998</v>
      </c>
      <c r="G13" s="86">
        <v>-37.177188999999998</v>
      </c>
    </row>
    <row r="14" spans="1:9" x14ac:dyDescent="0.25">
      <c r="A14" s="23" t="s">
        <v>92</v>
      </c>
      <c r="B14" s="87">
        <v>-23.012</v>
      </c>
      <c r="C14" s="87">
        <v>-2.911999999999999</v>
      </c>
      <c r="D14" s="87">
        <v>-8.2680000000000007</v>
      </c>
      <c r="E14" s="87">
        <v>-13.266000000000002</v>
      </c>
      <c r="F14" s="87">
        <v>-13.706</v>
      </c>
      <c r="G14" s="86">
        <v>-11.256</v>
      </c>
    </row>
    <row r="15" spans="1:9" x14ac:dyDescent="0.25">
      <c r="A15" s="23" t="s">
        <v>1127</v>
      </c>
      <c r="B15" s="87">
        <v>-61.69</v>
      </c>
      <c r="C15" s="87">
        <v>-74.480000000000018</v>
      </c>
      <c r="D15" s="87">
        <v>-88.177999999999997</v>
      </c>
      <c r="E15" s="87">
        <v>-85.661999999999978</v>
      </c>
      <c r="F15" s="87">
        <v>-82.963999999999999</v>
      </c>
      <c r="G15" s="86">
        <v>-80.728000000000009</v>
      </c>
    </row>
    <row r="16" spans="1:9" x14ac:dyDescent="0.25">
      <c r="A16" s="21" t="s">
        <v>93</v>
      </c>
      <c r="B16" s="87">
        <v>-155.52670141096368</v>
      </c>
      <c r="C16" s="87">
        <v>22.026136819343041</v>
      </c>
      <c r="D16" s="87">
        <v>-2.1915522251185564</v>
      </c>
      <c r="E16" s="87">
        <v>-1.9219457364868902</v>
      </c>
      <c r="F16" s="87">
        <v>-0.20264955007088403</v>
      </c>
      <c r="G16" s="98">
        <v>-1.4294228445368748</v>
      </c>
    </row>
    <row r="17" spans="1:7" x14ac:dyDescent="0.25">
      <c r="A17" s="19" t="s">
        <v>94</v>
      </c>
      <c r="B17" s="60">
        <f t="shared" ref="B17:G17" si="1">B4+B5</f>
        <v>42052.911149978827</v>
      </c>
      <c r="C17" s="60">
        <f t="shared" si="1"/>
        <v>43226.175544278172</v>
      </c>
      <c r="D17" s="60">
        <f t="shared" si="1"/>
        <v>44420.945744732438</v>
      </c>
      <c r="E17" s="60">
        <f t="shared" si="1"/>
        <v>44706.085537484876</v>
      </c>
      <c r="F17" s="60">
        <f t="shared" si="1"/>
        <v>45759.557937214209</v>
      </c>
      <c r="G17" s="96">
        <f t="shared" si="1"/>
        <v>46717.850163212694</v>
      </c>
    </row>
    <row r="18" spans="1:7" ht="14.25" thickBot="1" x14ac:dyDescent="0.3">
      <c r="A18" s="24" t="s">
        <v>50</v>
      </c>
      <c r="B18" s="36">
        <f t="shared" ref="B18:G18" si="2">B17/B21*100</f>
        <v>51.818676551160578</v>
      </c>
      <c r="C18" s="36">
        <f t="shared" si="2"/>
        <v>50.863185134979958</v>
      </c>
      <c r="D18" s="36">
        <f t="shared" si="2"/>
        <v>49.268297393928535</v>
      </c>
      <c r="E18" s="36">
        <f t="shared" si="2"/>
        <v>46.52418892070849</v>
      </c>
      <c r="F18" s="36">
        <f t="shared" si="2"/>
        <v>44.857696769539444</v>
      </c>
      <c r="G18" s="97">
        <f t="shared" si="2"/>
        <v>43.295313130032255</v>
      </c>
    </row>
    <row r="19" spans="1:7" ht="27" x14ac:dyDescent="0.25">
      <c r="A19" s="1004" t="s">
        <v>95</v>
      </c>
      <c r="B19" s="1004"/>
      <c r="C19" s="1004"/>
      <c r="D19" s="1004"/>
      <c r="E19" s="1004"/>
      <c r="F19" s="1004"/>
      <c r="G19" s="73" t="s">
        <v>19</v>
      </c>
    </row>
    <row r="20" spans="1:7" ht="14.25" thickBot="1" x14ac:dyDescent="0.3"/>
    <row r="21" spans="1:7" ht="14.25" thickBot="1" x14ac:dyDescent="0.3">
      <c r="A21" s="116" t="s">
        <v>99</v>
      </c>
      <c r="B21" s="117">
        <f>ESA2010_source!L90</f>
        <v>81153.966</v>
      </c>
      <c r="C21" s="117">
        <f>ESA2010_source!M90</f>
        <v>84985.191999999995</v>
      </c>
      <c r="D21" s="117">
        <f>ESA2010_source!O90</f>
        <v>90161.316900320875</v>
      </c>
      <c r="E21" s="117">
        <f>ESA2010_source!P90</f>
        <v>96092.133091622032</v>
      </c>
      <c r="F21" s="117">
        <f>ESA2010_source!Q90</f>
        <v>102010.49370035238</v>
      </c>
      <c r="G21" s="117">
        <f>ESA2010_source!R90</f>
        <v>107905.09823292249</v>
      </c>
    </row>
    <row r="24" spans="1:7" ht="14.25" thickBot="1" x14ac:dyDescent="0.3">
      <c r="A24" s="944" t="s">
        <v>1493</v>
      </c>
      <c r="B24" s="944"/>
      <c r="C24" s="944"/>
      <c r="D24" s="944"/>
      <c r="E24" s="944"/>
      <c r="F24" s="944"/>
      <c r="G24" s="944"/>
    </row>
    <row r="25" spans="1:7" ht="14.25" thickBot="1" x14ac:dyDescent="0.3">
      <c r="A25" s="63"/>
      <c r="B25" s="61">
        <f t="shared" ref="B25:G34" si="3">B3</f>
        <v>2016</v>
      </c>
      <c r="C25" s="61">
        <f t="shared" si="3"/>
        <v>2017</v>
      </c>
      <c r="D25" s="61">
        <f t="shared" si="3"/>
        <v>2018</v>
      </c>
      <c r="E25" s="61">
        <f t="shared" si="3"/>
        <v>2019</v>
      </c>
      <c r="F25" s="71">
        <f t="shared" si="3"/>
        <v>2020</v>
      </c>
      <c r="G25" s="71">
        <f t="shared" si="3"/>
        <v>2021</v>
      </c>
    </row>
    <row r="26" spans="1:7" x14ac:dyDescent="0.25">
      <c r="A26" s="19" t="s">
        <v>389</v>
      </c>
      <c r="B26" s="60">
        <f t="shared" si="3"/>
        <v>41294.980000000003</v>
      </c>
      <c r="C26" s="60">
        <f t="shared" si="3"/>
        <v>42052.911149978827</v>
      </c>
      <c r="D26" s="60">
        <f t="shared" si="3"/>
        <v>43226.175544278172</v>
      </c>
      <c r="E26" s="60">
        <f t="shared" si="3"/>
        <v>44420.945744732438</v>
      </c>
      <c r="F26" s="60">
        <f t="shared" si="3"/>
        <v>44706.085537484876</v>
      </c>
      <c r="G26" s="92">
        <f t="shared" si="3"/>
        <v>45759.557937214209</v>
      </c>
    </row>
    <row r="27" spans="1:7" x14ac:dyDescent="0.25">
      <c r="A27" s="20" t="s">
        <v>383</v>
      </c>
      <c r="B27" s="85">
        <f t="shared" si="3"/>
        <v>757.93114997882662</v>
      </c>
      <c r="C27" s="85">
        <f t="shared" si="3"/>
        <v>1173.2643942993425</v>
      </c>
      <c r="D27" s="85">
        <f t="shared" si="3"/>
        <v>1194.7702004542625</v>
      </c>
      <c r="E27" s="85">
        <f t="shared" si="3"/>
        <v>285.1397927524348</v>
      </c>
      <c r="F27" s="85">
        <f t="shared" si="3"/>
        <v>1053.4723997293329</v>
      </c>
      <c r="G27" s="93">
        <f t="shared" si="3"/>
        <v>958.29222599848481</v>
      </c>
    </row>
    <row r="28" spans="1:7" x14ac:dyDescent="0.25">
      <c r="A28" s="21" t="s">
        <v>435</v>
      </c>
      <c r="B28" s="87">
        <f t="shared" si="3"/>
        <v>980.255</v>
      </c>
      <c r="C28" s="87">
        <f t="shared" si="3"/>
        <v>1220.1320000000001</v>
      </c>
      <c r="D28" s="87">
        <f t="shared" si="3"/>
        <v>1790.3571979999999</v>
      </c>
      <c r="E28" s="87">
        <f t="shared" si="3"/>
        <v>1575.994062</v>
      </c>
      <c r="F28" s="87">
        <f t="shared" si="3"/>
        <v>1413.5630839999999</v>
      </c>
      <c r="G28" s="86">
        <f t="shared" si="3"/>
        <v>1181.048663</v>
      </c>
    </row>
    <row r="29" spans="1:7" x14ac:dyDescent="0.25">
      <c r="A29" s="22" t="s">
        <v>436</v>
      </c>
      <c r="B29" s="87">
        <f t="shared" si="3"/>
        <v>44.952678799999831</v>
      </c>
      <c r="C29" s="87">
        <f t="shared" si="3"/>
        <v>1.2528639399993153</v>
      </c>
      <c r="D29" s="87">
        <f t="shared" si="3"/>
        <v>-614.18103312511391</v>
      </c>
      <c r="E29" s="87">
        <f t="shared" si="3"/>
        <v>-1302.6395575271101</v>
      </c>
      <c r="F29" s="87">
        <f t="shared" si="3"/>
        <v>-448.40282888883974</v>
      </c>
      <c r="G29" s="86">
        <f t="shared" si="3"/>
        <v>-494.00002438647516</v>
      </c>
    </row>
    <row r="30" spans="1:7" x14ac:dyDescent="0.25">
      <c r="A30" s="21" t="s">
        <v>1129</v>
      </c>
      <c r="B30" s="72">
        <f t="shared" si="3"/>
        <v>0</v>
      </c>
      <c r="C30" s="72">
        <f t="shared" si="3"/>
        <v>0</v>
      </c>
      <c r="D30" s="72">
        <f t="shared" si="3"/>
        <v>0</v>
      </c>
      <c r="E30" s="72">
        <f t="shared" si="3"/>
        <v>0</v>
      </c>
      <c r="F30" s="72">
        <f t="shared" si="3"/>
        <v>0</v>
      </c>
      <c r="G30" s="94">
        <f t="shared" si="3"/>
        <v>0</v>
      </c>
    </row>
    <row r="31" spans="1:7" x14ac:dyDescent="0.25">
      <c r="A31" s="21" t="s">
        <v>437</v>
      </c>
      <c r="B31" s="37">
        <f t="shared" si="3"/>
        <v>42.917776040000014</v>
      </c>
      <c r="C31" s="37">
        <f t="shared" si="3"/>
        <v>68.307245850000058</v>
      </c>
      <c r="D31" s="37">
        <f t="shared" si="3"/>
        <v>63.855199254494799</v>
      </c>
      <c r="E31" s="37">
        <f t="shared" si="3"/>
        <v>115.1670140302475</v>
      </c>
      <c r="F31" s="37">
        <f t="shared" si="3"/>
        <v>254.11397716824348</v>
      </c>
      <c r="G31" s="95">
        <f t="shared" si="3"/>
        <v>378.28405266534685</v>
      </c>
    </row>
    <row r="32" spans="1:7" x14ac:dyDescent="0.25">
      <c r="A32" s="21" t="s">
        <v>384</v>
      </c>
      <c r="B32" s="37">
        <f t="shared" si="3"/>
        <v>-61.400103450209656</v>
      </c>
      <c r="C32" s="37">
        <f t="shared" si="3"/>
        <v>-62.006163310000005</v>
      </c>
      <c r="D32" s="37">
        <f t="shared" si="3"/>
        <v>-5.5073864500000029</v>
      </c>
      <c r="E32" s="37">
        <f t="shared" si="3"/>
        <v>0.11825498578435167</v>
      </c>
      <c r="F32" s="37">
        <f t="shared" si="3"/>
        <v>-59.433394000000007</v>
      </c>
      <c r="G32" s="95">
        <f t="shared" si="3"/>
        <v>-4.1312534358499047</v>
      </c>
    </row>
    <row r="33" spans="1:7" x14ac:dyDescent="0.25">
      <c r="A33" s="21" t="s">
        <v>438</v>
      </c>
      <c r="B33" s="87">
        <f t="shared" si="3"/>
        <v>-93.267499999999998</v>
      </c>
      <c r="C33" s="87">
        <f t="shared" si="3"/>
        <v>-76.44768900000004</v>
      </c>
      <c r="D33" s="87">
        <f t="shared" si="3"/>
        <v>-37.562224999999991</v>
      </c>
      <c r="E33" s="87">
        <f t="shared" si="3"/>
        <v>-101.57803499999997</v>
      </c>
      <c r="F33" s="87">
        <f t="shared" si="3"/>
        <v>-106.16578899999999</v>
      </c>
      <c r="G33" s="86">
        <f t="shared" si="3"/>
        <v>-101.479789</v>
      </c>
    </row>
    <row r="34" spans="1:7" x14ac:dyDescent="0.25">
      <c r="A34" s="23" t="s">
        <v>1128</v>
      </c>
      <c r="B34" s="87">
        <f t="shared" si="3"/>
        <v>31.728999999999999</v>
      </c>
      <c r="C34" s="87">
        <f t="shared" si="3"/>
        <v>40.836999999999996</v>
      </c>
      <c r="D34" s="87">
        <f t="shared" si="3"/>
        <v>46.127924999999998</v>
      </c>
      <c r="E34" s="87">
        <f t="shared" si="3"/>
        <v>17.449757000000002</v>
      </c>
      <c r="F34" s="87">
        <f t="shared" si="3"/>
        <v>18.481999999999999</v>
      </c>
      <c r="G34" s="86">
        <f t="shared" si="3"/>
        <v>18.481999999999999</v>
      </c>
    </row>
    <row r="35" spans="1:7" x14ac:dyDescent="0.25">
      <c r="A35" s="23" t="s">
        <v>385</v>
      </c>
      <c r="B35" s="87">
        <f t="shared" ref="B35:G40" si="4">B13</f>
        <v>-40.156999999999996</v>
      </c>
      <c r="C35" s="87">
        <f t="shared" si="4"/>
        <v>-37.177188999999998</v>
      </c>
      <c r="D35" s="87">
        <f t="shared" si="4"/>
        <v>-17.177188999999998</v>
      </c>
      <c r="E35" s="87">
        <f t="shared" si="4"/>
        <v>-37.177188999999998</v>
      </c>
      <c r="F35" s="87">
        <f t="shared" si="4"/>
        <v>-37.177188999999998</v>
      </c>
      <c r="G35" s="86">
        <f t="shared" si="4"/>
        <v>-37.177188999999998</v>
      </c>
    </row>
    <row r="36" spans="1:7" x14ac:dyDescent="0.25">
      <c r="A36" s="23" t="s">
        <v>439</v>
      </c>
      <c r="B36" s="87">
        <f t="shared" si="4"/>
        <v>-23.012</v>
      </c>
      <c r="C36" s="87">
        <f t="shared" si="4"/>
        <v>-2.911999999999999</v>
      </c>
      <c r="D36" s="87">
        <f t="shared" si="4"/>
        <v>-8.2680000000000007</v>
      </c>
      <c r="E36" s="87">
        <f t="shared" si="4"/>
        <v>-13.266000000000002</v>
      </c>
      <c r="F36" s="87">
        <f t="shared" si="4"/>
        <v>-13.706</v>
      </c>
      <c r="G36" s="86">
        <f t="shared" si="4"/>
        <v>-11.256</v>
      </c>
    </row>
    <row r="37" spans="1:7" x14ac:dyDescent="0.25">
      <c r="A37" s="23" t="s">
        <v>440</v>
      </c>
      <c r="B37" s="87">
        <f t="shared" si="4"/>
        <v>-61.69</v>
      </c>
      <c r="C37" s="87">
        <f t="shared" si="4"/>
        <v>-74.480000000000018</v>
      </c>
      <c r="D37" s="87">
        <f t="shared" si="4"/>
        <v>-88.177999999999997</v>
      </c>
      <c r="E37" s="87">
        <f t="shared" si="4"/>
        <v>-85.661999999999978</v>
      </c>
      <c r="F37" s="87">
        <f t="shared" si="4"/>
        <v>-82.963999999999999</v>
      </c>
      <c r="G37" s="86">
        <f t="shared" si="4"/>
        <v>-80.728000000000009</v>
      </c>
    </row>
    <row r="38" spans="1:7" x14ac:dyDescent="0.25">
      <c r="A38" s="21" t="s">
        <v>386</v>
      </c>
      <c r="B38" s="87">
        <f t="shared" si="4"/>
        <v>-155.52670141096368</v>
      </c>
      <c r="C38" s="87">
        <f t="shared" si="4"/>
        <v>22.026136819343041</v>
      </c>
      <c r="D38" s="87">
        <f t="shared" si="4"/>
        <v>-2.1915522251185564</v>
      </c>
      <c r="E38" s="87">
        <f t="shared" si="4"/>
        <v>-1.9219457364868902</v>
      </c>
      <c r="F38" s="87">
        <f t="shared" si="4"/>
        <v>-0.20264955007088403</v>
      </c>
      <c r="G38" s="86">
        <f t="shared" si="4"/>
        <v>-1.4294228445368748</v>
      </c>
    </row>
    <row r="39" spans="1:7" x14ac:dyDescent="0.25">
      <c r="A39" s="19" t="s">
        <v>441</v>
      </c>
      <c r="B39" s="60">
        <f t="shared" si="4"/>
        <v>42052.911149978827</v>
      </c>
      <c r="C39" s="60">
        <f t="shared" si="4"/>
        <v>43226.175544278172</v>
      </c>
      <c r="D39" s="60">
        <f t="shared" si="4"/>
        <v>44420.945744732438</v>
      </c>
      <c r="E39" s="60">
        <f t="shared" si="4"/>
        <v>44706.085537484876</v>
      </c>
      <c r="F39" s="60">
        <f t="shared" si="4"/>
        <v>45759.557937214209</v>
      </c>
      <c r="G39" s="96">
        <f t="shared" si="4"/>
        <v>46717.850163212694</v>
      </c>
    </row>
    <row r="40" spans="1:7" ht="14.25" thickBot="1" x14ac:dyDescent="0.3">
      <c r="A40" s="24" t="s">
        <v>387</v>
      </c>
      <c r="B40" s="36">
        <f t="shared" si="4"/>
        <v>51.818676551160578</v>
      </c>
      <c r="C40" s="36">
        <f t="shared" si="4"/>
        <v>50.863185134979958</v>
      </c>
      <c r="D40" s="36">
        <f t="shared" si="4"/>
        <v>49.268297393928535</v>
      </c>
      <c r="E40" s="36">
        <f t="shared" si="4"/>
        <v>46.52418892070849</v>
      </c>
      <c r="F40" s="36">
        <f t="shared" si="4"/>
        <v>44.857696769539444</v>
      </c>
      <c r="G40" s="97">
        <f t="shared" si="4"/>
        <v>43.295313130032255</v>
      </c>
    </row>
    <row r="41" spans="1:7" ht="27" x14ac:dyDescent="0.25">
      <c r="A41" s="1004" t="s">
        <v>388</v>
      </c>
      <c r="B41" s="1004"/>
      <c r="C41" s="1004"/>
      <c r="D41" s="1004"/>
      <c r="E41" s="1004"/>
      <c r="F41" s="1004"/>
      <c r="G41" s="73" t="s">
        <v>235</v>
      </c>
    </row>
    <row r="42" spans="1:7" ht="14.25" thickBot="1" x14ac:dyDescent="0.3"/>
    <row r="43" spans="1:7" ht="14.25" thickBot="1" x14ac:dyDescent="0.3">
      <c r="A43" s="116" t="s">
        <v>230</v>
      </c>
      <c r="B43" s="117">
        <f t="shared" ref="B43:G43" si="5">B21</f>
        <v>81153.966</v>
      </c>
      <c r="C43" s="117">
        <f t="shared" si="5"/>
        <v>84985.191999999995</v>
      </c>
      <c r="D43" s="117">
        <f t="shared" si="5"/>
        <v>90161.316900320875</v>
      </c>
      <c r="E43" s="117">
        <f t="shared" si="5"/>
        <v>96092.133091622032</v>
      </c>
      <c r="F43" s="117">
        <f t="shared" si="5"/>
        <v>102010.49370035238</v>
      </c>
      <c r="G43" s="118">
        <f t="shared" si="5"/>
        <v>107905.09823292249</v>
      </c>
    </row>
  </sheetData>
  <mergeCells count="4">
    <mergeCell ref="A19:F19"/>
    <mergeCell ref="A24:G24"/>
    <mergeCell ref="A41:F41"/>
    <mergeCell ref="A2:I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Q1059"/>
  <sheetViews>
    <sheetView showGridLines="0" zoomScale="90" zoomScaleNormal="90" workbookViewId="0">
      <selection activeCell="E22" sqref="E22:F22"/>
    </sheetView>
  </sheetViews>
  <sheetFormatPr defaultColWidth="9.140625" defaultRowHeight="13.5" x14ac:dyDescent="0.25"/>
  <cols>
    <col min="1" max="1" width="9.140625" style="34"/>
    <col min="2" max="2" width="28.42578125" style="34" customWidth="1"/>
    <col min="3" max="3" width="7.85546875" style="34" customWidth="1"/>
    <col min="4" max="4" width="13.42578125" style="300" customWidth="1"/>
    <col min="5" max="5" width="37.28515625" style="34" customWidth="1"/>
    <col min="6" max="7" width="9.140625" style="34"/>
    <col min="8" max="8" width="10.140625" style="34" bestFit="1" customWidth="1"/>
    <col min="9" max="9" width="11.85546875" style="34" bestFit="1" customWidth="1"/>
    <col min="10" max="10" width="15.28515625" style="34" customWidth="1"/>
    <col min="11" max="11" width="4.7109375" style="300" customWidth="1"/>
    <col min="12" max="12" width="10.140625" style="34" bestFit="1" customWidth="1"/>
    <col min="13" max="13" width="9.140625" style="34"/>
    <col min="14" max="14" width="9.42578125" style="34" bestFit="1" customWidth="1"/>
    <col min="15" max="15" width="9.140625" style="34"/>
    <col min="16" max="16" width="14.85546875" style="34" bestFit="1" customWidth="1"/>
    <col min="17" max="16384" width="9.140625" style="34"/>
  </cols>
  <sheetData>
    <row r="1" spans="1:17" x14ac:dyDescent="0.25">
      <c r="I1" s="34" t="s">
        <v>1034</v>
      </c>
      <c r="J1" s="34" t="s">
        <v>1035</v>
      </c>
      <c r="M1" s="34" t="s">
        <v>1036</v>
      </c>
      <c r="N1" s="34" t="s">
        <v>1037</v>
      </c>
      <c r="O1" s="34" t="s">
        <v>1038</v>
      </c>
      <c r="P1" s="34" t="s">
        <v>1039</v>
      </c>
    </row>
    <row r="2" spans="1:17" ht="14.25" thickBot="1" x14ac:dyDescent="0.3">
      <c r="H2" s="47" t="s">
        <v>404</v>
      </c>
      <c r="I2" s="126" t="s">
        <v>147</v>
      </c>
      <c r="J2" s="870" t="s">
        <v>403</v>
      </c>
      <c r="K2" s="379"/>
      <c r="L2" s="47" t="s">
        <v>401</v>
      </c>
      <c r="M2" s="871" t="s">
        <v>148</v>
      </c>
      <c r="N2" s="871" t="s">
        <v>149</v>
      </c>
      <c r="O2" s="871" t="s">
        <v>150</v>
      </c>
      <c r="P2" s="871" t="s">
        <v>151</v>
      </c>
      <c r="Q2" s="47"/>
    </row>
    <row r="3" spans="1:17" ht="26.25" customHeight="1" thickBot="1" x14ac:dyDescent="0.3">
      <c r="A3" s="944" t="s">
        <v>496</v>
      </c>
      <c r="B3" s="944"/>
      <c r="C3" s="944"/>
      <c r="D3" s="865"/>
      <c r="E3" s="944" t="s">
        <v>1424</v>
      </c>
      <c r="F3" s="944"/>
      <c r="H3" s="872">
        <v>43172</v>
      </c>
      <c r="I3" s="34">
        <v>88.046999999999997</v>
      </c>
      <c r="J3" s="34">
        <v>65.3</v>
      </c>
      <c r="L3" s="872">
        <v>43172</v>
      </c>
      <c r="M3" s="34">
        <v>1.3887690916498563</v>
      </c>
      <c r="N3" s="34">
        <v>1.0810551195035327</v>
      </c>
      <c r="O3" s="34">
        <v>1.2006565896237056</v>
      </c>
      <c r="P3" s="34">
        <v>1.004241476243668</v>
      </c>
    </row>
    <row r="4" spans="1:17" ht="14.25" thickBot="1" x14ac:dyDescent="0.3">
      <c r="B4" s="512"/>
      <c r="C4" s="515"/>
      <c r="D4" s="513"/>
      <c r="E4" s="512"/>
      <c r="H4" s="872">
        <v>43171</v>
      </c>
      <c r="I4" s="34">
        <v>87.666200000000003</v>
      </c>
      <c r="J4" s="34">
        <v>64.95</v>
      </c>
      <c r="L4" s="872">
        <v>43171</v>
      </c>
      <c r="M4" s="34">
        <v>1.3827571472578577</v>
      </c>
      <c r="N4" s="34">
        <v>1.0836461532628066</v>
      </c>
      <c r="O4" s="34">
        <v>1.2076104883190837</v>
      </c>
      <c r="P4" s="34">
        <v>1.0092350174045843</v>
      </c>
    </row>
    <row r="5" spans="1:17" x14ac:dyDescent="0.25">
      <c r="B5" s="76"/>
      <c r="C5" s="76"/>
      <c r="D5" s="812"/>
      <c r="E5" s="76"/>
      <c r="H5" s="872">
        <v>43168</v>
      </c>
      <c r="I5" s="34">
        <v>87.954599999999999</v>
      </c>
      <c r="J5" s="34">
        <v>65.489999999999995</v>
      </c>
      <c r="L5" s="872">
        <v>43168</v>
      </c>
      <c r="M5" s="34">
        <v>1.3845209821827831</v>
      </c>
      <c r="N5" s="34">
        <v>1.0808212945057445</v>
      </c>
      <c r="O5" s="34">
        <v>1.2006371408789276</v>
      </c>
      <c r="P5" s="34">
        <v>1.0033092069856184</v>
      </c>
    </row>
    <row r="6" spans="1:17" x14ac:dyDescent="0.25">
      <c r="H6" s="872">
        <v>43167</v>
      </c>
      <c r="I6" s="34">
        <v>87.587800000000001</v>
      </c>
      <c r="J6" s="34">
        <v>63.61</v>
      </c>
      <c r="L6" s="872">
        <v>43167</v>
      </c>
      <c r="M6" s="34">
        <v>1.360870688541532</v>
      </c>
      <c r="N6" s="34">
        <v>1.0785272816896068</v>
      </c>
      <c r="O6" s="34">
        <v>1.2015016375843102</v>
      </c>
      <c r="P6" s="34">
        <v>0.99761790490914248</v>
      </c>
    </row>
    <row r="7" spans="1:17" x14ac:dyDescent="0.25">
      <c r="H7" s="872">
        <v>43166</v>
      </c>
      <c r="I7" s="34">
        <v>88.036799999999999</v>
      </c>
      <c r="J7" s="34">
        <v>64.34</v>
      </c>
      <c r="L7" s="872">
        <v>43166</v>
      </c>
      <c r="M7" s="34">
        <v>1.3548239643059434</v>
      </c>
      <c r="N7" s="34">
        <v>1.0671772899050798</v>
      </c>
      <c r="O7" s="34">
        <v>1.1907844067743867</v>
      </c>
      <c r="P7" s="34">
        <v>0.99254002568973676</v>
      </c>
    </row>
    <row r="8" spans="1:17" x14ac:dyDescent="0.25">
      <c r="H8" s="872">
        <v>43165</v>
      </c>
      <c r="I8" s="34">
        <v>89.006900000000002</v>
      </c>
      <c r="J8" s="34">
        <v>65.790000000000006</v>
      </c>
      <c r="L8" s="872">
        <v>43165</v>
      </c>
      <c r="M8" s="34">
        <v>1.3554798127850705</v>
      </c>
      <c r="N8" s="34">
        <v>1.0610156852336354</v>
      </c>
      <c r="O8" s="34">
        <v>1.1779978295200828</v>
      </c>
      <c r="P8" s="34">
        <v>0.99799287555767779</v>
      </c>
    </row>
    <row r="9" spans="1:17" x14ac:dyDescent="0.25">
      <c r="H9" s="872">
        <v>43164</v>
      </c>
      <c r="I9" s="34">
        <v>88.702200000000005</v>
      </c>
      <c r="J9" s="34">
        <v>65.540000000000006</v>
      </c>
      <c r="L9" s="872">
        <v>43164</v>
      </c>
      <c r="M9" s="34">
        <v>1.3519123945425457</v>
      </c>
      <c r="N9" s="34">
        <v>1.0602130967277139</v>
      </c>
      <c r="O9" s="34">
        <v>1.1757612238706114</v>
      </c>
      <c r="P9" s="34">
        <v>0.98806768159531211</v>
      </c>
    </row>
    <row r="10" spans="1:17" x14ac:dyDescent="0.25">
      <c r="H10" s="872">
        <v>43161</v>
      </c>
      <c r="I10" s="34">
        <v>88.1477</v>
      </c>
      <c r="J10" s="34">
        <v>64.37</v>
      </c>
      <c r="L10" s="872">
        <v>43161</v>
      </c>
      <c r="M10" s="34">
        <v>1.3371607723112695</v>
      </c>
      <c r="N10" s="34">
        <v>1.0505535964812498</v>
      </c>
      <c r="O10" s="34">
        <v>1.1585335257462481</v>
      </c>
      <c r="P10" s="34">
        <v>0.98734018999726358</v>
      </c>
    </row>
    <row r="11" spans="1:17" x14ac:dyDescent="0.25">
      <c r="H11" s="872">
        <v>43160</v>
      </c>
      <c r="I11" s="34">
        <v>88.202799999999996</v>
      </c>
      <c r="J11" s="34">
        <v>63.83</v>
      </c>
      <c r="L11" s="872">
        <v>43160</v>
      </c>
      <c r="M11" s="34">
        <v>1.3304134826547951</v>
      </c>
      <c r="N11" s="34">
        <v>1.0740656479480275</v>
      </c>
      <c r="O11" s="34">
        <v>1.1854924033202896</v>
      </c>
      <c r="P11" s="34">
        <v>0.99317316787702914</v>
      </c>
    </row>
    <row r="12" spans="1:17" x14ac:dyDescent="0.25">
      <c r="H12" s="872">
        <v>43159</v>
      </c>
      <c r="I12" s="34">
        <v>88.140900000000002</v>
      </c>
      <c r="J12" s="34">
        <v>65.78</v>
      </c>
      <c r="L12" s="872">
        <v>43159</v>
      </c>
      <c r="M12" s="34">
        <v>1.3483797561436108</v>
      </c>
      <c r="N12" s="34">
        <v>1.0866416410723088</v>
      </c>
      <c r="O12" s="34">
        <v>1.2093083637382043</v>
      </c>
      <c r="P12" s="34">
        <v>0.98882065663549401</v>
      </c>
    </row>
    <row r="13" spans="1:17" x14ac:dyDescent="0.25">
      <c r="H13" s="872">
        <v>43158</v>
      </c>
      <c r="I13" s="34">
        <v>88.590900000000005</v>
      </c>
      <c r="J13" s="34">
        <v>66.63</v>
      </c>
      <c r="L13" s="872">
        <v>43158</v>
      </c>
      <c r="M13" s="34">
        <v>1.3635089881052935</v>
      </c>
      <c r="N13" s="34">
        <v>1.0926673744612545</v>
      </c>
      <c r="O13" s="34">
        <v>1.2146450993052906</v>
      </c>
      <c r="P13" s="34">
        <v>0.99872886163643759</v>
      </c>
    </row>
    <row r="14" spans="1:17" x14ac:dyDescent="0.25">
      <c r="H14" s="872">
        <v>43157</v>
      </c>
      <c r="I14" s="34">
        <v>89.040099999999995</v>
      </c>
      <c r="J14" s="34">
        <v>67.5</v>
      </c>
      <c r="L14" s="872">
        <v>43157</v>
      </c>
      <c r="M14" s="34">
        <v>1.3810579034710282</v>
      </c>
      <c r="N14" s="34">
        <v>1.0942946700539693</v>
      </c>
      <c r="O14" s="34">
        <v>1.218176018919739</v>
      </c>
      <c r="P14" s="34">
        <v>1.0101072185490336</v>
      </c>
    </row>
    <row r="15" spans="1:17" x14ac:dyDescent="0.25">
      <c r="H15" s="872">
        <v>43154</v>
      </c>
      <c r="I15" s="34">
        <v>88.6922</v>
      </c>
      <c r="J15" s="34">
        <v>67.31</v>
      </c>
      <c r="L15" s="872">
        <v>43154</v>
      </c>
      <c r="M15" s="34">
        <v>1.365009489928751</v>
      </c>
      <c r="N15" s="34">
        <v>1.0874315903891605</v>
      </c>
      <c r="O15" s="34">
        <v>1.2139702278614939</v>
      </c>
      <c r="P15" s="34">
        <v>0.99780539023341019</v>
      </c>
    </row>
    <row r="16" spans="1:17" x14ac:dyDescent="0.25">
      <c r="B16" s="300"/>
      <c r="C16" s="300"/>
      <c r="H16" s="872">
        <v>43153</v>
      </c>
      <c r="I16" s="34">
        <v>88.667500000000004</v>
      </c>
      <c r="J16" s="34">
        <v>66.39</v>
      </c>
      <c r="L16" s="872">
        <v>43153</v>
      </c>
      <c r="M16" s="34">
        <v>1.3434757981974104</v>
      </c>
      <c r="N16" s="34">
        <v>1.0844392623769257</v>
      </c>
      <c r="O16" s="34">
        <v>1.2118425351827793</v>
      </c>
      <c r="P16" s="34">
        <v>0.99159683495648709</v>
      </c>
    </row>
    <row r="17" spans="1:16" ht="15" customHeight="1" x14ac:dyDescent="0.25">
      <c r="B17" s="943" t="s">
        <v>494</v>
      </c>
      <c r="C17" s="943"/>
      <c r="E17" s="943" t="s">
        <v>494</v>
      </c>
      <c r="F17" s="943"/>
      <c r="H17" s="872">
        <v>43152</v>
      </c>
      <c r="I17" s="34">
        <v>88.274199999999993</v>
      </c>
      <c r="J17" s="34">
        <v>65.42</v>
      </c>
      <c r="L17" s="872">
        <v>43145</v>
      </c>
      <c r="M17" s="34">
        <v>1.3408275615354803</v>
      </c>
      <c r="N17" s="34">
        <v>1.064797962562722</v>
      </c>
      <c r="O17" s="34">
        <v>1.1999058680752743</v>
      </c>
      <c r="P17" s="34">
        <v>0.97054265776525994</v>
      </c>
    </row>
    <row r="18" spans="1:16" x14ac:dyDescent="0.25">
      <c r="H18" s="872">
        <v>43151</v>
      </c>
      <c r="I18" s="34">
        <v>88.003500000000003</v>
      </c>
      <c r="J18" s="34">
        <v>65.25</v>
      </c>
      <c r="L18" s="872">
        <v>43144</v>
      </c>
      <c r="M18" s="34">
        <v>1.3230948098536266</v>
      </c>
      <c r="N18" s="34">
        <v>1.0556661484599146</v>
      </c>
      <c r="O18" s="34">
        <v>1.1860330784251183</v>
      </c>
      <c r="P18" s="34">
        <v>0.96623474254745834</v>
      </c>
    </row>
    <row r="19" spans="1:16" x14ac:dyDescent="0.25">
      <c r="H19" s="872">
        <v>43147</v>
      </c>
      <c r="I19" s="34">
        <v>88.204300000000003</v>
      </c>
      <c r="J19" s="34">
        <v>64.84</v>
      </c>
      <c r="L19" s="872">
        <v>43143</v>
      </c>
      <c r="M19" s="34">
        <v>1.3196466367891249</v>
      </c>
      <c r="N19" s="34">
        <v>1.0642987145944716</v>
      </c>
      <c r="O19" s="34">
        <v>1.1944222944851139</v>
      </c>
      <c r="P19" s="34">
        <v>0.95688049903860684</v>
      </c>
    </row>
    <row r="20" spans="1:16" x14ac:dyDescent="0.25">
      <c r="H20" s="872">
        <v>43146</v>
      </c>
      <c r="I20" s="34">
        <v>88.237700000000004</v>
      </c>
      <c r="J20" s="34">
        <v>64.33</v>
      </c>
      <c r="L20" s="872">
        <v>43140</v>
      </c>
      <c r="M20" s="34">
        <v>1.3015362753768644</v>
      </c>
      <c r="N20" s="34">
        <v>1.0509454113424082</v>
      </c>
      <c r="O20" s="34">
        <v>1.1773764421244253</v>
      </c>
      <c r="P20" s="34">
        <v>0.94951639101065521</v>
      </c>
    </row>
    <row r="21" spans="1:16" x14ac:dyDescent="0.25">
      <c r="H21" s="872">
        <v>43145</v>
      </c>
      <c r="I21" s="34">
        <v>87.994399999999999</v>
      </c>
      <c r="J21" s="34">
        <v>64.36</v>
      </c>
      <c r="L21" s="872">
        <v>43139</v>
      </c>
      <c r="M21" s="34">
        <v>1.2823825186569018</v>
      </c>
      <c r="N21" s="34">
        <v>1.0671583311214752</v>
      </c>
      <c r="O21" s="34">
        <v>1.1922362555720654</v>
      </c>
      <c r="P21" s="34">
        <v>0.98962217156545407</v>
      </c>
    </row>
    <row r="22" spans="1:16" ht="27" customHeight="1" thickBot="1" x14ac:dyDescent="0.3">
      <c r="A22" s="944" t="s">
        <v>442</v>
      </c>
      <c r="B22" s="944"/>
      <c r="C22" s="944"/>
      <c r="E22" s="944" t="s">
        <v>1425</v>
      </c>
      <c r="F22" s="944"/>
      <c r="H22" s="872">
        <v>43144</v>
      </c>
      <c r="I22" s="34">
        <v>86.789299999999997</v>
      </c>
      <c r="J22" s="34">
        <v>62.72</v>
      </c>
      <c r="L22" s="872">
        <v>43138</v>
      </c>
      <c r="M22" s="34">
        <v>1.3323959337394293</v>
      </c>
      <c r="N22" s="34">
        <v>1.0915582856203945</v>
      </c>
      <c r="O22" s="34">
        <v>1.2243402985771299</v>
      </c>
      <c r="P22" s="34">
        <v>1.0039444727930886</v>
      </c>
    </row>
    <row r="23" spans="1:16" x14ac:dyDescent="0.25">
      <c r="H23" s="872">
        <v>43143</v>
      </c>
      <c r="I23" s="34">
        <v>86.325699999999998</v>
      </c>
      <c r="J23" s="34">
        <v>62.59</v>
      </c>
      <c r="L23" s="872">
        <v>43137</v>
      </c>
      <c r="M23" s="34">
        <v>1.3390935379050608</v>
      </c>
      <c r="N23" s="34">
        <v>1.0727258939066469</v>
      </c>
      <c r="O23" s="34">
        <v>1.2051084073033926</v>
      </c>
      <c r="P23" s="34">
        <v>1.0225692285009245</v>
      </c>
    </row>
    <row r="24" spans="1:16" x14ac:dyDescent="0.25">
      <c r="H24" s="872">
        <v>43140</v>
      </c>
      <c r="I24" s="34">
        <v>85.644199999999998</v>
      </c>
      <c r="J24" s="34">
        <v>62.79</v>
      </c>
      <c r="L24" s="872">
        <v>43136</v>
      </c>
      <c r="M24" s="34">
        <v>1.3161388411356116</v>
      </c>
      <c r="N24" s="34">
        <v>1.0992207939938572</v>
      </c>
      <c r="O24" s="34">
        <v>1.233778774417899</v>
      </c>
      <c r="P24" s="34">
        <v>1.0580169998828974</v>
      </c>
    </row>
    <row r="25" spans="1:16" x14ac:dyDescent="0.25">
      <c r="H25" s="872">
        <v>43139</v>
      </c>
      <c r="I25" s="34">
        <v>87.008700000000005</v>
      </c>
      <c r="J25" s="34">
        <v>64.81</v>
      </c>
      <c r="L25" s="872">
        <v>43133</v>
      </c>
      <c r="M25" s="34">
        <v>1.3723778482207625</v>
      </c>
      <c r="N25" s="34">
        <v>1.1132850516310873</v>
      </c>
      <c r="O25" s="34">
        <v>1.2432765689302412</v>
      </c>
      <c r="P25" s="34">
        <v>1.0503064383916552</v>
      </c>
    </row>
    <row r="26" spans="1:16" x14ac:dyDescent="0.25">
      <c r="H26" s="872">
        <v>43138</v>
      </c>
      <c r="I26" s="34">
        <v>87.147999999999996</v>
      </c>
      <c r="J26" s="34">
        <v>65.510000000000005</v>
      </c>
      <c r="L26" s="872">
        <v>43132</v>
      </c>
      <c r="M26" s="34">
        <v>1.4021146144902765</v>
      </c>
      <c r="N26" s="34">
        <v>1.1303700754559587</v>
      </c>
      <c r="O26" s="34">
        <v>1.264547661093953</v>
      </c>
      <c r="P26" s="34">
        <v>1.0457251829195409</v>
      </c>
    </row>
    <row r="27" spans="1:16" x14ac:dyDescent="0.25">
      <c r="H27" s="872">
        <v>43137</v>
      </c>
      <c r="I27" s="34">
        <v>88.167299999999997</v>
      </c>
      <c r="J27" s="34">
        <v>66.86</v>
      </c>
      <c r="L27" s="872">
        <v>43131</v>
      </c>
      <c r="M27" s="34">
        <v>1.4030238589727027</v>
      </c>
      <c r="N27" s="34">
        <v>1.1404624679280577</v>
      </c>
      <c r="O27" s="34">
        <v>1.2825941513734702</v>
      </c>
      <c r="P27" s="34">
        <v>1.0559953134736419</v>
      </c>
    </row>
    <row r="28" spans="1:16" x14ac:dyDescent="0.25">
      <c r="H28" s="872">
        <v>43136</v>
      </c>
      <c r="I28" s="34">
        <v>88.513499999999993</v>
      </c>
      <c r="J28" s="34">
        <v>67.62</v>
      </c>
      <c r="L28" s="872">
        <v>43130</v>
      </c>
      <c r="M28" s="34">
        <v>1.4023381991990698</v>
      </c>
      <c r="N28" s="34">
        <v>1.1396598794221362</v>
      </c>
      <c r="O28" s="34">
        <v>1.2833944672210853</v>
      </c>
      <c r="P28" s="34">
        <v>1.0581723275301873</v>
      </c>
    </row>
    <row r="29" spans="1:16" x14ac:dyDescent="0.25">
      <c r="H29" s="872">
        <v>43133</v>
      </c>
      <c r="I29" s="34">
        <v>89.121300000000005</v>
      </c>
      <c r="J29" s="34">
        <v>68.58</v>
      </c>
      <c r="L29" s="872">
        <v>43129</v>
      </c>
      <c r="M29" s="34">
        <v>1.4177903868512318</v>
      </c>
      <c r="N29" s="34">
        <v>1.1511267837055574</v>
      </c>
      <c r="O29" s="34">
        <v>1.2957220540986283</v>
      </c>
      <c r="P29" s="34">
        <v>1.0687880014246458</v>
      </c>
    </row>
    <row r="30" spans="1:16" x14ac:dyDescent="0.25">
      <c r="H30" s="872">
        <v>43132</v>
      </c>
      <c r="I30" s="34">
        <v>89.865899999999996</v>
      </c>
      <c r="J30" s="34">
        <v>69.650000000000006</v>
      </c>
      <c r="L30" s="872">
        <v>43126</v>
      </c>
      <c r="M30" s="34">
        <v>1.4273995607802608</v>
      </c>
      <c r="N30" s="34">
        <v>1.1525076151114144</v>
      </c>
      <c r="O30" s="34">
        <v>1.2972478081264636</v>
      </c>
      <c r="P30" s="34">
        <v>1.0794449342254155</v>
      </c>
    </row>
    <row r="31" spans="1:16" x14ac:dyDescent="0.25">
      <c r="H31" s="872">
        <v>43131</v>
      </c>
      <c r="I31" s="34">
        <v>89.8001</v>
      </c>
      <c r="J31" s="34">
        <v>69.05</v>
      </c>
      <c r="L31" s="872">
        <v>43125</v>
      </c>
      <c r="M31" s="34">
        <v>1.4106952987588564</v>
      </c>
      <c r="N31" s="34">
        <v>1.1470538050278694</v>
      </c>
      <c r="O31" s="34">
        <v>1.2931820480306202</v>
      </c>
      <c r="P31" s="34">
        <v>1.0764651917416659</v>
      </c>
    </row>
    <row r="32" spans="1:16" x14ac:dyDescent="0.25">
      <c r="H32" s="872">
        <v>43130</v>
      </c>
      <c r="I32" s="34">
        <v>90.282300000000006</v>
      </c>
      <c r="J32" s="34">
        <v>69.02</v>
      </c>
      <c r="L32" s="872">
        <v>43124</v>
      </c>
      <c r="M32" s="34">
        <v>1.4098456768654417</v>
      </c>
      <c r="N32" s="34">
        <v>1.1511836600563707</v>
      </c>
      <c r="O32" s="34">
        <v>1.3044992726169453</v>
      </c>
      <c r="P32" s="34">
        <v>1.0798502423050624</v>
      </c>
    </row>
    <row r="33" spans="2:16" x14ac:dyDescent="0.25">
      <c r="H33" s="872">
        <v>43129</v>
      </c>
      <c r="I33" s="34">
        <v>90.627700000000004</v>
      </c>
      <c r="J33" s="34">
        <v>69.459999999999994</v>
      </c>
      <c r="L33" s="872">
        <v>43123</v>
      </c>
      <c r="M33" s="34">
        <v>1.4106356761698449</v>
      </c>
      <c r="N33" s="34">
        <v>1.1603691907127238</v>
      </c>
      <c r="O33" s="34">
        <v>1.3185859984596593</v>
      </c>
      <c r="P33" s="34">
        <v>1.0759185112330407</v>
      </c>
    </row>
    <row r="34" spans="2:16" x14ac:dyDescent="0.25">
      <c r="H34" s="872">
        <v>43126</v>
      </c>
      <c r="I34" s="34">
        <v>90.799899999999994</v>
      </c>
      <c r="J34" s="34">
        <v>70.52</v>
      </c>
      <c r="L34" s="872">
        <v>43122</v>
      </c>
      <c r="M34" s="34">
        <v>1.4075750499339181</v>
      </c>
      <c r="N34" s="34">
        <v>1.1581541728282714</v>
      </c>
      <c r="O34" s="34">
        <v>1.3092593529013636</v>
      </c>
      <c r="P34" s="34">
        <v>1.0622232847064763</v>
      </c>
    </row>
    <row r="35" spans="2:16" x14ac:dyDescent="0.25">
      <c r="H35" s="872">
        <v>43125</v>
      </c>
      <c r="I35" s="34">
        <v>90.459000000000003</v>
      </c>
      <c r="J35" s="34">
        <v>70.42</v>
      </c>
      <c r="L35" s="872">
        <v>43119</v>
      </c>
      <c r="M35" s="34">
        <v>1.3963113491598185</v>
      </c>
      <c r="N35" s="34">
        <v>1.153032141457804</v>
      </c>
      <c r="O35" s="34">
        <v>1.3064159464148184</v>
      </c>
      <c r="P35" s="34">
        <v>1.0581283382550759</v>
      </c>
    </row>
    <row r="36" spans="2:16" x14ac:dyDescent="0.25">
      <c r="B36" s="943" t="s">
        <v>495</v>
      </c>
      <c r="C36" s="943"/>
      <c r="E36" s="943" t="s">
        <v>495</v>
      </c>
      <c r="F36" s="943"/>
      <c r="H36" s="872">
        <v>43124</v>
      </c>
      <c r="I36" s="34">
        <v>90.464100000000002</v>
      </c>
      <c r="J36" s="34">
        <v>70.53</v>
      </c>
      <c r="L36" s="872">
        <v>43118</v>
      </c>
      <c r="M36" s="34">
        <v>1.3902149394333867</v>
      </c>
      <c r="N36" s="34">
        <v>1.1441341523527848</v>
      </c>
      <c r="O36" s="34">
        <v>1.2915357117851614</v>
      </c>
      <c r="P36" s="34">
        <v>1.0541511010363873</v>
      </c>
    </row>
    <row r="37" spans="2:16" x14ac:dyDescent="0.25">
      <c r="H37" s="872">
        <v>43123</v>
      </c>
      <c r="I37" s="34">
        <v>89.156400000000005</v>
      </c>
      <c r="J37" s="34">
        <v>69.959999999999994</v>
      </c>
      <c r="L37" s="872">
        <v>43117</v>
      </c>
      <c r="M37" s="34">
        <v>1.3924656921685727</v>
      </c>
      <c r="N37" s="34">
        <v>1.141565237174383</v>
      </c>
      <c r="O37" s="34">
        <v>1.2820573660175971</v>
      </c>
      <c r="P37" s="34">
        <v>1.0450246916351815</v>
      </c>
    </row>
    <row r="38" spans="2:16" x14ac:dyDescent="0.25">
      <c r="H38" s="872">
        <v>43122</v>
      </c>
      <c r="I38" s="34">
        <v>88.809200000000004</v>
      </c>
      <c r="J38" s="34">
        <v>69.03</v>
      </c>
      <c r="L38" s="872">
        <v>43116</v>
      </c>
      <c r="M38" s="34">
        <v>1.3794779048622221</v>
      </c>
      <c r="N38" s="34">
        <v>1.1444817300521999</v>
      </c>
      <c r="O38" s="34">
        <v>1.2881224570766201</v>
      </c>
      <c r="P38" s="34">
        <v>1.0425743373243237</v>
      </c>
    </row>
    <row r="39" spans="2:16" x14ac:dyDescent="0.25">
      <c r="H39" s="872">
        <v>43119</v>
      </c>
      <c r="I39" s="34">
        <v>88.542500000000004</v>
      </c>
      <c r="J39" s="34">
        <v>68.61</v>
      </c>
      <c r="L39" s="872">
        <v>43112</v>
      </c>
      <c r="M39" s="34">
        <v>1.3843570200630011</v>
      </c>
      <c r="N39" s="34">
        <v>1.1415115206208368</v>
      </c>
      <c r="O39" s="34">
        <v>1.2879960402355632</v>
      </c>
      <c r="P39" s="34">
        <v>1.0402526137213775</v>
      </c>
    </row>
    <row r="40" spans="2:16" x14ac:dyDescent="0.25">
      <c r="H40" s="872">
        <v>43118</v>
      </c>
      <c r="I40" s="34">
        <v>88.694299999999998</v>
      </c>
      <c r="J40" s="34">
        <v>69.31</v>
      </c>
      <c r="L40" s="872">
        <v>43111</v>
      </c>
      <c r="M40" s="34">
        <v>1.3750757703735355</v>
      </c>
      <c r="N40" s="34">
        <v>1.1360229527673502</v>
      </c>
      <c r="O40" s="34">
        <v>1.2838991621480749</v>
      </c>
      <c r="P40" s="34">
        <v>1.0391616796986158</v>
      </c>
    </row>
    <row r="41" spans="2:16" x14ac:dyDescent="0.25">
      <c r="H41" s="872">
        <v>43117</v>
      </c>
      <c r="I41" s="34">
        <v>88.796199999999999</v>
      </c>
      <c r="J41" s="34">
        <v>69.38</v>
      </c>
      <c r="L41" s="872">
        <v>43110</v>
      </c>
      <c r="M41" s="34">
        <v>1.3654715649935905</v>
      </c>
      <c r="N41" s="34">
        <v>1.1406330969804976</v>
      </c>
      <c r="O41" s="34">
        <v>1.2915269598500112</v>
      </c>
      <c r="P41" s="34">
        <v>1.0380965324922988</v>
      </c>
    </row>
    <row r="42" spans="2:16" x14ac:dyDescent="0.25">
      <c r="H42" s="872">
        <v>43116</v>
      </c>
      <c r="I42" s="34">
        <v>88.450699999999998</v>
      </c>
      <c r="J42" s="34">
        <v>69.150000000000006</v>
      </c>
      <c r="L42" s="872">
        <v>43109</v>
      </c>
      <c r="M42" s="34">
        <v>1.3669919410133853</v>
      </c>
      <c r="N42" s="34">
        <v>1.1447534726171968</v>
      </c>
      <c r="O42" s="34">
        <v>1.30166461806555</v>
      </c>
      <c r="P42" s="34">
        <v>1.0356892573336189</v>
      </c>
    </row>
    <row r="43" spans="2:16" x14ac:dyDescent="0.25">
      <c r="H43" s="872">
        <v>43112</v>
      </c>
      <c r="I43" s="34">
        <v>88.756500000000003</v>
      </c>
      <c r="J43" s="34">
        <v>69.87</v>
      </c>
      <c r="L43" s="872">
        <v>43108</v>
      </c>
      <c r="M43" s="34">
        <v>1.3652132004412072</v>
      </c>
      <c r="N43" s="34">
        <v>1.1427248827715213</v>
      </c>
      <c r="O43" s="34">
        <v>1.299932707343068</v>
      </c>
      <c r="P43" s="34">
        <v>1.0343483428785003</v>
      </c>
    </row>
    <row r="44" spans="2:16" x14ac:dyDescent="0.25">
      <c r="H44" s="872">
        <v>43111</v>
      </c>
      <c r="I44" s="34">
        <v>88.305899999999994</v>
      </c>
      <c r="J44" s="34">
        <v>69.260000000000005</v>
      </c>
      <c r="L44" s="872">
        <v>43105</v>
      </c>
      <c r="M44" s="34">
        <v>1.362947542058768</v>
      </c>
      <c r="N44" s="34">
        <v>1.1399379415816682</v>
      </c>
      <c r="O44" s="34">
        <v>1.2952513944750004</v>
      </c>
      <c r="P44" s="34">
        <v>1.028969819716782</v>
      </c>
    </row>
    <row r="45" spans="2:16" x14ac:dyDescent="0.25">
      <c r="H45" s="872">
        <v>43110</v>
      </c>
      <c r="I45" s="34">
        <v>88.2393</v>
      </c>
      <c r="J45" s="34">
        <v>69.2</v>
      </c>
      <c r="L45" s="872">
        <v>43104</v>
      </c>
      <c r="M45" s="34">
        <v>1.353427802013256</v>
      </c>
      <c r="N45" s="34">
        <v>1.1276937271704648</v>
      </c>
      <c r="O45" s="34">
        <v>1.2804946593746838</v>
      </c>
      <c r="P45" s="34">
        <v>1.0271374388776608</v>
      </c>
    </row>
    <row r="46" spans="2:16" x14ac:dyDescent="0.25">
      <c r="H46" s="872">
        <v>43109</v>
      </c>
      <c r="I46" s="34">
        <v>88.098799999999997</v>
      </c>
      <c r="J46" s="34">
        <v>68.819999999999993</v>
      </c>
      <c r="L46" s="872">
        <v>43103</v>
      </c>
      <c r="M46" s="34">
        <v>1.34799717786412</v>
      </c>
      <c r="N46" s="34">
        <v>1.1090509232927614</v>
      </c>
      <c r="O46" s="34">
        <v>1.2620494698272171</v>
      </c>
      <c r="P46" s="34">
        <v>1.0221008185645664</v>
      </c>
    </row>
    <row r="47" spans="2:16" x14ac:dyDescent="0.25">
      <c r="H47" s="872">
        <v>43108</v>
      </c>
      <c r="I47" s="34">
        <v>87.691100000000006</v>
      </c>
      <c r="J47" s="34">
        <v>67.78</v>
      </c>
      <c r="L47" s="872">
        <v>43102</v>
      </c>
      <c r="M47" s="34">
        <v>1.3394264306937087</v>
      </c>
      <c r="N47" s="34">
        <v>1.1028292824732364</v>
      </c>
      <c r="O47" s="34">
        <v>1.251661895241281</v>
      </c>
      <c r="P47" s="34">
        <v>1.0157960936310204</v>
      </c>
    </row>
    <row r="48" spans="2:16" x14ac:dyDescent="0.25">
      <c r="H48" s="872">
        <v>43105</v>
      </c>
      <c r="I48" s="34">
        <v>87.915199999999999</v>
      </c>
      <c r="J48" s="34">
        <v>67.62</v>
      </c>
      <c r="L48" s="872">
        <v>43098</v>
      </c>
      <c r="M48" s="34">
        <v>1.3283962517265708</v>
      </c>
      <c r="N48" s="34">
        <v>1.1071803233104562</v>
      </c>
      <c r="O48" s="34">
        <v>1.2561594174711963</v>
      </c>
      <c r="P48" s="34">
        <v>1.0033110272314849</v>
      </c>
    </row>
    <row r="49" spans="8:16" x14ac:dyDescent="0.25">
      <c r="H49" s="872">
        <v>43104</v>
      </c>
      <c r="I49" s="34">
        <v>88.568799999999996</v>
      </c>
      <c r="J49" s="34">
        <v>68.069999999999993</v>
      </c>
      <c r="L49" s="872">
        <v>43097</v>
      </c>
      <c r="M49" s="34">
        <v>1.3353174406009956</v>
      </c>
      <c r="N49" s="34">
        <v>1.1136105107496301</v>
      </c>
      <c r="O49" s="34">
        <v>1.262217701469547</v>
      </c>
      <c r="P49" s="34">
        <v>1.0000385285375115</v>
      </c>
    </row>
    <row r="50" spans="8:16" x14ac:dyDescent="0.25">
      <c r="H50" s="872">
        <v>43103</v>
      </c>
      <c r="I50" s="34">
        <v>88.608500000000006</v>
      </c>
      <c r="J50" s="34">
        <v>67.84</v>
      </c>
      <c r="L50" s="872">
        <v>43096</v>
      </c>
      <c r="M50" s="34">
        <v>1.3328729144515217</v>
      </c>
      <c r="N50" s="34">
        <v>1.1217817464831457</v>
      </c>
      <c r="O50" s="34">
        <v>1.2709774161175638</v>
      </c>
      <c r="P50" s="34">
        <v>0.99378841097996584</v>
      </c>
    </row>
    <row r="51" spans="8:16" x14ac:dyDescent="0.25">
      <c r="H51" s="872">
        <v>43102</v>
      </c>
      <c r="I51" s="34">
        <v>88.4101</v>
      </c>
      <c r="J51" s="34">
        <v>66.569999999999993</v>
      </c>
      <c r="L51" s="872">
        <v>43091</v>
      </c>
      <c r="M51" s="34">
        <v>1.3332306499855913</v>
      </c>
      <c r="N51" s="34">
        <v>1.1227992012032506</v>
      </c>
      <c r="O51" s="34">
        <v>1.2712467812327393</v>
      </c>
      <c r="P51" s="34">
        <v>1.0002442163204459</v>
      </c>
    </row>
    <row r="52" spans="8:16" x14ac:dyDescent="0.25">
      <c r="H52" s="872">
        <v>43098</v>
      </c>
      <c r="I52" s="34">
        <v>88.167400000000001</v>
      </c>
      <c r="J52" s="34">
        <v>66.87</v>
      </c>
      <c r="L52" s="872">
        <v>43090</v>
      </c>
      <c r="M52" s="34">
        <v>1.3338417815229597</v>
      </c>
      <c r="N52" s="34">
        <v>1.128294088651272</v>
      </c>
      <c r="O52" s="34">
        <v>1.2748399368304768</v>
      </c>
      <c r="P52" s="34">
        <v>1.0011531257565398</v>
      </c>
    </row>
    <row r="53" spans="8:16" x14ac:dyDescent="0.25">
      <c r="H53" s="872">
        <v>43097</v>
      </c>
      <c r="I53" s="34">
        <v>87.697999999999993</v>
      </c>
      <c r="J53" s="34">
        <v>66.72</v>
      </c>
      <c r="L53" s="872">
        <v>43089</v>
      </c>
      <c r="M53" s="34">
        <v>1.3311985134101139</v>
      </c>
      <c r="N53" s="34">
        <v>1.1225653762054626</v>
      </c>
      <c r="O53" s="34">
        <v>1.2708947589522572</v>
      </c>
      <c r="P53" s="34">
        <v>0.99737520546025238</v>
      </c>
    </row>
    <row r="54" spans="8:16" x14ac:dyDescent="0.25">
      <c r="H54" s="872">
        <v>43096</v>
      </c>
      <c r="I54" s="34">
        <v>87.075500000000005</v>
      </c>
      <c r="J54" s="34">
        <v>66.44</v>
      </c>
      <c r="L54" s="872">
        <v>43088</v>
      </c>
      <c r="M54" s="34">
        <v>1.3323015313068276</v>
      </c>
      <c r="N54" s="34">
        <v>1.131908896725186</v>
      </c>
      <c r="O54" s="34">
        <v>1.2851526337490178</v>
      </c>
      <c r="P54" s="34">
        <v>1.0000849448071116</v>
      </c>
    </row>
    <row r="55" spans="8:16" x14ac:dyDescent="0.25">
      <c r="H55" s="872">
        <v>43095</v>
      </c>
      <c r="I55" s="34">
        <v>86.731099999999998</v>
      </c>
      <c r="J55" s="34">
        <v>67.02</v>
      </c>
      <c r="L55" s="872">
        <v>43087</v>
      </c>
      <c r="M55" s="34">
        <v>1.3366192004610813</v>
      </c>
      <c r="N55" s="34">
        <v>1.1405035452925341</v>
      </c>
      <c r="O55" s="34">
        <v>1.2945376255416474</v>
      </c>
      <c r="P55" s="34">
        <v>0.99140388889461928</v>
      </c>
    </row>
    <row r="56" spans="8:16" x14ac:dyDescent="0.25">
      <c r="H56" s="872">
        <v>43091</v>
      </c>
      <c r="I56" s="34">
        <v>85.745099999999994</v>
      </c>
      <c r="J56" s="34">
        <v>65.25</v>
      </c>
      <c r="L56" s="872">
        <v>43084</v>
      </c>
      <c r="M56" s="34">
        <v>1.329489332525116</v>
      </c>
      <c r="N56" s="34">
        <v>1.1250552964521796</v>
      </c>
      <c r="O56" s="34">
        <v>1.2742389706168362</v>
      </c>
      <c r="P56" s="34">
        <v>0.99086206237497199</v>
      </c>
    </row>
    <row r="57" spans="8:16" x14ac:dyDescent="0.25">
      <c r="H57" s="872">
        <v>43090</v>
      </c>
      <c r="I57" s="34">
        <v>85.277000000000001</v>
      </c>
      <c r="J57" s="34">
        <v>64.900000000000006</v>
      </c>
      <c r="L57" s="872">
        <v>43083</v>
      </c>
      <c r="M57" s="34">
        <v>1.3176641857044906</v>
      </c>
      <c r="N57" s="34">
        <v>1.123693423829927</v>
      </c>
      <c r="O57" s="34">
        <v>1.2707887632932169</v>
      </c>
      <c r="P57" s="34">
        <v>0.9988411101315493</v>
      </c>
    </row>
    <row r="58" spans="8:16" x14ac:dyDescent="0.25">
      <c r="H58" s="872">
        <v>43089</v>
      </c>
      <c r="I58" s="34">
        <v>85.052099999999996</v>
      </c>
      <c r="J58" s="34">
        <v>64.56</v>
      </c>
      <c r="L58" s="872">
        <v>43082</v>
      </c>
      <c r="M58" s="34">
        <v>1.3230500929118678</v>
      </c>
      <c r="N58" s="34">
        <v>1.1317603862536179</v>
      </c>
      <c r="O58" s="34">
        <v>1.2763861120403288</v>
      </c>
      <c r="P58" s="34">
        <v>1.0020565744550336</v>
      </c>
    </row>
    <row r="59" spans="8:16" x14ac:dyDescent="0.25">
      <c r="H59" s="872">
        <v>43088</v>
      </c>
      <c r="I59" s="34">
        <v>84.584699999999998</v>
      </c>
      <c r="J59" s="34">
        <v>63.8</v>
      </c>
      <c r="L59" s="872">
        <v>43081</v>
      </c>
      <c r="M59" s="34">
        <v>1.3236761300964892</v>
      </c>
      <c r="N59" s="34">
        <v>1.1376376091709954</v>
      </c>
      <c r="O59" s="34">
        <v>1.2820155512163245</v>
      </c>
      <c r="P59" s="34">
        <v>0.99531438376486314</v>
      </c>
    </row>
    <row r="60" spans="8:16" x14ac:dyDescent="0.25">
      <c r="H60" s="872">
        <v>43087</v>
      </c>
      <c r="I60" s="34">
        <v>84.470500000000001</v>
      </c>
      <c r="J60" s="34">
        <v>63.41</v>
      </c>
      <c r="L60" s="872">
        <v>43080</v>
      </c>
      <c r="M60" s="34">
        <v>1.3216290878737589</v>
      </c>
      <c r="N60" s="34">
        <v>1.1319057369279186</v>
      </c>
      <c r="O60" s="34">
        <v>1.2761925970297876</v>
      </c>
      <c r="P60" s="34">
        <v>1.0078689228816433</v>
      </c>
    </row>
    <row r="61" spans="8:16" x14ac:dyDescent="0.25">
      <c r="H61" s="872">
        <v>43084</v>
      </c>
      <c r="I61" s="34">
        <v>84.052999999999997</v>
      </c>
      <c r="J61" s="34">
        <v>63.23</v>
      </c>
      <c r="L61" s="872">
        <v>43077</v>
      </c>
      <c r="M61" s="34">
        <v>1.3174107897011913</v>
      </c>
      <c r="N61" s="34">
        <v>1.1348253896030029</v>
      </c>
      <c r="O61" s="34">
        <v>1.279114770932684</v>
      </c>
      <c r="P61" s="34">
        <v>0.99809905656656739</v>
      </c>
    </row>
    <row r="62" spans="8:16" x14ac:dyDescent="0.25">
      <c r="H62" s="872">
        <v>43083</v>
      </c>
      <c r="I62" s="34">
        <v>83.837400000000002</v>
      </c>
      <c r="J62" s="34">
        <v>63.31</v>
      </c>
      <c r="L62" s="872">
        <v>43076</v>
      </c>
      <c r="M62" s="34">
        <v>1.3101964564307931</v>
      </c>
      <c r="N62" s="34">
        <v>1.1290366410091128</v>
      </c>
      <c r="O62" s="34">
        <v>1.268558964704418</v>
      </c>
      <c r="P62" s="34">
        <v>0.99265712817382623</v>
      </c>
    </row>
    <row r="63" spans="8:16" x14ac:dyDescent="0.25">
      <c r="H63" s="872">
        <v>43082</v>
      </c>
      <c r="I63" s="34">
        <v>83.468299999999999</v>
      </c>
      <c r="J63" s="34">
        <v>62.44</v>
      </c>
      <c r="L63" s="872">
        <v>43075</v>
      </c>
      <c r="M63" s="34">
        <v>1.3063657050868005</v>
      </c>
      <c r="N63" s="34">
        <v>1.1253839153679899</v>
      </c>
      <c r="O63" s="34">
        <v>1.2640565802883081</v>
      </c>
      <c r="P63" s="34">
        <v>0.99930436270461853</v>
      </c>
    </row>
    <row r="64" spans="8:16" x14ac:dyDescent="0.25">
      <c r="H64" s="872">
        <v>43081</v>
      </c>
      <c r="I64" s="34">
        <v>83.428100000000001</v>
      </c>
      <c r="J64" s="34">
        <v>63.34</v>
      </c>
      <c r="L64" s="872">
        <v>43074</v>
      </c>
      <c r="M64" s="34">
        <v>1.3065147615593296</v>
      </c>
      <c r="N64" s="34">
        <v>1.1282277329086565</v>
      </c>
      <c r="O64" s="34">
        <v>1.2688886209284054</v>
      </c>
      <c r="P64" s="34">
        <v>1.0022501272655235</v>
      </c>
    </row>
    <row r="65" spans="8:16" x14ac:dyDescent="0.25">
      <c r="H65" s="872">
        <v>43080</v>
      </c>
      <c r="I65" s="34">
        <v>84.218299999999999</v>
      </c>
      <c r="J65" s="34">
        <v>64.69</v>
      </c>
      <c r="L65" s="872">
        <v>43073</v>
      </c>
      <c r="M65" s="34">
        <v>1.31141871950553</v>
      </c>
      <c r="N65" s="34">
        <v>1.1300130183647417</v>
      </c>
      <c r="O65" s="34">
        <v>1.2698620306045447</v>
      </c>
      <c r="P65" s="34">
        <v>1.0040530807964667</v>
      </c>
    </row>
    <row r="66" spans="8:16" x14ac:dyDescent="0.25">
      <c r="H66" s="872">
        <v>43077</v>
      </c>
      <c r="I66" s="34">
        <v>84.010900000000007</v>
      </c>
      <c r="J66" s="34">
        <v>63.4</v>
      </c>
      <c r="L66" s="872">
        <v>43070</v>
      </c>
      <c r="M66" s="34">
        <v>1.3127999761509643</v>
      </c>
      <c r="N66" s="34">
        <v>1.1146342850642703</v>
      </c>
      <c r="O66" s="34">
        <v>1.2506991823747695</v>
      </c>
      <c r="P66" s="34">
        <v>1.0064797719110581</v>
      </c>
    </row>
    <row r="67" spans="8:16" x14ac:dyDescent="0.25">
      <c r="H67" s="872">
        <v>43076</v>
      </c>
      <c r="I67" s="34">
        <v>83.801599999999993</v>
      </c>
      <c r="J67" s="34">
        <v>62.2</v>
      </c>
      <c r="L67" s="872">
        <v>43069</v>
      </c>
      <c r="M67" s="34">
        <v>1.3154631184601471</v>
      </c>
      <c r="N67" s="34">
        <v>1.1280255058835424</v>
      </c>
      <c r="O67" s="34">
        <v>1.2665003150696652</v>
      </c>
      <c r="P67" s="34">
        <v>1.0063496243315906</v>
      </c>
    </row>
    <row r="68" spans="8:16" x14ac:dyDescent="0.25">
      <c r="H68" s="872">
        <v>43075</v>
      </c>
      <c r="I68" s="34">
        <v>84.107399999999998</v>
      </c>
      <c r="J68" s="34">
        <v>61.22</v>
      </c>
      <c r="L68" s="872">
        <v>43068</v>
      </c>
      <c r="M68" s="34">
        <v>1.3047757693798256</v>
      </c>
      <c r="N68" s="34">
        <v>1.1343387808238221</v>
      </c>
      <c r="O68" s="34">
        <v>1.2701848797678599</v>
      </c>
      <c r="P68" s="34">
        <v>1.0126215848395363</v>
      </c>
    </row>
    <row r="69" spans="8:16" x14ac:dyDescent="0.25">
      <c r="H69" s="872">
        <v>43074</v>
      </c>
      <c r="I69" s="34">
        <v>85.029799999999994</v>
      </c>
      <c r="J69" s="34">
        <v>62.86</v>
      </c>
      <c r="L69" s="872">
        <v>43067</v>
      </c>
      <c r="M69" s="34">
        <v>1.3052577186410024</v>
      </c>
      <c r="N69" s="34">
        <v>1.1323101909781468</v>
      </c>
      <c r="O69" s="34">
        <v>1.269957329453957</v>
      </c>
      <c r="P69" s="34">
        <v>1.0113458958613071</v>
      </c>
    </row>
    <row r="70" spans="8:16" x14ac:dyDescent="0.25">
      <c r="H70" s="872">
        <v>43073</v>
      </c>
      <c r="I70" s="34">
        <v>85.745099999999994</v>
      </c>
      <c r="J70" s="34">
        <v>62.45</v>
      </c>
      <c r="L70" s="872">
        <v>43066</v>
      </c>
      <c r="M70" s="34">
        <v>1.292528295887035</v>
      </c>
      <c r="N70" s="34">
        <v>1.1261580656985046</v>
      </c>
      <c r="O70" s="34">
        <v>1.2641878593155598</v>
      </c>
      <c r="P70" s="34">
        <v>1.0078792376082213</v>
      </c>
    </row>
    <row r="71" spans="8:16" x14ac:dyDescent="0.25">
      <c r="H71" s="872">
        <v>43070</v>
      </c>
      <c r="I71" s="34">
        <v>86.479299999999995</v>
      </c>
      <c r="J71" s="34">
        <v>63.73</v>
      </c>
      <c r="L71" s="872">
        <v>43063</v>
      </c>
      <c r="M71" s="34">
        <v>1.2930251507954647</v>
      </c>
      <c r="N71" s="34">
        <v>1.1315960767957127</v>
      </c>
      <c r="O71" s="34">
        <v>1.2699874750083628</v>
      </c>
      <c r="P71" s="34">
        <v>1.0174631354705852</v>
      </c>
    </row>
    <row r="72" spans="8:16" x14ac:dyDescent="0.25">
      <c r="H72" s="872">
        <v>43069</v>
      </c>
      <c r="I72" s="34">
        <v>85.703299999999999</v>
      </c>
      <c r="J72" s="34">
        <v>63.57</v>
      </c>
      <c r="L72" s="872">
        <v>43061</v>
      </c>
      <c r="M72" s="34">
        <v>1.2903719455844502</v>
      </c>
      <c r="N72" s="34">
        <v>1.1257251734728699</v>
      </c>
      <c r="O72" s="34">
        <v>1.2656309561780883</v>
      </c>
      <c r="P72" s="34">
        <v>1.0407146527972022</v>
      </c>
    </row>
    <row r="73" spans="8:16" x14ac:dyDescent="0.25">
      <c r="H73" s="872">
        <v>43068</v>
      </c>
      <c r="I73" s="34">
        <v>86.438800000000001</v>
      </c>
      <c r="J73" s="34">
        <v>63.11</v>
      </c>
      <c r="L73" s="872">
        <v>43060</v>
      </c>
      <c r="M73" s="34">
        <v>1.2913408126558883</v>
      </c>
      <c r="N73" s="34">
        <v>1.1309925555176379</v>
      </c>
      <c r="O73" s="34">
        <v>1.2804606240713226</v>
      </c>
      <c r="P73" s="34">
        <v>1.0346574813015244</v>
      </c>
    </row>
    <row r="74" spans="8:16" x14ac:dyDescent="0.25">
      <c r="H74" s="872">
        <v>43067</v>
      </c>
      <c r="I74" s="34">
        <v>86.724800000000002</v>
      </c>
      <c r="J74" s="34">
        <v>63.61</v>
      </c>
      <c r="L74" s="872">
        <v>43059</v>
      </c>
      <c r="M74" s="34">
        <v>1.2829489332525115</v>
      </c>
      <c r="N74" s="34">
        <v>1.1253333586117114</v>
      </c>
      <c r="O74" s="34">
        <v>1.2698727274141726</v>
      </c>
      <c r="P74" s="34">
        <v>1.0291667096446941</v>
      </c>
    </row>
    <row r="75" spans="8:16" x14ac:dyDescent="0.25">
      <c r="H75" s="872">
        <v>43066</v>
      </c>
      <c r="I75" s="34">
        <v>86.903199999999998</v>
      </c>
      <c r="J75" s="34">
        <v>63.84</v>
      </c>
      <c r="L75" s="872">
        <v>43056</v>
      </c>
      <c r="M75" s="34">
        <v>1.2813142806037781</v>
      </c>
      <c r="N75" s="34">
        <v>1.1209254414236782</v>
      </c>
      <c r="O75" s="34">
        <v>1.263558692421991</v>
      </c>
      <c r="P75" s="34">
        <v>1.0262870806836117</v>
      </c>
    </row>
    <row r="76" spans="8:16" x14ac:dyDescent="0.25">
      <c r="H76" s="872">
        <v>43063</v>
      </c>
      <c r="I76" s="34">
        <v>86.999600000000001</v>
      </c>
      <c r="J76" s="34">
        <v>63.86</v>
      </c>
      <c r="L76" s="872">
        <v>43055</v>
      </c>
      <c r="M76" s="34">
        <v>1.2846879254320152</v>
      </c>
      <c r="N76" s="34">
        <v>1.1264045298853624</v>
      </c>
      <c r="O76" s="34">
        <v>1.2687602592128702</v>
      </c>
      <c r="P76" s="34">
        <v>1.0312451270501277</v>
      </c>
    </row>
    <row r="77" spans="8:16" x14ac:dyDescent="0.25">
      <c r="H77" s="872">
        <v>43061</v>
      </c>
      <c r="I77" s="34">
        <v>87.04</v>
      </c>
      <c r="J77" s="34">
        <v>63.32</v>
      </c>
      <c r="L77" s="872">
        <v>43054</v>
      </c>
      <c r="M77" s="34">
        <v>1.2742440352568243</v>
      </c>
      <c r="N77" s="34">
        <v>1.1203756366991493</v>
      </c>
      <c r="O77" s="34">
        <v>1.2618705413752596</v>
      </c>
      <c r="P77" s="34">
        <v>1.032238374544711</v>
      </c>
    </row>
    <row r="78" spans="8:16" x14ac:dyDescent="0.25">
      <c r="H78" s="872">
        <v>43060</v>
      </c>
      <c r="I78" s="34">
        <v>86.473299999999995</v>
      </c>
      <c r="J78" s="34">
        <v>62.57</v>
      </c>
      <c r="L78" s="872">
        <v>43053</v>
      </c>
      <c r="M78" s="34">
        <v>1.2813242177019466</v>
      </c>
      <c r="N78" s="34">
        <v>1.1237439805862055</v>
      </c>
      <c r="O78" s="34">
        <v>1.2674241304466209</v>
      </c>
      <c r="P78" s="34">
        <v>1.0404367619282229</v>
      </c>
    </row>
    <row r="79" spans="8:16" x14ac:dyDescent="0.25">
      <c r="H79" s="872">
        <v>43059</v>
      </c>
      <c r="I79" s="34">
        <v>86.193100000000001</v>
      </c>
      <c r="J79" s="34">
        <v>62.22</v>
      </c>
      <c r="L79" s="872">
        <v>43052</v>
      </c>
      <c r="M79" s="34">
        <v>1.2842904415052716</v>
      </c>
      <c r="N79" s="34">
        <v>1.1294758528292823</v>
      </c>
      <c r="O79" s="34">
        <v>1.2714052885026801</v>
      </c>
      <c r="P79" s="34">
        <v>1.0459848713298534</v>
      </c>
    </row>
    <row r="80" spans="8:16" x14ac:dyDescent="0.25">
      <c r="H80" s="872">
        <v>43056</v>
      </c>
      <c r="I80" s="34">
        <v>86.765699999999995</v>
      </c>
      <c r="J80" s="34">
        <v>62.72</v>
      </c>
      <c r="L80" s="872">
        <v>43049</v>
      </c>
      <c r="M80" s="34">
        <v>1.2830284300378605</v>
      </c>
      <c r="N80" s="34">
        <v>1.1355553027717742</v>
      </c>
      <c r="O80" s="34">
        <v>1.2765640680550476</v>
      </c>
      <c r="P80" s="34">
        <v>1.0413848066504503</v>
      </c>
    </row>
    <row r="81" spans="8:16" x14ac:dyDescent="0.25">
      <c r="H81" s="872">
        <v>43055</v>
      </c>
      <c r="I81" s="34">
        <v>85.663300000000007</v>
      </c>
      <c r="J81" s="34">
        <v>61.36</v>
      </c>
      <c r="L81" s="872">
        <v>43048</v>
      </c>
      <c r="M81" s="34">
        <v>1.284181133425417</v>
      </c>
      <c r="N81" s="34">
        <v>1.1414767628508955</v>
      </c>
      <c r="O81" s="34">
        <v>1.2819212248041509</v>
      </c>
      <c r="P81" s="34">
        <v>1.0399049467608423</v>
      </c>
    </row>
    <row r="82" spans="8:16" x14ac:dyDescent="0.25">
      <c r="H82" s="872">
        <v>43054</v>
      </c>
      <c r="I82" s="34">
        <v>86.000900000000001</v>
      </c>
      <c r="J82" s="34">
        <v>61.87</v>
      </c>
      <c r="L82" s="872">
        <v>43047</v>
      </c>
      <c r="M82" s="34">
        <v>1.2890304373316903</v>
      </c>
      <c r="N82" s="34">
        <v>1.1549185404264461</v>
      </c>
      <c r="O82" s="34">
        <v>1.3013563554608185</v>
      </c>
      <c r="P82" s="34">
        <v>1.0361628246332661</v>
      </c>
    </row>
    <row r="83" spans="8:16" x14ac:dyDescent="0.25">
      <c r="H83" s="872">
        <v>43053</v>
      </c>
      <c r="I83" s="34">
        <v>86.160499999999999</v>
      </c>
      <c r="J83" s="34">
        <v>62.21</v>
      </c>
      <c r="L83" s="872">
        <v>43046</v>
      </c>
      <c r="M83" s="34">
        <v>1.2871721999741634</v>
      </c>
      <c r="N83" s="34">
        <v>1.1560971448071891</v>
      </c>
      <c r="O83" s="34">
        <v>1.3010500377305649</v>
      </c>
      <c r="P83" s="34">
        <v>1.0355909640568184</v>
      </c>
    </row>
    <row r="84" spans="8:16" x14ac:dyDescent="0.25">
      <c r="H84" s="872">
        <v>43052</v>
      </c>
      <c r="I84" s="34">
        <v>87.203500000000005</v>
      </c>
      <c r="J84" s="34">
        <v>63.16</v>
      </c>
      <c r="L84" s="872">
        <v>43045</v>
      </c>
      <c r="M84" s="34">
        <v>1.287415658879294</v>
      </c>
      <c r="N84" s="34">
        <v>1.1635511065610029</v>
      </c>
      <c r="O84" s="34">
        <v>1.3097552958932031</v>
      </c>
      <c r="P84" s="34">
        <v>1.0278849531802425</v>
      </c>
    </row>
    <row r="85" spans="8:16" x14ac:dyDescent="0.25">
      <c r="H85" s="872">
        <v>43049</v>
      </c>
      <c r="I85" s="34">
        <v>87.281099999999995</v>
      </c>
      <c r="J85" s="34">
        <v>63.52</v>
      </c>
      <c r="L85" s="872">
        <v>43042</v>
      </c>
      <c r="M85" s="34">
        <v>1.2857810062305606</v>
      </c>
      <c r="N85" s="34">
        <v>1.1659525524842325</v>
      </c>
      <c r="O85" s="34">
        <v>1.3107345401927759</v>
      </c>
      <c r="P85" s="34">
        <v>1.0229005132486597</v>
      </c>
    </row>
    <row r="86" spans="8:16" x14ac:dyDescent="0.25">
      <c r="H86" s="872">
        <v>43048</v>
      </c>
      <c r="I86" s="34">
        <v>87.457099999999997</v>
      </c>
      <c r="J86" s="34">
        <v>63.93</v>
      </c>
      <c r="L86" s="872">
        <v>43041</v>
      </c>
      <c r="M86" s="34">
        <v>1.2818111355122077</v>
      </c>
      <c r="N86" s="34">
        <v>1.1655860160012133</v>
      </c>
      <c r="O86" s="34">
        <v>1.3070460857456259</v>
      </c>
      <c r="P86" s="34">
        <v>1.026409037156679</v>
      </c>
    </row>
    <row r="87" spans="8:16" x14ac:dyDescent="0.25">
      <c r="H87" s="872">
        <v>43047</v>
      </c>
      <c r="I87" s="34">
        <v>87.643699999999995</v>
      </c>
      <c r="J87" s="34">
        <v>63.49</v>
      </c>
      <c r="L87" s="872">
        <v>43040</v>
      </c>
      <c r="M87" s="34">
        <v>1.2815676766070772</v>
      </c>
      <c r="N87" s="34">
        <v>1.1683034416511837</v>
      </c>
      <c r="O87" s="34">
        <v>1.3094363364788437</v>
      </c>
      <c r="P87" s="34">
        <v>1.0302327669739444</v>
      </c>
    </row>
    <row r="88" spans="8:16" x14ac:dyDescent="0.25">
      <c r="H88" s="872">
        <v>43046</v>
      </c>
      <c r="I88" s="34">
        <v>87.538499999999999</v>
      </c>
      <c r="J88" s="34">
        <v>63.69</v>
      </c>
      <c r="L88" s="872">
        <v>43038</v>
      </c>
      <c r="M88" s="34">
        <v>1.2783232140550316</v>
      </c>
      <c r="N88" s="34">
        <v>1.1571746356753749</v>
      </c>
      <c r="O88" s="34">
        <v>1.2864926522642228</v>
      </c>
      <c r="P88" s="34">
        <v>1.0285411518151795</v>
      </c>
    </row>
    <row r="89" spans="8:16" x14ac:dyDescent="0.25">
      <c r="H89" s="872">
        <v>43045</v>
      </c>
      <c r="I89" s="34">
        <v>88.154499999999999</v>
      </c>
      <c r="J89" s="34">
        <v>64.27</v>
      </c>
      <c r="L89" s="872">
        <v>43035</v>
      </c>
      <c r="M89" s="34">
        <v>1.282417298500492</v>
      </c>
      <c r="N89" s="34">
        <v>1.1540306373943048</v>
      </c>
      <c r="O89" s="34">
        <v>1.2853228102658254</v>
      </c>
      <c r="P89" s="34">
        <v>1.0365732900762017</v>
      </c>
    </row>
    <row r="90" spans="8:16" x14ac:dyDescent="0.25">
      <c r="H90" s="872">
        <v>43042</v>
      </c>
      <c r="I90" s="34">
        <v>86.877799999999993</v>
      </c>
      <c r="J90" s="34">
        <v>62.07</v>
      </c>
      <c r="L90" s="872">
        <v>43034</v>
      </c>
      <c r="M90" s="34">
        <v>1.2721473075432512</v>
      </c>
      <c r="N90" s="34">
        <v>1.1492814621013914</v>
      </c>
      <c r="O90" s="34">
        <v>1.2771290540908489</v>
      </c>
      <c r="P90" s="34">
        <v>1.0337682911956527</v>
      </c>
    </row>
    <row r="91" spans="8:16" x14ac:dyDescent="0.25">
      <c r="H91" s="872">
        <v>43041</v>
      </c>
      <c r="I91" s="34">
        <v>86.692300000000003</v>
      </c>
      <c r="J91" s="34">
        <v>60.62</v>
      </c>
      <c r="L91" s="872">
        <v>43033</v>
      </c>
      <c r="M91" s="34">
        <v>1.2705325290908549</v>
      </c>
      <c r="N91" s="34">
        <v>1.1348285494002703</v>
      </c>
      <c r="O91" s="34">
        <v>1.2596378254747438</v>
      </c>
      <c r="P91" s="34">
        <v>1.0305315906703907</v>
      </c>
    </row>
    <row r="92" spans="8:16" x14ac:dyDescent="0.25">
      <c r="H92" s="872">
        <v>43040</v>
      </c>
      <c r="I92" s="34">
        <v>86.5381</v>
      </c>
      <c r="J92" s="34">
        <v>60.49</v>
      </c>
      <c r="L92" s="872">
        <v>43032</v>
      </c>
      <c r="M92" s="34">
        <v>1.276484850893842</v>
      </c>
      <c r="N92" s="34">
        <v>1.1409048395454946</v>
      </c>
      <c r="O92" s="34">
        <v>1.2654510552888916</v>
      </c>
      <c r="P92" s="34">
        <v>1.027907402879265</v>
      </c>
    </row>
    <row r="93" spans="8:16" x14ac:dyDescent="0.25">
      <c r="H93" s="872">
        <v>43039</v>
      </c>
      <c r="I93" s="34">
        <v>86.188199999999995</v>
      </c>
      <c r="J93" s="34">
        <v>61.37</v>
      </c>
      <c r="L93" s="872">
        <v>43031</v>
      </c>
      <c r="M93" s="34">
        <v>1.274422903023859</v>
      </c>
      <c r="N93" s="34">
        <v>1.1403297564428265</v>
      </c>
      <c r="O93" s="34">
        <v>1.2644737558637964</v>
      </c>
      <c r="P93" s="34">
        <v>1.0256172302046747</v>
      </c>
    </row>
    <row r="94" spans="8:16" x14ac:dyDescent="0.25">
      <c r="H94" s="872">
        <v>43038</v>
      </c>
      <c r="I94" s="34">
        <v>86.147800000000004</v>
      </c>
      <c r="J94" s="34">
        <v>60.9</v>
      </c>
      <c r="L94" s="872">
        <v>43028</v>
      </c>
      <c r="M94" s="34">
        <v>1.2795057287370941</v>
      </c>
      <c r="N94" s="34">
        <v>1.1391353530757466</v>
      </c>
      <c r="O94" s="34">
        <v>1.2633204452984605</v>
      </c>
      <c r="P94" s="34">
        <v>1.0249950094925824</v>
      </c>
    </row>
    <row r="95" spans="8:16" x14ac:dyDescent="0.25">
      <c r="H95" s="872">
        <v>43035</v>
      </c>
      <c r="I95" s="34">
        <v>85.865200000000002</v>
      </c>
      <c r="J95" s="34">
        <v>60.44</v>
      </c>
      <c r="L95" s="872">
        <v>43027</v>
      </c>
      <c r="M95" s="34">
        <v>1.2729919608875815</v>
      </c>
      <c r="N95" s="34">
        <v>1.138184254098257</v>
      </c>
      <c r="O95" s="34">
        <v>1.26320569770427</v>
      </c>
      <c r="P95" s="34">
        <v>1.0224236088315903</v>
      </c>
    </row>
    <row r="96" spans="8:16" x14ac:dyDescent="0.25">
      <c r="H96" s="872">
        <v>43034</v>
      </c>
      <c r="I96" s="34">
        <v>85.915300000000002</v>
      </c>
      <c r="J96" s="34">
        <v>59.3</v>
      </c>
      <c r="L96" s="872">
        <v>43026</v>
      </c>
      <c r="M96" s="34">
        <v>1.2725746027645009</v>
      </c>
      <c r="N96" s="34">
        <v>1.1437360178970917</v>
      </c>
      <c r="O96" s="34">
        <v>1.268352808009771</v>
      </c>
      <c r="P96" s="34">
        <v>1.0259494250753429</v>
      </c>
    </row>
    <row r="97" spans="8:16" x14ac:dyDescent="0.25">
      <c r="H97" s="872">
        <v>43033</v>
      </c>
      <c r="I97" s="34">
        <v>85.891000000000005</v>
      </c>
      <c r="J97" s="34">
        <v>58.44</v>
      </c>
      <c r="L97" s="872">
        <v>43025</v>
      </c>
      <c r="M97" s="34">
        <v>1.2716305784384845</v>
      </c>
      <c r="N97" s="34">
        <v>1.1399821787434117</v>
      </c>
      <c r="O97" s="34">
        <v>1.2636880265747648</v>
      </c>
      <c r="P97" s="34">
        <v>1.0229906154190602</v>
      </c>
    </row>
    <row r="98" spans="8:16" x14ac:dyDescent="0.25">
      <c r="H98" s="872">
        <v>43032</v>
      </c>
      <c r="I98" s="34">
        <v>86.040499999999994</v>
      </c>
      <c r="J98" s="34">
        <v>58.33</v>
      </c>
      <c r="L98" s="872">
        <v>43024</v>
      </c>
      <c r="M98" s="34">
        <v>1.2707759879959852</v>
      </c>
      <c r="N98" s="34">
        <v>1.1395082091533006</v>
      </c>
      <c r="O98" s="34">
        <v>1.264528212349175</v>
      </c>
      <c r="P98" s="34">
        <v>1.0249410088652042</v>
      </c>
    </row>
    <row r="99" spans="8:16" x14ac:dyDescent="0.25">
      <c r="H99" s="872">
        <v>43031</v>
      </c>
      <c r="I99" s="34">
        <v>85.611500000000007</v>
      </c>
      <c r="J99" s="34">
        <v>57.37</v>
      </c>
      <c r="L99" s="872">
        <v>43021</v>
      </c>
      <c r="M99" s="34">
        <v>1.2685550465553048</v>
      </c>
      <c r="N99" s="34">
        <v>1.1389647240233067</v>
      </c>
      <c r="O99" s="34">
        <v>1.2633778190955556</v>
      </c>
      <c r="P99" s="34">
        <v>1.0285975794370465</v>
      </c>
    </row>
    <row r="100" spans="8:16" x14ac:dyDescent="0.25">
      <c r="H100" s="872">
        <v>43028</v>
      </c>
      <c r="I100" s="34">
        <v>85.268799999999999</v>
      </c>
      <c r="J100" s="34">
        <v>57.75</v>
      </c>
      <c r="L100" s="872">
        <v>43020</v>
      </c>
      <c r="M100" s="34">
        <v>1.2674420915604223</v>
      </c>
      <c r="N100" s="34">
        <v>1.1392775439527798</v>
      </c>
      <c r="O100" s="34">
        <v>1.2625045704550226</v>
      </c>
      <c r="P100" s="34">
        <v>1.0272557548589947</v>
      </c>
    </row>
    <row r="101" spans="8:16" x14ac:dyDescent="0.25">
      <c r="H101" s="872">
        <v>43027</v>
      </c>
      <c r="I101" s="34">
        <v>85.393100000000004</v>
      </c>
      <c r="J101" s="34">
        <v>57.23</v>
      </c>
      <c r="L101" s="872">
        <v>43019</v>
      </c>
      <c r="M101" s="34">
        <v>1.2695835362157541</v>
      </c>
      <c r="N101" s="34">
        <v>1.1398621064472503</v>
      </c>
      <c r="O101" s="34">
        <v>1.2613172245863251</v>
      </c>
      <c r="P101" s="34">
        <v>1.0279183243544652</v>
      </c>
    </row>
    <row r="102" spans="8:16" x14ac:dyDescent="0.25">
      <c r="H102" s="872">
        <v>43026</v>
      </c>
      <c r="I102" s="34">
        <v>85.308899999999994</v>
      </c>
      <c r="J102" s="34">
        <v>58.15</v>
      </c>
      <c r="L102" s="872">
        <v>43018</v>
      </c>
      <c r="M102" s="34">
        <v>1.2672980036369779</v>
      </c>
      <c r="N102" s="34">
        <v>1.13714468079728</v>
      </c>
      <c r="O102" s="34">
        <v>1.2592332915833611</v>
      </c>
      <c r="P102" s="34">
        <v>1.0263116540028117</v>
      </c>
    </row>
    <row r="103" spans="8:16" x14ac:dyDescent="0.25">
      <c r="H103" s="872">
        <v>43025</v>
      </c>
      <c r="I103" s="34">
        <v>85.485699999999994</v>
      </c>
      <c r="J103" s="34">
        <v>57.88</v>
      </c>
      <c r="L103" s="872">
        <v>43017</v>
      </c>
      <c r="M103" s="34">
        <v>1.2643615911281587</v>
      </c>
      <c r="N103" s="34">
        <v>1.1408448033974139</v>
      </c>
      <c r="O103" s="34">
        <v>1.2618734586869762</v>
      </c>
      <c r="P103" s="34">
        <v>1.0236996011841306</v>
      </c>
    </row>
    <row r="104" spans="8:16" x14ac:dyDescent="0.25">
      <c r="H104" s="872">
        <v>43024</v>
      </c>
      <c r="I104" s="34">
        <v>85.994600000000005</v>
      </c>
      <c r="J104" s="34">
        <v>57.82</v>
      </c>
      <c r="L104" s="872">
        <v>43007</v>
      </c>
      <c r="M104" s="34">
        <v>1.2517563821012987</v>
      </c>
      <c r="N104" s="34">
        <v>1.1358997206739214</v>
      </c>
      <c r="O104" s="34">
        <v>1.2475261196642369</v>
      </c>
      <c r="P104" s="34">
        <v>1.015983275580977</v>
      </c>
    </row>
    <row r="105" spans="8:16" x14ac:dyDescent="0.25">
      <c r="H105" s="872">
        <v>43021</v>
      </c>
      <c r="I105" s="34">
        <v>85.8947</v>
      </c>
      <c r="J105" s="34">
        <v>57.17</v>
      </c>
      <c r="L105" s="872">
        <v>43006</v>
      </c>
      <c r="M105" s="34">
        <v>1.247135631452903</v>
      </c>
      <c r="N105" s="34">
        <v>1.1260379934023432</v>
      </c>
      <c r="O105" s="34">
        <v>1.2354474767198524</v>
      </c>
      <c r="P105" s="34">
        <v>1.0131615911133169</v>
      </c>
    </row>
    <row r="106" spans="8:16" x14ac:dyDescent="0.25">
      <c r="H106" s="872">
        <v>43020</v>
      </c>
      <c r="I106" s="34">
        <v>85.130099999999999</v>
      </c>
      <c r="J106" s="34">
        <v>56.25</v>
      </c>
      <c r="L106" s="872">
        <v>43005</v>
      </c>
      <c r="M106" s="34">
        <v>1.2456351296294454</v>
      </c>
      <c r="N106" s="34">
        <v>1.1233616451168493</v>
      </c>
      <c r="O106" s="34">
        <v>1.2308536832032859</v>
      </c>
      <c r="P106" s="34">
        <v>1.014869588484882</v>
      </c>
    </row>
    <row r="107" spans="8:16" x14ac:dyDescent="0.25">
      <c r="H107" s="872">
        <v>43019</v>
      </c>
      <c r="I107" s="34">
        <v>84.770099999999999</v>
      </c>
      <c r="J107" s="34">
        <v>56.94</v>
      </c>
      <c r="L107" s="872">
        <v>43004</v>
      </c>
      <c r="M107" s="34">
        <v>1.2405672095634632</v>
      </c>
      <c r="N107" s="34">
        <v>1.1174243860513908</v>
      </c>
      <c r="O107" s="34">
        <v>1.225776588378986</v>
      </c>
      <c r="P107" s="34">
        <v>1.0143571892734125</v>
      </c>
    </row>
    <row r="108" spans="8:16" x14ac:dyDescent="0.25">
      <c r="H108" s="872">
        <v>43018</v>
      </c>
      <c r="I108" s="34">
        <v>84.820599999999999</v>
      </c>
      <c r="J108" s="34">
        <v>56.61</v>
      </c>
      <c r="L108" s="872">
        <v>43003</v>
      </c>
      <c r="M108" s="34">
        <v>1.2404777756799459</v>
      </c>
      <c r="N108" s="34">
        <v>1.1178762370606301</v>
      </c>
      <c r="O108" s="34">
        <v>1.2247662260877681</v>
      </c>
      <c r="P108" s="34">
        <v>1.013740125924609</v>
      </c>
    </row>
    <row r="109" spans="8:16" x14ac:dyDescent="0.25">
      <c r="H109" s="872">
        <v>43017</v>
      </c>
      <c r="I109" s="34">
        <v>84.066900000000004</v>
      </c>
      <c r="J109" s="34">
        <v>55.79</v>
      </c>
      <c r="L109" s="872">
        <v>43000</v>
      </c>
      <c r="M109" s="34">
        <v>1.2432402889708145</v>
      </c>
      <c r="N109" s="34">
        <v>1.1190169238741641</v>
      </c>
      <c r="O109" s="34">
        <v>1.2245270065269986</v>
      </c>
      <c r="P109" s="34">
        <v>1.0170711758606275</v>
      </c>
    </row>
    <row r="110" spans="8:16" x14ac:dyDescent="0.25">
      <c r="H110" s="872">
        <v>43014</v>
      </c>
      <c r="I110" s="34">
        <v>83.925600000000003</v>
      </c>
      <c r="J110" s="34">
        <v>55.62</v>
      </c>
      <c r="L110" s="872">
        <v>42999</v>
      </c>
      <c r="M110" s="34">
        <v>1.2424353840191587</v>
      </c>
      <c r="N110" s="34">
        <v>1.1184386809742286</v>
      </c>
      <c r="O110" s="34">
        <v>1.2252738383264745</v>
      </c>
      <c r="P110" s="34">
        <v>1.0186739023462363</v>
      </c>
    </row>
    <row r="111" spans="8:16" x14ac:dyDescent="0.25">
      <c r="H111" s="872">
        <v>43013</v>
      </c>
      <c r="I111" s="34">
        <v>84.584699999999998</v>
      </c>
      <c r="J111" s="34">
        <v>57</v>
      </c>
      <c r="L111" s="872">
        <v>42998</v>
      </c>
      <c r="M111" s="34">
        <v>1.246231355519561</v>
      </c>
      <c r="N111" s="34">
        <v>1.1140023256107887</v>
      </c>
      <c r="O111" s="34">
        <v>1.2222728970072272</v>
      </c>
      <c r="P111" s="34">
        <v>1.0211567177083833</v>
      </c>
    </row>
    <row r="112" spans="8:16" x14ac:dyDescent="0.25">
      <c r="H112" s="872">
        <v>43012</v>
      </c>
      <c r="I112" s="34">
        <v>83.956299999999999</v>
      </c>
      <c r="J112" s="34">
        <v>55.8</v>
      </c>
      <c r="L112" s="872">
        <v>42997</v>
      </c>
      <c r="M112" s="34">
        <v>1.2454413562151581</v>
      </c>
      <c r="N112" s="34">
        <v>1.1157812914723391</v>
      </c>
      <c r="O112" s="34">
        <v>1.2215552383249186</v>
      </c>
      <c r="P112" s="34">
        <v>1.0183802360130791</v>
      </c>
    </row>
    <row r="113" spans="8:16" x14ac:dyDescent="0.25">
      <c r="H113" s="872">
        <v>43011</v>
      </c>
      <c r="I113" s="34">
        <v>83.739000000000004</v>
      </c>
      <c r="J113" s="34">
        <v>56</v>
      </c>
      <c r="L113" s="872">
        <v>42996</v>
      </c>
      <c r="M113" s="34">
        <v>1.2440600995697235</v>
      </c>
      <c r="N113" s="34">
        <v>1.1143783414856101</v>
      </c>
      <c r="O113" s="34">
        <v>1.2213218533875823</v>
      </c>
      <c r="P113" s="34">
        <v>1.0202050324944225</v>
      </c>
    </row>
    <row r="114" spans="8:16" x14ac:dyDescent="0.25">
      <c r="H114" s="872">
        <v>43010</v>
      </c>
      <c r="I114" s="34">
        <v>83.706599999999995</v>
      </c>
      <c r="J114" s="34">
        <v>56.12</v>
      </c>
      <c r="L114" s="872">
        <v>42993</v>
      </c>
      <c r="M114" s="34">
        <v>1.2422515477030398</v>
      </c>
      <c r="N114" s="34">
        <v>1.1108425283433814</v>
      </c>
      <c r="O114" s="34">
        <v>1.2173757030721235</v>
      </c>
      <c r="P114" s="34">
        <v>1.0174018538597405</v>
      </c>
    </row>
    <row r="115" spans="8:16" x14ac:dyDescent="0.25">
      <c r="H115" s="872">
        <v>43007</v>
      </c>
      <c r="I115" s="34">
        <v>84.459900000000005</v>
      </c>
      <c r="J115" s="34">
        <v>57.54</v>
      </c>
      <c r="L115" s="872">
        <v>42992</v>
      </c>
      <c r="M115" s="34">
        <v>1.2399610465751789</v>
      </c>
      <c r="N115" s="34">
        <v>1.1142961867566576</v>
      </c>
      <c r="O115" s="34">
        <v>1.2194800572571047</v>
      </c>
      <c r="P115" s="34">
        <v>1.0228040402177256</v>
      </c>
    </row>
    <row r="116" spans="8:16" x14ac:dyDescent="0.25">
      <c r="H116" s="872">
        <v>43006</v>
      </c>
      <c r="I116" s="34">
        <v>84.635199999999998</v>
      </c>
      <c r="J116" s="34">
        <v>57.41</v>
      </c>
      <c r="L116" s="872">
        <v>42991</v>
      </c>
      <c r="M116" s="34">
        <v>1.2413273975733605</v>
      </c>
      <c r="N116" s="34">
        <v>1.1132408144693435</v>
      </c>
      <c r="O116" s="34">
        <v>1.2207558949145421</v>
      </c>
      <c r="P116" s="34">
        <v>1.0266632648293914</v>
      </c>
    </row>
    <row r="117" spans="8:16" x14ac:dyDescent="0.25">
      <c r="H117" s="872">
        <v>43005</v>
      </c>
      <c r="I117" s="34">
        <v>84.837500000000006</v>
      </c>
      <c r="J117" s="34">
        <v>57.9</v>
      </c>
      <c r="L117" s="872">
        <v>42990</v>
      </c>
      <c r="M117" s="34">
        <v>1.2403883417964285</v>
      </c>
      <c r="N117" s="34">
        <v>1.1098977489604267</v>
      </c>
      <c r="O117" s="34">
        <v>1.2179552756665084</v>
      </c>
      <c r="P117" s="34">
        <v>1.025249843913917</v>
      </c>
    </row>
    <row r="118" spans="8:16" x14ac:dyDescent="0.25">
      <c r="H118" s="872">
        <v>43004</v>
      </c>
      <c r="I118" s="34">
        <v>84.784599999999998</v>
      </c>
      <c r="J118" s="34">
        <v>58.44</v>
      </c>
      <c r="L118" s="872">
        <v>42989</v>
      </c>
      <c r="M118" s="34">
        <v>1.2362296662128724</v>
      </c>
      <c r="N118" s="34">
        <v>1.1044091811069401</v>
      </c>
      <c r="O118" s="34">
        <v>1.2131387940222338</v>
      </c>
      <c r="P118" s="34">
        <v>1.0243187881531117</v>
      </c>
    </row>
    <row r="119" spans="8:16" x14ac:dyDescent="0.25">
      <c r="H119" s="872">
        <v>43003</v>
      </c>
      <c r="I119" s="34">
        <v>85.327600000000004</v>
      </c>
      <c r="J119" s="34">
        <v>59.02</v>
      </c>
      <c r="L119" s="872">
        <v>42986</v>
      </c>
      <c r="M119" s="34">
        <v>1.2229735772559696</v>
      </c>
      <c r="N119" s="34">
        <v>1.0894001440867553</v>
      </c>
      <c r="O119" s="34">
        <v>1.1964848338688221</v>
      </c>
      <c r="P119" s="34">
        <v>1.0209282768521153</v>
      </c>
    </row>
    <row r="120" spans="8:16" x14ac:dyDescent="0.25">
      <c r="H120" s="872">
        <v>43000</v>
      </c>
      <c r="I120" s="34">
        <v>84.857200000000006</v>
      </c>
      <c r="J120" s="34">
        <v>56.86</v>
      </c>
      <c r="L120" s="872">
        <v>42985</v>
      </c>
      <c r="M120" s="34">
        <v>1.2247970347699064</v>
      </c>
      <c r="N120" s="34">
        <v>1.0893906646949532</v>
      </c>
      <c r="O120" s="34">
        <v>1.19577009249823</v>
      </c>
      <c r="P120" s="34">
        <v>1.0210053339271381</v>
      </c>
    </row>
    <row r="121" spans="8:16" x14ac:dyDescent="0.25">
      <c r="H121" s="872">
        <v>42999</v>
      </c>
      <c r="I121" s="34">
        <v>84.782499999999999</v>
      </c>
      <c r="J121" s="34">
        <v>56.43</v>
      </c>
      <c r="L121" s="872">
        <v>42984</v>
      </c>
      <c r="M121" s="34">
        <v>1.2250156509296155</v>
      </c>
      <c r="N121" s="34">
        <v>1.0850111856823266</v>
      </c>
      <c r="O121" s="34">
        <v>1.1877873552040952</v>
      </c>
      <c r="P121" s="34">
        <v>1.0270400557237935</v>
      </c>
    </row>
    <row r="122" spans="8:16" x14ac:dyDescent="0.25">
      <c r="H122" s="872">
        <v>42998</v>
      </c>
      <c r="I122" s="34">
        <v>85.591300000000004</v>
      </c>
      <c r="J122" s="34">
        <v>56.29</v>
      </c>
      <c r="L122" s="872">
        <v>42983</v>
      </c>
      <c r="M122" s="34">
        <v>1.2211948366837915</v>
      </c>
      <c r="N122" s="34">
        <v>1.0809224080183015</v>
      </c>
      <c r="O122" s="34">
        <v>1.1789547077631608</v>
      </c>
      <c r="P122" s="34">
        <v>1.0267148384622806</v>
      </c>
    </row>
    <row r="123" spans="8:16" x14ac:dyDescent="0.25">
      <c r="H123" s="872">
        <v>42997</v>
      </c>
      <c r="I123" s="34">
        <v>84.841999999999999</v>
      </c>
      <c r="J123" s="34">
        <v>55.14</v>
      </c>
      <c r="L123" s="872">
        <v>42979</v>
      </c>
      <c r="M123" s="34">
        <v>1.2304860234714259</v>
      </c>
      <c r="N123" s="34">
        <v>1.0881962613278731</v>
      </c>
      <c r="O123" s="34">
        <v>1.1807955314563996</v>
      </c>
      <c r="P123" s="34">
        <v>1.0214974070597631</v>
      </c>
    </row>
    <row r="124" spans="8:16" x14ac:dyDescent="0.25">
      <c r="H124" s="872">
        <v>42996</v>
      </c>
      <c r="I124" s="34">
        <v>85.082800000000006</v>
      </c>
      <c r="J124" s="34">
        <v>55.48</v>
      </c>
      <c r="L124" s="872">
        <v>42978</v>
      </c>
      <c r="M124" s="34">
        <v>1.2280514344201205</v>
      </c>
      <c r="N124" s="34">
        <v>1.0811151556516132</v>
      </c>
      <c r="O124" s="34">
        <v>1.1723547762227426</v>
      </c>
      <c r="P124" s="34">
        <v>1.0195834185309525</v>
      </c>
    </row>
    <row r="125" spans="8:16" x14ac:dyDescent="0.25">
      <c r="H125" s="872">
        <v>42993</v>
      </c>
      <c r="I125" s="34">
        <v>85.194900000000004</v>
      </c>
      <c r="J125" s="34">
        <v>55.62</v>
      </c>
      <c r="L125" s="872">
        <v>42977</v>
      </c>
      <c r="M125" s="34">
        <v>1.2210656544076</v>
      </c>
      <c r="N125" s="34">
        <v>1.075503355704698</v>
      </c>
      <c r="O125" s="34">
        <v>1.1671648786787299</v>
      </c>
      <c r="P125" s="34">
        <v>1.020437720591046</v>
      </c>
    </row>
    <row r="126" spans="8:16" x14ac:dyDescent="0.25">
      <c r="H126" s="872">
        <v>42992</v>
      </c>
      <c r="I126" s="34">
        <v>85.096599999999995</v>
      </c>
      <c r="J126" s="34">
        <v>55.47</v>
      </c>
      <c r="L126" s="872">
        <v>42976</v>
      </c>
      <c r="M126" s="34">
        <v>1.2154561624914293</v>
      </c>
      <c r="N126" s="34">
        <v>1.0706088297374838</v>
      </c>
      <c r="O126" s="34">
        <v>1.1616618563437915</v>
      </c>
      <c r="P126" s="34">
        <v>1.0209231194888264</v>
      </c>
    </row>
    <row r="127" spans="8:16" x14ac:dyDescent="0.25">
      <c r="H127" s="872">
        <v>42991</v>
      </c>
      <c r="I127" s="34">
        <v>84.964600000000004</v>
      </c>
      <c r="J127" s="34">
        <v>55.16</v>
      </c>
      <c r="L127" s="872">
        <v>42975</v>
      </c>
      <c r="M127" s="34">
        <v>1.2144326413800641</v>
      </c>
      <c r="N127" s="34">
        <v>1.0809761245718474</v>
      </c>
      <c r="O127" s="34">
        <v>1.1789313692694272</v>
      </c>
      <c r="P127" s="34">
        <v>1.0201422340120221</v>
      </c>
    </row>
    <row r="128" spans="8:16" x14ac:dyDescent="0.25">
      <c r="H128" s="872">
        <v>42990</v>
      </c>
      <c r="I128" s="34">
        <v>84.796999999999997</v>
      </c>
      <c r="J128" s="34">
        <v>54.27</v>
      </c>
      <c r="L128" s="872">
        <v>42972</v>
      </c>
      <c r="M128" s="34">
        <v>1.213841384039033</v>
      </c>
      <c r="N128" s="34">
        <v>1.0865120893843452</v>
      </c>
      <c r="O128" s="34">
        <v>1.1832557976708182</v>
      </c>
      <c r="P128" s="34">
        <v>1.0106981917070812</v>
      </c>
    </row>
    <row r="129" spans="8:16" x14ac:dyDescent="0.25">
      <c r="H129" s="872">
        <v>42989</v>
      </c>
      <c r="I129" s="34">
        <v>84.886099999999999</v>
      </c>
      <c r="J129" s="34">
        <v>53.84</v>
      </c>
      <c r="L129" s="872">
        <v>42971</v>
      </c>
      <c r="M129" s="34">
        <v>1.2118142160126399</v>
      </c>
      <c r="N129" s="34">
        <v>1.0884648440956028</v>
      </c>
      <c r="O129" s="34">
        <v>1.1845092692717611</v>
      </c>
      <c r="P129" s="34">
        <v>0.99249269929720318</v>
      </c>
    </row>
    <row r="130" spans="8:16" x14ac:dyDescent="0.25">
      <c r="H130" s="872">
        <v>42986</v>
      </c>
      <c r="I130" s="34">
        <v>84.762200000000007</v>
      </c>
      <c r="J130" s="34">
        <v>53.78</v>
      </c>
      <c r="L130" s="872">
        <v>42970</v>
      </c>
      <c r="M130" s="34">
        <v>1.2143332703983782</v>
      </c>
      <c r="N130" s="34">
        <v>1.0865373677624843</v>
      </c>
      <c r="O130" s="34">
        <v>1.1838742677547589</v>
      </c>
      <c r="P130" s="34">
        <v>0.9974052395170524</v>
      </c>
    </row>
    <row r="131" spans="8:16" x14ac:dyDescent="0.25">
      <c r="H131" s="872">
        <v>42985</v>
      </c>
      <c r="I131" s="34">
        <v>85.662000000000006</v>
      </c>
      <c r="J131" s="34">
        <v>54.49</v>
      </c>
      <c r="L131" s="872">
        <v>42969</v>
      </c>
      <c r="M131" s="34">
        <v>1.2185416314727773</v>
      </c>
      <c r="N131" s="34">
        <v>1.0918963839280071</v>
      </c>
      <c r="O131" s="34">
        <v>1.1892265623176679</v>
      </c>
      <c r="P131" s="34">
        <v>0.99817004615536775</v>
      </c>
    </row>
    <row r="132" spans="8:16" x14ac:dyDescent="0.25">
      <c r="H132" s="872">
        <v>42984</v>
      </c>
      <c r="I132" s="34">
        <v>85.7239</v>
      </c>
      <c r="J132" s="34">
        <v>54.2</v>
      </c>
      <c r="L132" s="872">
        <v>42968</v>
      </c>
      <c r="M132" s="34">
        <v>1.2065475539832857</v>
      </c>
      <c r="N132" s="34">
        <v>1.0817660738886994</v>
      </c>
      <c r="O132" s="34">
        <v>1.1733418000202267</v>
      </c>
      <c r="P132" s="34">
        <v>0.9971628434424733</v>
      </c>
    </row>
    <row r="133" spans="8:16" x14ac:dyDescent="0.25">
      <c r="H133" s="872">
        <v>42983</v>
      </c>
      <c r="I133" s="34">
        <v>85.368899999999996</v>
      </c>
      <c r="J133" s="34">
        <v>53.38</v>
      </c>
      <c r="L133" s="872">
        <v>42965</v>
      </c>
      <c r="M133" s="34">
        <v>1.2051464231415143</v>
      </c>
      <c r="N133" s="34">
        <v>1.0888756177403658</v>
      </c>
      <c r="O133" s="34">
        <v>1.1829883774301206</v>
      </c>
      <c r="P133" s="34">
        <v>0.99164689171782072</v>
      </c>
    </row>
    <row r="134" spans="8:16" x14ac:dyDescent="0.25">
      <c r="H134" s="872">
        <v>42979</v>
      </c>
      <c r="I134" s="34">
        <v>84.977500000000006</v>
      </c>
      <c r="J134" s="34">
        <v>52.75</v>
      </c>
      <c r="L134" s="872">
        <v>42964</v>
      </c>
      <c r="M134" s="34">
        <v>1.2073623960331106</v>
      </c>
      <c r="N134" s="34">
        <v>1.0939123345846129</v>
      </c>
      <c r="O134" s="34">
        <v>1.1867098947433932</v>
      </c>
      <c r="P134" s="34">
        <v>0.99155769967035345</v>
      </c>
    </row>
    <row r="135" spans="8:16" x14ac:dyDescent="0.25">
      <c r="H135" s="872">
        <v>42978</v>
      </c>
      <c r="I135" s="34">
        <v>84.656499999999994</v>
      </c>
      <c r="J135" s="34">
        <v>52.38</v>
      </c>
      <c r="L135" s="872">
        <v>42963</v>
      </c>
      <c r="M135" s="34">
        <v>1.2262925680442798</v>
      </c>
      <c r="N135" s="34">
        <v>1.1010534764089537</v>
      </c>
      <c r="O135" s="34">
        <v>1.1925834156663528</v>
      </c>
      <c r="P135" s="34">
        <v>0.98488983568640565</v>
      </c>
    </row>
    <row r="136" spans="8:16" x14ac:dyDescent="0.25">
      <c r="H136" s="872">
        <v>42977</v>
      </c>
      <c r="I136" s="34">
        <v>83.072599999999994</v>
      </c>
      <c r="J136" s="34">
        <v>50.86</v>
      </c>
      <c r="L136" s="872">
        <v>42962</v>
      </c>
      <c r="M136" s="34">
        <v>1.2245535758647761</v>
      </c>
      <c r="N136" s="34">
        <v>1.0938933758010085</v>
      </c>
      <c r="O136" s="34">
        <v>1.184140715558218</v>
      </c>
      <c r="P136" s="34">
        <v>0.98634936949716934</v>
      </c>
    </row>
    <row r="137" spans="8:16" x14ac:dyDescent="0.25">
      <c r="H137" s="872">
        <v>42976</v>
      </c>
      <c r="I137" s="34">
        <v>83.502499999999998</v>
      </c>
      <c r="J137" s="34">
        <v>52</v>
      </c>
      <c r="L137" s="872">
        <v>42961</v>
      </c>
      <c r="M137" s="34">
        <v>1.2251647074021443</v>
      </c>
      <c r="N137" s="34">
        <v>1.0903386038751752</v>
      </c>
      <c r="O137" s="34">
        <v>1.1829815703694484</v>
      </c>
      <c r="P137" s="34">
        <v>0.98213185982407936</v>
      </c>
    </row>
    <row r="138" spans="8:16" x14ac:dyDescent="0.25">
      <c r="H138" s="872">
        <v>42975</v>
      </c>
      <c r="I138" s="34">
        <v>83.4221</v>
      </c>
      <c r="J138" s="34">
        <v>51.89</v>
      </c>
      <c r="L138" s="872">
        <v>42958</v>
      </c>
      <c r="M138" s="34">
        <v>1.2129818250474498</v>
      </c>
      <c r="N138" s="34">
        <v>1.0763343823860261</v>
      </c>
      <c r="O138" s="34">
        <v>1.1682919334386157</v>
      </c>
      <c r="P138" s="34">
        <v>0.97338921892643115</v>
      </c>
    </row>
    <row r="139" spans="8:16" x14ac:dyDescent="0.25">
      <c r="H139" s="872">
        <v>42972</v>
      </c>
      <c r="I139" s="34">
        <v>83.292599999999993</v>
      </c>
      <c r="J139" s="34">
        <v>52.41</v>
      </c>
      <c r="L139" s="872">
        <v>42957</v>
      </c>
      <c r="M139" s="34">
        <v>1.2114366062822335</v>
      </c>
      <c r="N139" s="34">
        <v>1.0849290309533739</v>
      </c>
      <c r="O139" s="34">
        <v>1.1683152719323493</v>
      </c>
      <c r="P139" s="34">
        <v>0.9895311592721201</v>
      </c>
    </row>
    <row r="140" spans="8:16" x14ac:dyDescent="0.25">
      <c r="H140" s="872">
        <v>42971</v>
      </c>
      <c r="I140" s="34">
        <v>83.511099999999999</v>
      </c>
      <c r="J140" s="34">
        <v>52.04</v>
      </c>
      <c r="L140" s="872">
        <v>42956</v>
      </c>
      <c r="M140" s="34">
        <v>1.2292289805530989</v>
      </c>
      <c r="N140" s="34">
        <v>1.0959598832138928</v>
      </c>
      <c r="O140" s="34">
        <v>1.1819002201597908</v>
      </c>
      <c r="P140" s="34">
        <v>0.99372470237463206</v>
      </c>
    </row>
    <row r="141" spans="8:16" x14ac:dyDescent="0.25">
      <c r="H141" s="872">
        <v>42970</v>
      </c>
      <c r="I141" s="34">
        <v>83.272300000000001</v>
      </c>
      <c r="J141" s="34">
        <v>52.57</v>
      </c>
      <c r="L141" s="872">
        <v>42955</v>
      </c>
      <c r="M141" s="34">
        <v>1.2296761499706856</v>
      </c>
      <c r="N141" s="34">
        <v>1.1108678067215207</v>
      </c>
      <c r="O141" s="34">
        <v>1.1953247162428136</v>
      </c>
      <c r="P141" s="34">
        <v>0.99563596053464265</v>
      </c>
    </row>
    <row r="142" spans="8:16" x14ac:dyDescent="0.25">
      <c r="H142" s="872">
        <v>42969</v>
      </c>
      <c r="I142" s="34">
        <v>82.982699999999994</v>
      </c>
      <c r="J142" s="34">
        <v>51.87</v>
      </c>
      <c r="L142" s="872">
        <v>42954</v>
      </c>
      <c r="M142" s="34">
        <v>1.232652310872179</v>
      </c>
      <c r="N142" s="34">
        <v>1.1077617260076593</v>
      </c>
      <c r="O142" s="34">
        <v>1.1919328551535284</v>
      </c>
      <c r="P142" s="34">
        <v>0.99490300819899413</v>
      </c>
    </row>
    <row r="143" spans="8:16" x14ac:dyDescent="0.25">
      <c r="H143" s="872">
        <v>42968</v>
      </c>
      <c r="I143" s="34">
        <v>83.035499999999999</v>
      </c>
      <c r="J143" s="34">
        <v>51.66</v>
      </c>
      <c r="L143" s="872">
        <v>42951</v>
      </c>
      <c r="M143" s="34">
        <v>1.2306251428457862</v>
      </c>
      <c r="N143" s="34">
        <v>1.1082704533677119</v>
      </c>
      <c r="O143" s="34">
        <v>1.1958760881572703</v>
      </c>
      <c r="P143" s="34">
        <v>0.98963157616909847</v>
      </c>
    </row>
    <row r="144" spans="8:16" x14ac:dyDescent="0.25">
      <c r="H144" s="872">
        <v>42965</v>
      </c>
      <c r="I144" s="34">
        <v>83.230999999999995</v>
      </c>
      <c r="J144" s="34">
        <v>52.72</v>
      </c>
      <c r="L144" s="872">
        <v>42950</v>
      </c>
      <c r="M144" s="34">
        <v>1.2283048304234196</v>
      </c>
      <c r="N144" s="34">
        <v>1.0953026453822721</v>
      </c>
      <c r="O144" s="34">
        <v>1.1819702356409916</v>
      </c>
      <c r="P144" s="34">
        <v>0.99292258069604999</v>
      </c>
    </row>
    <row r="145" spans="8:16" x14ac:dyDescent="0.25">
      <c r="H145" s="872">
        <v>42964</v>
      </c>
      <c r="I145" s="34">
        <v>82.679900000000004</v>
      </c>
      <c r="J145" s="34">
        <v>51.03</v>
      </c>
      <c r="L145" s="872">
        <v>42949</v>
      </c>
      <c r="M145" s="34">
        <v>1.2309928154780241</v>
      </c>
      <c r="N145" s="34">
        <v>1.0930749883087501</v>
      </c>
      <c r="O145" s="34">
        <v>1.1845724776922897</v>
      </c>
      <c r="P145" s="34">
        <v>0.99660190434122575</v>
      </c>
    </row>
    <row r="146" spans="8:16" x14ac:dyDescent="0.25">
      <c r="H146" s="872">
        <v>42963</v>
      </c>
      <c r="I146" s="34">
        <v>82.583399999999997</v>
      </c>
      <c r="J146" s="34">
        <v>50.27</v>
      </c>
      <c r="L146" s="872">
        <v>42948</v>
      </c>
      <c r="M146" s="34">
        <v>1.2303866524897398</v>
      </c>
      <c r="N146" s="34">
        <v>1.0987847419709551</v>
      </c>
      <c r="O146" s="34">
        <v>1.1913610620570549</v>
      </c>
      <c r="P146" s="34">
        <v>0.9989017849937718</v>
      </c>
    </row>
    <row r="147" spans="8:16" x14ac:dyDescent="0.25">
      <c r="H147" s="872">
        <v>42962</v>
      </c>
      <c r="I147" s="34">
        <v>82.520200000000003</v>
      </c>
      <c r="J147" s="34">
        <v>50.8</v>
      </c>
      <c r="L147" s="872">
        <v>42947</v>
      </c>
      <c r="M147" s="34">
        <v>1.2273806802937406</v>
      </c>
      <c r="N147" s="34">
        <v>1.0899278302304123</v>
      </c>
      <c r="O147" s="34">
        <v>1.1784237570307212</v>
      </c>
      <c r="P147" s="34">
        <v>0.99295261475285002</v>
      </c>
    </row>
    <row r="148" spans="8:16" x14ac:dyDescent="0.25">
      <c r="H148" s="872">
        <v>42961</v>
      </c>
      <c r="I148" s="34">
        <v>83.112399999999994</v>
      </c>
      <c r="J148" s="34">
        <v>50.73</v>
      </c>
      <c r="L148" s="872">
        <v>42944</v>
      </c>
      <c r="M148" s="34">
        <v>1.2282750191289138</v>
      </c>
      <c r="N148" s="34">
        <v>1.0957323778106396</v>
      </c>
      <c r="O148" s="34">
        <v>1.1827462405576343</v>
      </c>
      <c r="P148" s="34">
        <v>0.9869494438845503</v>
      </c>
    </row>
    <row r="149" spans="8:16" x14ac:dyDescent="0.25">
      <c r="H149" s="872">
        <v>42958</v>
      </c>
      <c r="I149" s="34">
        <v>83.695800000000006</v>
      </c>
      <c r="J149" s="34">
        <v>52.1</v>
      </c>
      <c r="L149" s="872">
        <v>42943</v>
      </c>
      <c r="M149" s="34">
        <v>1.2299245774249004</v>
      </c>
      <c r="N149" s="34">
        <v>1.1037614226671215</v>
      </c>
      <c r="O149" s="34">
        <v>1.1875442458943699</v>
      </c>
      <c r="P149" s="34">
        <v>0.98590007214241127</v>
      </c>
    </row>
    <row r="150" spans="8:16" x14ac:dyDescent="0.25">
      <c r="H150" s="872">
        <v>42957</v>
      </c>
      <c r="I150" s="34">
        <v>83.538799999999995</v>
      </c>
      <c r="J150" s="34">
        <v>51.9</v>
      </c>
      <c r="L150" s="872">
        <v>42942</v>
      </c>
      <c r="M150" s="34">
        <v>1.2311219977542158</v>
      </c>
      <c r="N150" s="34">
        <v>1.1031452621999771</v>
      </c>
      <c r="O150" s="34">
        <v>1.1965947192768178</v>
      </c>
      <c r="P150" s="34">
        <v>0.98526116584320778</v>
      </c>
    </row>
    <row r="151" spans="8:16" x14ac:dyDescent="0.25">
      <c r="H151" s="872">
        <v>42956</v>
      </c>
      <c r="I151" s="34">
        <v>84.415000000000006</v>
      </c>
      <c r="J151" s="34">
        <v>52.7</v>
      </c>
      <c r="L151" s="872">
        <v>42941</v>
      </c>
      <c r="M151" s="34">
        <v>1.230774199318315</v>
      </c>
      <c r="N151" s="34">
        <v>1.0975682200230032</v>
      </c>
      <c r="O151" s="34">
        <v>1.1926271753421034</v>
      </c>
      <c r="P151" s="34">
        <v>0.98405191583911211</v>
      </c>
    </row>
    <row r="152" spans="8:16" x14ac:dyDescent="0.25">
      <c r="H152" s="872">
        <v>42955</v>
      </c>
      <c r="I152" s="34">
        <v>83.942400000000006</v>
      </c>
      <c r="J152" s="34">
        <v>52.14</v>
      </c>
      <c r="L152" s="872">
        <v>42940</v>
      </c>
      <c r="M152" s="34">
        <v>1.227186906879453</v>
      </c>
      <c r="N152" s="34">
        <v>1.0911317129892946</v>
      </c>
      <c r="O152" s="34">
        <v>1.1872437627875496</v>
      </c>
      <c r="P152" s="34">
        <v>0.98614823232890159</v>
      </c>
    </row>
    <row r="153" spans="8:16" x14ac:dyDescent="0.25">
      <c r="H153" s="872">
        <v>42954</v>
      </c>
      <c r="I153" s="34">
        <v>83.715999999999994</v>
      </c>
      <c r="J153" s="34">
        <v>52.37</v>
      </c>
      <c r="L153" s="872">
        <v>42937</v>
      </c>
      <c r="M153" s="34">
        <v>1.2284936352886229</v>
      </c>
      <c r="N153" s="34">
        <v>1.0906703825882531</v>
      </c>
      <c r="O153" s="34">
        <v>1.1902690150377693</v>
      </c>
      <c r="P153" s="34">
        <v>0.98232055864559154</v>
      </c>
    </row>
    <row r="154" spans="8:16" x14ac:dyDescent="0.25">
      <c r="H154" s="872">
        <v>42951</v>
      </c>
      <c r="I154" s="34">
        <v>83.276899999999998</v>
      </c>
      <c r="J154" s="34">
        <v>52.42</v>
      </c>
      <c r="L154" s="872">
        <v>42936</v>
      </c>
      <c r="M154" s="34">
        <v>1.2289457732552937</v>
      </c>
      <c r="N154" s="34">
        <v>1.1057678939319251</v>
      </c>
      <c r="O154" s="34">
        <v>1.2104169421905511</v>
      </c>
      <c r="P154" s="34">
        <v>0.98440868402898074</v>
      </c>
    </row>
    <row r="155" spans="8:16" x14ac:dyDescent="0.25">
      <c r="H155" s="872">
        <v>42950</v>
      </c>
      <c r="I155" s="34">
        <v>83.334299999999999</v>
      </c>
      <c r="J155" s="34">
        <v>52.01</v>
      </c>
      <c r="L155" s="872">
        <v>42935</v>
      </c>
      <c r="M155" s="34">
        <v>1.2291345781204972</v>
      </c>
      <c r="N155" s="34">
        <v>1.1060175179160505</v>
      </c>
      <c r="O155" s="34">
        <v>1.2108837120652232</v>
      </c>
      <c r="P155" s="34">
        <v>0.98019511822193539</v>
      </c>
    </row>
    <row r="156" spans="8:16" x14ac:dyDescent="0.25">
      <c r="H156" s="872">
        <v>42949</v>
      </c>
      <c r="I156" s="34">
        <v>83.926000000000002</v>
      </c>
      <c r="J156" s="34">
        <v>52.36</v>
      </c>
      <c r="L156" s="872">
        <v>42934</v>
      </c>
      <c r="M156" s="34">
        <v>1.2225661562310575</v>
      </c>
      <c r="N156" s="34">
        <v>1.0991923558184507</v>
      </c>
      <c r="O156" s="34">
        <v>1.2087774130057645</v>
      </c>
      <c r="P156" s="34">
        <v>0.96702594275084053</v>
      </c>
    </row>
    <row r="157" spans="8:16" x14ac:dyDescent="0.25">
      <c r="H157" s="872">
        <v>42948</v>
      </c>
      <c r="I157" s="34">
        <v>83.532499999999999</v>
      </c>
      <c r="J157" s="34">
        <v>51.78</v>
      </c>
      <c r="L157" s="872">
        <v>42933</v>
      </c>
      <c r="M157" s="34">
        <v>1.2218357795156658</v>
      </c>
      <c r="N157" s="34">
        <v>1.111095312124774</v>
      </c>
      <c r="O157" s="34">
        <v>1.2240223116000093</v>
      </c>
      <c r="P157" s="34">
        <v>0.96365788114886652</v>
      </c>
    </row>
    <row r="158" spans="8:16" x14ac:dyDescent="0.25">
      <c r="H158" s="872">
        <v>42947</v>
      </c>
      <c r="I158" s="34">
        <v>84.391499999999994</v>
      </c>
      <c r="J158" s="34">
        <v>52.65</v>
      </c>
      <c r="L158" s="872">
        <v>42930</v>
      </c>
      <c r="M158" s="34">
        <v>1.2219003706537617</v>
      </c>
      <c r="N158" s="34">
        <v>1.1141255577042177</v>
      </c>
      <c r="O158" s="34">
        <v>1.2283554919365502</v>
      </c>
      <c r="P158" s="34">
        <v>0.97759853749312098</v>
      </c>
    </row>
    <row r="159" spans="8:16" x14ac:dyDescent="0.25">
      <c r="H159" s="872">
        <v>42944</v>
      </c>
      <c r="I159" s="34">
        <v>84.479900000000001</v>
      </c>
      <c r="J159" s="34">
        <v>52.52</v>
      </c>
      <c r="L159" s="872">
        <v>42929</v>
      </c>
      <c r="M159" s="34">
        <v>1.2162163505013266</v>
      </c>
      <c r="N159" s="34">
        <v>1.1147227593877576</v>
      </c>
      <c r="O159" s="34">
        <v>1.2292900041231338</v>
      </c>
      <c r="P159" s="34">
        <v>0.97630798317364731</v>
      </c>
    </row>
    <row r="160" spans="8:16" x14ac:dyDescent="0.25">
      <c r="H160" s="872">
        <v>42943</v>
      </c>
      <c r="I160" s="34">
        <v>84.229299999999995</v>
      </c>
      <c r="J160" s="34">
        <v>51.49</v>
      </c>
      <c r="L160" s="872">
        <v>42928</v>
      </c>
      <c r="M160" s="34">
        <v>1.2139407550207189</v>
      </c>
      <c r="N160" s="34">
        <v>1.1107414148308243</v>
      </c>
      <c r="O160" s="34">
        <v>1.2278556591957555</v>
      </c>
      <c r="P160" s="34">
        <v>0.97005270825281276</v>
      </c>
    </row>
    <row r="161" spans="8:16" x14ac:dyDescent="0.25">
      <c r="H161" s="872">
        <v>42942</v>
      </c>
      <c r="I161" s="34">
        <v>83.685199999999995</v>
      </c>
      <c r="J161" s="34">
        <v>50.97</v>
      </c>
      <c r="L161" s="872">
        <v>42927</v>
      </c>
      <c r="M161" s="34">
        <v>1.2051364860433458</v>
      </c>
      <c r="N161" s="34">
        <v>1.0947054436987322</v>
      </c>
      <c r="O161" s="34">
        <v>1.2094221388951556</v>
      </c>
      <c r="P161" s="34">
        <v>0.9717191433437552</v>
      </c>
    </row>
    <row r="162" spans="8:16" x14ac:dyDescent="0.25">
      <c r="H162" s="872">
        <v>42941</v>
      </c>
      <c r="I162" s="34">
        <v>83.112399999999994</v>
      </c>
      <c r="J162" s="34">
        <v>50.2</v>
      </c>
      <c r="L162" s="872">
        <v>42926</v>
      </c>
      <c r="M162" s="34">
        <v>1.2060805103693617</v>
      </c>
      <c r="N162" s="34">
        <v>1.0989964483878714</v>
      </c>
      <c r="O162" s="34">
        <v>1.2102876080377771</v>
      </c>
      <c r="P162" s="34">
        <v>0.97463001985888253</v>
      </c>
    </row>
    <row r="163" spans="8:16" x14ac:dyDescent="0.25">
      <c r="H163" s="872">
        <v>42940</v>
      </c>
      <c r="I163" s="34">
        <v>82.645499999999998</v>
      </c>
      <c r="J163" s="34">
        <v>48.6</v>
      </c>
      <c r="L163" s="872">
        <v>42923</v>
      </c>
      <c r="M163" s="34">
        <v>1.204962586825395</v>
      </c>
      <c r="N163" s="34">
        <v>1.0945032166736182</v>
      </c>
      <c r="O163" s="34">
        <v>1.2047213772823102</v>
      </c>
      <c r="P163" s="34">
        <v>0.976245488065558</v>
      </c>
    </row>
    <row r="164" spans="8:16" x14ac:dyDescent="0.25">
      <c r="H164" s="872">
        <v>42937</v>
      </c>
      <c r="I164" s="34">
        <v>82.988</v>
      </c>
      <c r="J164" s="34">
        <v>48.06</v>
      </c>
      <c r="L164" s="872">
        <v>42922</v>
      </c>
      <c r="M164" s="34">
        <v>1.1972961155883259</v>
      </c>
      <c r="N164" s="34">
        <v>1.0939407727600197</v>
      </c>
      <c r="O164" s="34">
        <v>1.2039988564138069</v>
      </c>
      <c r="P164" s="34">
        <v>0.97457298548839322</v>
      </c>
    </row>
    <row r="165" spans="8:16" x14ac:dyDescent="0.25">
      <c r="H165" s="872">
        <v>42936</v>
      </c>
      <c r="I165" s="34">
        <v>83.688699999999997</v>
      </c>
      <c r="J165" s="34">
        <v>49.3</v>
      </c>
      <c r="L165" s="872">
        <v>42921</v>
      </c>
      <c r="M165" s="34">
        <v>1.2086194389514373</v>
      </c>
      <c r="N165" s="34">
        <v>1.0991070412922306</v>
      </c>
      <c r="O165" s="34">
        <v>1.211042219335164</v>
      </c>
      <c r="P165" s="34">
        <v>0.9729620678963844</v>
      </c>
    </row>
    <row r="166" spans="8:16" x14ac:dyDescent="0.25">
      <c r="H166" s="872">
        <v>42935</v>
      </c>
      <c r="I166" s="34">
        <v>83.631600000000006</v>
      </c>
      <c r="J166" s="34">
        <v>49.7</v>
      </c>
      <c r="L166" s="872">
        <v>42919</v>
      </c>
      <c r="M166" s="34">
        <v>1.2068655411246809</v>
      </c>
      <c r="N166" s="34">
        <v>1.1033411696305564</v>
      </c>
      <c r="O166" s="34">
        <v>1.213145601082906</v>
      </c>
      <c r="P166" s="34">
        <v>0.96955760137707669</v>
      </c>
    </row>
    <row r="167" spans="8:16" x14ac:dyDescent="0.25">
      <c r="H167" s="872">
        <v>42934</v>
      </c>
      <c r="I167" s="34">
        <v>83.146199999999993</v>
      </c>
      <c r="J167" s="34">
        <v>48.84</v>
      </c>
      <c r="L167" s="872">
        <v>42916</v>
      </c>
      <c r="M167" s="34">
        <v>1.2040831536374748</v>
      </c>
      <c r="N167" s="34">
        <v>1.0875643018743917</v>
      </c>
      <c r="O167" s="34">
        <v>1.198540566191858</v>
      </c>
      <c r="P167" s="34">
        <v>0.96850034190284873</v>
      </c>
    </row>
    <row r="168" spans="8:16" x14ac:dyDescent="0.25">
      <c r="H168" s="872">
        <v>42933</v>
      </c>
      <c r="I168" s="34">
        <v>82.69</v>
      </c>
      <c r="J168" s="34">
        <v>48.42</v>
      </c>
      <c r="L168" s="872">
        <v>42915</v>
      </c>
      <c r="M168" s="34">
        <v>1.2022398219272006</v>
      </c>
      <c r="N168" s="34">
        <v>1.0968699048269062</v>
      </c>
      <c r="O168" s="34">
        <v>1.2073965521265257</v>
      </c>
      <c r="P168" s="34">
        <v>0.96717641640915253</v>
      </c>
    </row>
    <row r="169" spans="8:16" x14ac:dyDescent="0.25">
      <c r="H169" s="872">
        <v>42930</v>
      </c>
      <c r="I169" s="34">
        <v>82.703100000000006</v>
      </c>
      <c r="J169" s="34">
        <v>48.91</v>
      </c>
      <c r="L169" s="872">
        <v>42914</v>
      </c>
      <c r="M169" s="34">
        <v>1.212668806455139</v>
      </c>
      <c r="N169" s="34">
        <v>1.1172095198372072</v>
      </c>
      <c r="O169" s="34">
        <v>1.2298676318430408</v>
      </c>
      <c r="P169" s="34">
        <v>0.96266766739739429</v>
      </c>
    </row>
    <row r="170" spans="8:16" x14ac:dyDescent="0.25">
      <c r="H170" s="872">
        <v>42929</v>
      </c>
      <c r="I170" s="34">
        <v>81.920500000000004</v>
      </c>
      <c r="J170" s="34">
        <v>48.42</v>
      </c>
      <c r="L170" s="872">
        <v>42913</v>
      </c>
      <c r="M170" s="34">
        <v>1.2020808283565034</v>
      </c>
      <c r="N170" s="34">
        <v>1.1180373867212678</v>
      </c>
      <c r="O170" s="34">
        <v>1.2321771702854298</v>
      </c>
      <c r="P170" s="34">
        <v>0.96812719150018001</v>
      </c>
    </row>
    <row r="171" spans="8:16" x14ac:dyDescent="0.25">
      <c r="H171" s="872">
        <v>42928</v>
      </c>
      <c r="I171" s="34">
        <v>82.65</v>
      </c>
      <c r="J171" s="34">
        <v>47.74</v>
      </c>
      <c r="L171" s="872">
        <v>42912</v>
      </c>
      <c r="M171" s="34">
        <v>1.2118639015034829</v>
      </c>
      <c r="N171" s="34">
        <v>1.1254439515160708</v>
      </c>
      <c r="O171" s="34">
        <v>1.2418830663668967</v>
      </c>
      <c r="P171" s="34">
        <v>0.96638187908834805</v>
      </c>
    </row>
    <row r="172" spans="8:16" x14ac:dyDescent="0.25">
      <c r="H172" s="872">
        <v>42927</v>
      </c>
      <c r="I172" s="34">
        <v>83.018699999999995</v>
      </c>
      <c r="J172" s="34">
        <v>47.52</v>
      </c>
      <c r="L172" s="872">
        <v>42909</v>
      </c>
      <c r="M172" s="34">
        <v>1.2114813232239923</v>
      </c>
      <c r="N172" s="34">
        <v>1.1197310380565981</v>
      </c>
      <c r="O172" s="34">
        <v>1.2382442062189305</v>
      </c>
      <c r="P172" s="34">
        <v>0.95801754595665756</v>
      </c>
    </row>
    <row r="173" spans="8:16" x14ac:dyDescent="0.25">
      <c r="H173" s="872">
        <v>42926</v>
      </c>
      <c r="I173" s="34">
        <v>82.359700000000004</v>
      </c>
      <c r="J173" s="34">
        <v>46.88</v>
      </c>
      <c r="L173" s="872">
        <v>42908</v>
      </c>
      <c r="M173" s="34">
        <v>1.2095932745719595</v>
      </c>
      <c r="N173" s="34">
        <v>1.1235480731556264</v>
      </c>
      <c r="O173" s="34">
        <v>1.2441362034494292</v>
      </c>
      <c r="P173" s="34">
        <v>0.95485638563486241</v>
      </c>
    </row>
    <row r="174" spans="8:16" x14ac:dyDescent="0.25">
      <c r="H174" s="872">
        <v>42923</v>
      </c>
      <c r="I174" s="34">
        <v>81.8048</v>
      </c>
      <c r="J174" s="34">
        <v>46.71</v>
      </c>
      <c r="L174" s="872">
        <v>42907</v>
      </c>
      <c r="M174" s="34">
        <v>1.2101447835203165</v>
      </c>
      <c r="N174" s="34">
        <v>1.1231025417409217</v>
      </c>
      <c r="O174" s="34">
        <v>1.2422166123398395</v>
      </c>
      <c r="P174" s="34">
        <v>0.95751364122589921</v>
      </c>
    </row>
    <row r="175" spans="8:16" x14ac:dyDescent="0.25">
      <c r="H175" s="872">
        <v>42922</v>
      </c>
      <c r="I175" s="34">
        <v>82.417699999999996</v>
      </c>
      <c r="J175" s="34">
        <v>48.11</v>
      </c>
      <c r="L175" s="872">
        <v>42906</v>
      </c>
      <c r="M175" s="34">
        <v>1.2108503174902865</v>
      </c>
      <c r="N175" s="34">
        <v>1.1250963738166557</v>
      </c>
      <c r="O175" s="34">
        <v>1.2461579004691037</v>
      </c>
      <c r="P175" s="34">
        <v>0.9525992807601833</v>
      </c>
    </row>
    <row r="176" spans="8:16" x14ac:dyDescent="0.25">
      <c r="H176" s="872">
        <v>42921</v>
      </c>
      <c r="I176" s="34">
        <v>82.3172</v>
      </c>
      <c r="J176" s="34">
        <v>47.79</v>
      </c>
      <c r="L176" s="872">
        <v>42905</v>
      </c>
      <c r="M176" s="34">
        <v>1.2190136436357855</v>
      </c>
      <c r="N176" s="34">
        <v>1.1310747102465906</v>
      </c>
      <c r="O176" s="34">
        <v>1.2533694950327905</v>
      </c>
      <c r="P176" s="34">
        <v>0.95392229613094603</v>
      </c>
    </row>
    <row r="177" spans="8:16" x14ac:dyDescent="0.25">
      <c r="H177" s="872">
        <v>42919</v>
      </c>
      <c r="I177" s="34">
        <v>83.1053</v>
      </c>
      <c r="J177" s="34">
        <v>49.68</v>
      </c>
      <c r="L177" s="872">
        <v>42902</v>
      </c>
      <c r="M177" s="34">
        <v>1.2089225204455796</v>
      </c>
      <c r="N177" s="34">
        <v>1.1197942340019464</v>
      </c>
      <c r="O177" s="34">
        <v>1.2401229549644865</v>
      </c>
      <c r="P177" s="34">
        <v>0.94748833374086627</v>
      </c>
    </row>
    <row r="178" spans="8:16" x14ac:dyDescent="0.25">
      <c r="H178" s="872">
        <v>42916</v>
      </c>
      <c r="I178" s="34">
        <v>82.601699999999994</v>
      </c>
      <c r="J178" s="34">
        <v>47.92</v>
      </c>
      <c r="L178" s="872">
        <v>42901</v>
      </c>
      <c r="M178" s="34">
        <v>1.2085796905587629</v>
      </c>
      <c r="N178" s="34">
        <v>1.1139738874353822</v>
      </c>
      <c r="O178" s="34">
        <v>1.2341988673051041</v>
      </c>
      <c r="P178" s="34">
        <v>0.95031578232043734</v>
      </c>
    </row>
    <row r="179" spans="8:16" x14ac:dyDescent="0.25">
      <c r="H179" s="872">
        <v>42915</v>
      </c>
      <c r="I179" s="34">
        <v>81.329700000000003</v>
      </c>
      <c r="J179" s="34">
        <v>47.42</v>
      </c>
      <c r="L179" s="872">
        <v>42900</v>
      </c>
      <c r="M179" s="34">
        <v>1.2112925183587888</v>
      </c>
      <c r="N179" s="34">
        <v>1.1208274877083886</v>
      </c>
      <c r="O179" s="34">
        <v>1.2452982659499157</v>
      </c>
      <c r="P179" s="34">
        <v>0.94976606806870101</v>
      </c>
    </row>
    <row r="180" spans="8:16" x14ac:dyDescent="0.25">
      <c r="H180" s="872">
        <v>42914</v>
      </c>
      <c r="I180" s="34">
        <v>80.84</v>
      </c>
      <c r="J180" s="34">
        <v>47.31</v>
      </c>
      <c r="L180" s="872">
        <v>42899</v>
      </c>
      <c r="M180" s="34">
        <v>1.2124998757862728</v>
      </c>
      <c r="N180" s="34">
        <v>1.1242147903790491</v>
      </c>
      <c r="O180" s="34">
        <v>1.2413141905821397</v>
      </c>
      <c r="P180" s="34">
        <v>0.95676461005176172</v>
      </c>
    </row>
    <row r="181" spans="8:16" x14ac:dyDescent="0.25">
      <c r="H181" s="872">
        <v>42913</v>
      </c>
      <c r="I181" s="34">
        <v>80.418000000000006</v>
      </c>
      <c r="J181" s="34">
        <v>46.65</v>
      </c>
      <c r="L181" s="872">
        <v>42898</v>
      </c>
      <c r="M181" s="34">
        <v>1.2070543459898839</v>
      </c>
      <c r="N181" s="34">
        <v>1.1198163525828182</v>
      </c>
      <c r="O181" s="34">
        <v>1.2340656434033748</v>
      </c>
      <c r="P181" s="34">
        <v>0.95255771847956083</v>
      </c>
    </row>
    <row r="182" spans="8:16" x14ac:dyDescent="0.25">
      <c r="H182" s="872">
        <v>42912</v>
      </c>
      <c r="I182" s="34">
        <v>79.868700000000004</v>
      </c>
      <c r="J182" s="34">
        <v>45.83</v>
      </c>
      <c r="L182" s="872">
        <v>42895</v>
      </c>
      <c r="M182" s="34">
        <v>1.2082368606719465</v>
      </c>
      <c r="N182" s="34">
        <v>1.1331254186731379</v>
      </c>
      <c r="O182" s="34">
        <v>1.2462483371323214</v>
      </c>
      <c r="P182" s="34">
        <v>0.95817742421861407</v>
      </c>
    </row>
    <row r="183" spans="8:16" x14ac:dyDescent="0.25">
      <c r="H183" s="872">
        <v>42909</v>
      </c>
      <c r="I183" s="34">
        <v>79.638199999999998</v>
      </c>
      <c r="J183" s="34">
        <v>45.54</v>
      </c>
      <c r="L183" s="872">
        <v>42894</v>
      </c>
      <c r="M183" s="34">
        <v>1.2092405075869743</v>
      </c>
      <c r="N183" s="34">
        <v>1.1261138285367611</v>
      </c>
      <c r="O183" s="34">
        <v>1.2363158631741906</v>
      </c>
      <c r="P183" s="34">
        <v>0.95573010365086719</v>
      </c>
    </row>
    <row r="184" spans="8:16" x14ac:dyDescent="0.25">
      <c r="H184" s="872">
        <v>42908</v>
      </c>
      <c r="I184" s="34">
        <v>79.357500000000002</v>
      </c>
      <c r="J184" s="34">
        <v>45.22</v>
      </c>
      <c r="L184" s="872">
        <v>42893</v>
      </c>
      <c r="M184" s="34">
        <v>1.208917551896495</v>
      </c>
      <c r="N184" s="34">
        <v>1.1213614934465805</v>
      </c>
      <c r="O184" s="34">
        <v>1.232320118559548</v>
      </c>
      <c r="P184" s="34">
        <v>0.95269393354525045</v>
      </c>
    </row>
    <row r="185" spans="8:16" x14ac:dyDescent="0.25">
      <c r="H185" s="872">
        <v>42907</v>
      </c>
      <c r="I185" s="34">
        <v>79.631100000000004</v>
      </c>
      <c r="J185" s="34">
        <v>44.82</v>
      </c>
      <c r="L185" s="872">
        <v>42892</v>
      </c>
      <c r="M185" s="34">
        <v>1.2070245346953781</v>
      </c>
      <c r="N185" s="34">
        <v>1.1230488251873758</v>
      </c>
      <c r="O185" s="34">
        <v>1.23403452541173</v>
      </c>
      <c r="P185" s="34">
        <v>0.94110533823505327</v>
      </c>
    </row>
    <row r="186" spans="8:16" x14ac:dyDescent="0.25">
      <c r="H186" s="872">
        <v>42906</v>
      </c>
      <c r="I186" s="34">
        <v>80.129499999999993</v>
      </c>
      <c r="J186" s="34">
        <v>46.02</v>
      </c>
      <c r="L186" s="872">
        <v>42888</v>
      </c>
      <c r="M186" s="34">
        <v>1.2118639015034829</v>
      </c>
      <c r="N186" s="34">
        <v>1.1349423021018972</v>
      </c>
      <c r="O186" s="34">
        <v>1.2469504368188078</v>
      </c>
      <c r="P186" s="34">
        <v>0.94214105813319227</v>
      </c>
    </row>
    <row r="187" spans="8:16" x14ac:dyDescent="0.25">
      <c r="H187" s="872">
        <v>42905</v>
      </c>
      <c r="I187" s="34">
        <v>80.718800000000002</v>
      </c>
      <c r="J187" s="34">
        <v>46.91</v>
      </c>
      <c r="L187" s="872">
        <v>42887</v>
      </c>
      <c r="M187" s="34">
        <v>1.2073872387785318</v>
      </c>
      <c r="N187" s="34">
        <v>1.1271060048787269</v>
      </c>
      <c r="O187" s="34">
        <v>1.2315839835697004</v>
      </c>
      <c r="P187" s="34">
        <v>0.94125611526767627</v>
      </c>
    </row>
    <row r="188" spans="8:16" x14ac:dyDescent="0.25">
      <c r="H188" s="872">
        <v>42902</v>
      </c>
      <c r="I188" s="34">
        <v>81.269099999999995</v>
      </c>
      <c r="J188" s="34">
        <v>47.37</v>
      </c>
      <c r="L188" s="872">
        <v>42886</v>
      </c>
      <c r="M188" s="34">
        <v>1.1983146681506067</v>
      </c>
      <c r="N188" s="34">
        <v>1.1231783768753396</v>
      </c>
      <c r="O188" s="34">
        <v>1.2267354114965419</v>
      </c>
      <c r="P188" s="34">
        <v>0.94567172836592284</v>
      </c>
    </row>
    <row r="189" spans="8:16" x14ac:dyDescent="0.25">
      <c r="H189" s="872">
        <v>42901</v>
      </c>
      <c r="I189" s="34">
        <v>80.916200000000003</v>
      </c>
      <c r="J189" s="34">
        <v>46.92</v>
      </c>
      <c r="L189" s="872">
        <v>42881</v>
      </c>
      <c r="M189" s="34">
        <v>1.2003120248824939</v>
      </c>
      <c r="N189" s="34">
        <v>1.1308977615996156</v>
      </c>
      <c r="O189" s="34">
        <v>1.2254829123328379</v>
      </c>
      <c r="P189" s="34">
        <v>0.94351200664511103</v>
      </c>
    </row>
    <row r="190" spans="8:16" x14ac:dyDescent="0.25">
      <c r="H190" s="872">
        <v>42900</v>
      </c>
      <c r="I190" s="34">
        <v>80.890500000000003</v>
      </c>
      <c r="J190" s="34">
        <v>47</v>
      </c>
      <c r="L190" s="872">
        <v>42880</v>
      </c>
      <c r="M190" s="34">
        <v>1.1999393837011716</v>
      </c>
      <c r="N190" s="34">
        <v>1.1326451294884921</v>
      </c>
      <c r="O190" s="34">
        <v>1.2273830546976496</v>
      </c>
      <c r="P190" s="34">
        <v>0.94283608867995172</v>
      </c>
    </row>
    <row r="191" spans="8:16" x14ac:dyDescent="0.25">
      <c r="H191" s="872">
        <v>42899</v>
      </c>
      <c r="I191" s="34">
        <v>81.614400000000003</v>
      </c>
      <c r="J191" s="34">
        <v>48.72</v>
      </c>
      <c r="L191" s="872">
        <v>42879</v>
      </c>
      <c r="M191" s="34">
        <v>1.194632973279143</v>
      </c>
      <c r="N191" s="34">
        <v>1.1332992075228452</v>
      </c>
      <c r="O191" s="34">
        <v>1.2294397594579245</v>
      </c>
      <c r="P191" s="34">
        <v>0.92956194569721184</v>
      </c>
    </row>
    <row r="192" spans="8:16" x14ac:dyDescent="0.25">
      <c r="H192" s="872">
        <v>42898</v>
      </c>
      <c r="I192" s="34">
        <v>81.590800000000002</v>
      </c>
      <c r="J192" s="34">
        <v>48.29</v>
      </c>
      <c r="L192" s="872">
        <v>42878</v>
      </c>
      <c r="M192" s="34">
        <v>1.191666749475818</v>
      </c>
      <c r="N192" s="34">
        <v>1.1359565970247349</v>
      </c>
      <c r="O192" s="34">
        <v>1.2310228872828546</v>
      </c>
      <c r="P192" s="34">
        <v>0.92891606178885278</v>
      </c>
    </row>
    <row r="193" spans="8:16" x14ac:dyDescent="0.25">
      <c r="H193" s="872">
        <v>42895</v>
      </c>
      <c r="I193" s="34">
        <v>82.421300000000002</v>
      </c>
      <c r="J193" s="34">
        <v>48.15</v>
      </c>
      <c r="L193" s="872">
        <v>42877</v>
      </c>
      <c r="M193" s="34">
        <v>1.1894805878787276</v>
      </c>
      <c r="N193" s="34">
        <v>1.1301109720800313</v>
      </c>
      <c r="O193" s="34">
        <v>1.2271632838816582</v>
      </c>
      <c r="P193" s="34">
        <v>0.93308108770612008</v>
      </c>
    </row>
    <row r="194" spans="8:16" x14ac:dyDescent="0.25">
      <c r="H194" s="872">
        <v>42894</v>
      </c>
      <c r="I194" s="34">
        <v>82.176000000000002</v>
      </c>
      <c r="J194" s="34">
        <v>47.86</v>
      </c>
      <c r="L194" s="872">
        <v>42874</v>
      </c>
      <c r="M194" s="34">
        <v>1.1833742410541273</v>
      </c>
      <c r="N194" s="34">
        <v>1.1334224396162742</v>
      </c>
      <c r="O194" s="34">
        <v>1.2290332806920641</v>
      </c>
      <c r="P194" s="34">
        <v>0.93761805052881175</v>
      </c>
    </row>
    <row r="195" spans="8:16" x14ac:dyDescent="0.25">
      <c r="H195" s="872">
        <v>42893</v>
      </c>
      <c r="I195" s="34">
        <v>81.960300000000004</v>
      </c>
      <c r="J195" s="34">
        <v>48.06</v>
      </c>
      <c r="L195" s="872">
        <v>42873</v>
      </c>
      <c r="M195" s="34">
        <v>1.1754195939701686</v>
      </c>
      <c r="N195" s="34">
        <v>1.1255893021903713</v>
      </c>
      <c r="O195" s="34">
        <v>1.2243043183992903</v>
      </c>
      <c r="P195" s="34">
        <v>0.93746879036774433</v>
      </c>
    </row>
    <row r="196" spans="8:16" x14ac:dyDescent="0.25">
      <c r="H196" s="872">
        <v>42892</v>
      </c>
      <c r="I196" s="34">
        <v>82.477999999999994</v>
      </c>
      <c r="J196" s="34">
        <v>50.12</v>
      </c>
      <c r="L196" s="872">
        <v>42872</v>
      </c>
      <c r="M196" s="34">
        <v>1.1711019248159154</v>
      </c>
      <c r="N196" s="34">
        <v>1.1327336038119793</v>
      </c>
      <c r="O196" s="34">
        <v>1.2283447951269224</v>
      </c>
      <c r="P196" s="34">
        <v>0.94180795313959043</v>
      </c>
    </row>
    <row r="197" spans="8:16" x14ac:dyDescent="0.25">
      <c r="H197" s="872">
        <v>42891</v>
      </c>
      <c r="I197" s="34">
        <v>82.000799999999998</v>
      </c>
      <c r="J197" s="34">
        <v>49.47</v>
      </c>
      <c r="L197" s="872">
        <v>42871</v>
      </c>
      <c r="M197" s="34">
        <v>1.1927846730197849</v>
      </c>
      <c r="N197" s="34">
        <v>1.1507634070198054</v>
      </c>
      <c r="O197" s="34">
        <v>1.2451601798619918</v>
      </c>
      <c r="P197" s="34">
        <v>0.94439330901889362</v>
      </c>
    </row>
    <row r="198" spans="8:16" x14ac:dyDescent="0.25">
      <c r="H198" s="872">
        <v>42888</v>
      </c>
      <c r="I198" s="34">
        <v>82.326499999999996</v>
      </c>
      <c r="J198" s="34">
        <v>49.95</v>
      </c>
      <c r="L198" s="872">
        <v>42870</v>
      </c>
      <c r="M198" s="34">
        <v>1.1936044836186936</v>
      </c>
      <c r="N198" s="34">
        <v>1.1507602472225382</v>
      </c>
      <c r="O198" s="34">
        <v>1.2454042616089558</v>
      </c>
      <c r="P198" s="34">
        <v>0.93749609405574441</v>
      </c>
    </row>
    <row r="199" spans="8:16" x14ac:dyDescent="0.25">
      <c r="H199" s="872">
        <v>42887</v>
      </c>
      <c r="I199" s="34">
        <v>82.464299999999994</v>
      </c>
      <c r="J199" s="34">
        <v>50.63</v>
      </c>
      <c r="L199" s="872">
        <v>42867</v>
      </c>
      <c r="M199" s="34">
        <v>1.1879304005644271</v>
      </c>
      <c r="N199" s="34">
        <v>1.1493825756139486</v>
      </c>
      <c r="O199" s="34">
        <v>1.2418422240028628</v>
      </c>
      <c r="P199" s="34">
        <v>0.93545863218231096</v>
      </c>
    </row>
    <row r="200" spans="8:16" x14ac:dyDescent="0.25">
      <c r="H200" s="872">
        <v>42886</v>
      </c>
      <c r="I200" s="34">
        <v>82.8292</v>
      </c>
      <c r="J200" s="34">
        <v>50.31</v>
      </c>
      <c r="L200" s="872">
        <v>42866</v>
      </c>
      <c r="M200" s="34">
        <v>1.1896892669402681</v>
      </c>
      <c r="N200" s="34">
        <v>1.1449683388313805</v>
      </c>
      <c r="O200" s="34">
        <v>1.2360708089899877</v>
      </c>
      <c r="P200" s="34">
        <v>0.92878045347178528</v>
      </c>
    </row>
    <row r="201" spans="8:16" x14ac:dyDescent="0.25">
      <c r="H201" s="872">
        <v>42885</v>
      </c>
      <c r="I201" s="34">
        <v>83.204899999999995</v>
      </c>
      <c r="J201" s="34">
        <v>51.84</v>
      </c>
      <c r="L201" s="872">
        <v>42865</v>
      </c>
      <c r="M201" s="34">
        <v>1.1922679439150179</v>
      </c>
      <c r="N201" s="34">
        <v>1.1519799289677572</v>
      </c>
      <c r="O201" s="34">
        <v>1.2405829177784864</v>
      </c>
      <c r="P201" s="34">
        <v>0.92613654635043741</v>
      </c>
    </row>
    <row r="202" spans="8:16" x14ac:dyDescent="0.25">
      <c r="H202" s="872">
        <v>42881</v>
      </c>
      <c r="I202" s="34">
        <v>84.006200000000007</v>
      </c>
      <c r="J202" s="34">
        <v>52.15</v>
      </c>
      <c r="L202" s="872">
        <v>42864</v>
      </c>
      <c r="M202" s="34">
        <v>1.1909214671131736</v>
      </c>
      <c r="N202" s="34">
        <v>1.1530353012550714</v>
      </c>
      <c r="O202" s="34">
        <v>1.2397719051212435</v>
      </c>
      <c r="P202" s="34">
        <v>0.93455275648932823</v>
      </c>
    </row>
    <row r="203" spans="8:16" x14ac:dyDescent="0.25">
      <c r="H203" s="872">
        <v>42880</v>
      </c>
      <c r="I203" s="34">
        <v>83.7059</v>
      </c>
      <c r="J203" s="34">
        <v>51.46</v>
      </c>
      <c r="L203" s="872">
        <v>42863</v>
      </c>
      <c r="M203" s="34">
        <v>1.1921437301879105</v>
      </c>
      <c r="N203" s="34">
        <v>1.1508329225596885</v>
      </c>
      <c r="O203" s="34">
        <v>1.2344653151085627</v>
      </c>
      <c r="P203" s="34">
        <v>0.9339720980578583</v>
      </c>
    </row>
    <row r="204" spans="8:16" x14ac:dyDescent="0.25">
      <c r="H204" s="872">
        <v>42879</v>
      </c>
      <c r="I204" s="34">
        <v>84.466499999999996</v>
      </c>
      <c r="J204" s="34">
        <v>53.96</v>
      </c>
      <c r="L204" s="872">
        <v>42860</v>
      </c>
      <c r="M204" s="34">
        <v>1.1920990132461518</v>
      </c>
      <c r="N204" s="34">
        <v>1.1561034644017238</v>
      </c>
      <c r="O204" s="34">
        <v>1.2366377399002668</v>
      </c>
      <c r="P204" s="34">
        <v>0.94138201560678814</v>
      </c>
    </row>
    <row r="205" spans="8:16" x14ac:dyDescent="0.25">
      <c r="H205" s="872">
        <v>42878</v>
      </c>
      <c r="I205" s="34">
        <v>84.704700000000003</v>
      </c>
      <c r="J205" s="34">
        <v>54.15</v>
      </c>
      <c r="L205" s="872">
        <v>42859</v>
      </c>
      <c r="M205" s="34">
        <v>1.1872447407907942</v>
      </c>
      <c r="N205" s="34">
        <v>1.1463365310481679</v>
      </c>
      <c r="O205" s="34">
        <v>1.2299172261422249</v>
      </c>
      <c r="P205" s="34">
        <v>0.94876341597047331</v>
      </c>
    </row>
    <row r="206" spans="8:16" x14ac:dyDescent="0.25">
      <c r="H206" s="872">
        <v>42877</v>
      </c>
      <c r="I206" s="34">
        <v>85.259</v>
      </c>
      <c r="J206" s="34">
        <v>53.87</v>
      </c>
      <c r="L206" s="872">
        <v>42858</v>
      </c>
      <c r="M206" s="34">
        <v>1.1865541124680772</v>
      </c>
      <c r="N206" s="34">
        <v>1.1331822950239512</v>
      </c>
      <c r="O206" s="34">
        <v>1.218253813898851</v>
      </c>
      <c r="P206" s="34">
        <v>0.95118343285021989</v>
      </c>
    </row>
    <row r="207" spans="8:16" x14ac:dyDescent="0.25">
      <c r="H207" s="872">
        <v>42874</v>
      </c>
      <c r="I207" s="34">
        <v>84.715500000000006</v>
      </c>
      <c r="J207" s="34">
        <v>53.61</v>
      </c>
      <c r="L207" s="872">
        <v>42857</v>
      </c>
      <c r="M207" s="34">
        <v>1.1880645513897032</v>
      </c>
      <c r="N207" s="34">
        <v>1.1306418180209556</v>
      </c>
      <c r="O207" s="34">
        <v>1.2163147740444831</v>
      </c>
      <c r="P207" s="34">
        <v>0.9537214623369894</v>
      </c>
    </row>
    <row r="208" spans="8:16" x14ac:dyDescent="0.25">
      <c r="H208" s="872">
        <v>42873</v>
      </c>
      <c r="I208" s="34">
        <v>83.420400000000001</v>
      </c>
      <c r="J208" s="34">
        <v>52.51</v>
      </c>
      <c r="L208" s="872">
        <v>42853</v>
      </c>
      <c r="M208" s="34">
        <v>1.1846014726779484</v>
      </c>
      <c r="N208" s="34">
        <v>1.1247582755090433</v>
      </c>
      <c r="O208" s="34">
        <v>1.2095184101818068</v>
      </c>
      <c r="P208" s="34">
        <v>0.95704219754642994</v>
      </c>
    </row>
    <row r="209" spans="8:16" x14ac:dyDescent="0.25">
      <c r="H209" s="872">
        <v>42872</v>
      </c>
      <c r="I209" s="34">
        <v>83.975200000000001</v>
      </c>
      <c r="J209" s="34">
        <v>52.21</v>
      </c>
      <c r="L209" s="872">
        <v>42852</v>
      </c>
      <c r="M209" s="34">
        <v>1.1868720996094719</v>
      </c>
      <c r="N209" s="34">
        <v>1.125927400497984</v>
      </c>
      <c r="O209" s="34">
        <v>1.2100804789058914</v>
      </c>
      <c r="P209" s="34">
        <v>0.95629255962367021</v>
      </c>
    </row>
    <row r="210" spans="8:16" x14ac:dyDescent="0.25">
      <c r="H210" s="872">
        <v>42871</v>
      </c>
      <c r="I210" s="34">
        <v>83.497299999999996</v>
      </c>
      <c r="J210" s="34">
        <v>51.65</v>
      </c>
      <c r="L210" s="872">
        <v>42851</v>
      </c>
      <c r="M210" s="34">
        <v>1.1862162511303447</v>
      </c>
      <c r="N210" s="34">
        <v>1.130799807884326</v>
      </c>
      <c r="O210" s="34">
        <v>1.212901519335942</v>
      </c>
      <c r="P210" s="34">
        <v>0.95285229493565138</v>
      </c>
    </row>
    <row r="211" spans="8:16" x14ac:dyDescent="0.25">
      <c r="H211" s="872">
        <v>42870</v>
      </c>
      <c r="I211" s="34">
        <v>83.578100000000006</v>
      </c>
      <c r="J211" s="34">
        <v>51.82</v>
      </c>
      <c r="L211" s="872">
        <v>42850</v>
      </c>
      <c r="M211" s="34">
        <v>1.1867926028241234</v>
      </c>
      <c r="N211" s="34">
        <v>1.1322059176683223</v>
      </c>
      <c r="O211" s="34">
        <v>1.2123413954863353</v>
      </c>
      <c r="P211" s="34">
        <v>0.95094710426186302</v>
      </c>
    </row>
    <row r="212" spans="8:16" x14ac:dyDescent="0.25">
      <c r="H212" s="872">
        <v>42867</v>
      </c>
      <c r="I212" s="34">
        <v>83.483900000000006</v>
      </c>
      <c r="J212" s="34">
        <v>50.84</v>
      </c>
      <c r="L212" s="872">
        <v>42849</v>
      </c>
      <c r="M212" s="34">
        <v>1.1796080808482308</v>
      </c>
      <c r="N212" s="34">
        <v>1.1303795548477609</v>
      </c>
      <c r="O212" s="34">
        <v>1.2111686361762211</v>
      </c>
      <c r="P212" s="34">
        <v>0.94941931123109902</v>
      </c>
    </row>
    <row r="213" spans="8:16" x14ac:dyDescent="0.25">
      <c r="H213" s="872">
        <v>42866</v>
      </c>
      <c r="I213" s="34">
        <v>83.125299999999996</v>
      </c>
      <c r="J213" s="34">
        <v>50.77</v>
      </c>
      <c r="L213" s="872">
        <v>42846</v>
      </c>
      <c r="M213" s="34">
        <v>1.166958154879612</v>
      </c>
      <c r="N213" s="34">
        <v>1.0870555745143391</v>
      </c>
      <c r="O213" s="34">
        <v>1.1716478143500617</v>
      </c>
      <c r="P213" s="34">
        <v>0.96265249868183866</v>
      </c>
    </row>
    <row r="214" spans="8:16" x14ac:dyDescent="0.25">
      <c r="H214" s="872">
        <v>42865</v>
      </c>
      <c r="I214" s="34">
        <v>82.764200000000002</v>
      </c>
      <c r="J214" s="34">
        <v>50.22</v>
      </c>
      <c r="L214" s="872">
        <v>42845</v>
      </c>
      <c r="M214" s="34">
        <v>1.170510667474884</v>
      </c>
      <c r="N214" s="34">
        <v>1.0869797393799214</v>
      </c>
      <c r="O214" s="34">
        <v>1.169581385217398</v>
      </c>
      <c r="P214" s="34">
        <v>0.9623336522808591</v>
      </c>
    </row>
    <row r="215" spans="8:16" x14ac:dyDescent="0.25">
      <c r="H215" s="872">
        <v>42864</v>
      </c>
      <c r="I215" s="34">
        <v>82.033100000000005</v>
      </c>
      <c r="J215" s="34">
        <v>48.73</v>
      </c>
      <c r="L215" s="872">
        <v>42844</v>
      </c>
      <c r="M215" s="34">
        <v>1.1617312412429321</v>
      </c>
      <c r="N215" s="34">
        <v>1.0809634853827776</v>
      </c>
      <c r="O215" s="34">
        <v>1.1685243459387131</v>
      </c>
      <c r="P215" s="34">
        <v>0.96190498437925676</v>
      </c>
    </row>
    <row r="216" spans="8:16" x14ac:dyDescent="0.25">
      <c r="H216" s="872">
        <v>42863</v>
      </c>
      <c r="I216" s="34">
        <v>82.270399999999995</v>
      </c>
      <c r="J216" s="34">
        <v>49.34</v>
      </c>
      <c r="L216" s="872">
        <v>42843</v>
      </c>
      <c r="M216" s="34">
        <v>1.1637285979748193</v>
      </c>
      <c r="N216" s="34">
        <v>1.0774213526460141</v>
      </c>
      <c r="O216" s="34">
        <v>1.1669674739192333</v>
      </c>
      <c r="P216" s="34">
        <v>0.96980060420027814</v>
      </c>
    </row>
    <row r="217" spans="8:16" x14ac:dyDescent="0.25">
      <c r="H217" s="872">
        <v>42860</v>
      </c>
      <c r="I217" s="34">
        <v>82.678700000000006</v>
      </c>
      <c r="J217" s="34">
        <v>49.1</v>
      </c>
      <c r="L217" s="872">
        <v>42838</v>
      </c>
      <c r="M217" s="34">
        <v>1.1571502389872108</v>
      </c>
      <c r="N217" s="34">
        <v>1.0895802525309977</v>
      </c>
      <c r="O217" s="34">
        <v>1.177524252584738</v>
      </c>
      <c r="P217" s="34">
        <v>0.99384210823303276</v>
      </c>
    </row>
    <row r="218" spans="8:16" x14ac:dyDescent="0.25">
      <c r="H218" s="872">
        <v>42859</v>
      </c>
      <c r="I218" s="34">
        <v>82.210400000000007</v>
      </c>
      <c r="J218" s="34">
        <v>48.38</v>
      </c>
      <c r="L218" s="872">
        <v>42837</v>
      </c>
      <c r="M218" s="34">
        <v>1.1650899804239165</v>
      </c>
      <c r="N218" s="34">
        <v>1.0959788419974974</v>
      </c>
      <c r="O218" s="34">
        <v>1.1819682907665139</v>
      </c>
      <c r="P218" s="34">
        <v>0.99319592095036258</v>
      </c>
    </row>
    <row r="219" spans="8:16" x14ac:dyDescent="0.25">
      <c r="H219" s="872">
        <v>42858</v>
      </c>
      <c r="I219" s="34">
        <v>83.734899999999996</v>
      </c>
      <c r="J219" s="34">
        <v>50.79</v>
      </c>
      <c r="L219" s="872">
        <v>42836</v>
      </c>
      <c r="M219" s="34">
        <v>1.169487146363519</v>
      </c>
      <c r="N219" s="34">
        <v>1.0964622909794106</v>
      </c>
      <c r="O219" s="34">
        <v>1.1804755996048015</v>
      </c>
      <c r="P219" s="34">
        <v>0.99778779452336563</v>
      </c>
    </row>
    <row r="220" spans="8:16" x14ac:dyDescent="0.25">
      <c r="H220" s="872">
        <v>42857</v>
      </c>
      <c r="I220" s="34">
        <v>83.85</v>
      </c>
      <c r="J220" s="34">
        <v>50.46</v>
      </c>
      <c r="L220" s="872">
        <v>42835</v>
      </c>
      <c r="M220" s="34">
        <v>1.171166515954011</v>
      </c>
      <c r="N220" s="34">
        <v>1.0997484801375144</v>
      </c>
      <c r="O220" s="34">
        <v>1.1864239981951565</v>
      </c>
      <c r="P220" s="34">
        <v>0.99184984913195517</v>
      </c>
    </row>
    <row r="221" spans="8:16" x14ac:dyDescent="0.25">
      <c r="H221" s="872">
        <v>42856</v>
      </c>
      <c r="I221" s="34">
        <v>84.206599999999995</v>
      </c>
      <c r="J221" s="34">
        <v>51.52</v>
      </c>
      <c r="L221" s="872">
        <v>42832</v>
      </c>
      <c r="M221" s="34">
        <v>1.1703616110023549</v>
      </c>
      <c r="N221" s="34">
        <v>1.104601928740252</v>
      </c>
      <c r="O221" s="34">
        <v>1.1888103591794184</v>
      </c>
      <c r="P221" s="34">
        <v>0.99707486489225061</v>
      </c>
    </row>
    <row r="222" spans="8:16" x14ac:dyDescent="0.25">
      <c r="H222" s="872">
        <v>42853</v>
      </c>
      <c r="I222" s="34">
        <v>84.012799999999999</v>
      </c>
      <c r="J222" s="34">
        <v>51.73</v>
      </c>
      <c r="L222" s="872">
        <v>42831</v>
      </c>
      <c r="M222" s="34">
        <v>1.1713304780737928</v>
      </c>
      <c r="N222" s="34">
        <v>1.1026333750426573</v>
      </c>
      <c r="O222" s="34">
        <v>1.1893772900896975</v>
      </c>
      <c r="P222" s="34">
        <v>0.99537263163259682</v>
      </c>
    </row>
    <row r="223" spans="8:16" x14ac:dyDescent="0.25">
      <c r="H223" s="872">
        <v>42852</v>
      </c>
      <c r="I223" s="34">
        <v>83.617000000000004</v>
      </c>
      <c r="J223" s="34">
        <v>51.44</v>
      </c>
      <c r="L223" s="872">
        <v>42830</v>
      </c>
      <c r="M223" s="34">
        <v>1.1690747567895221</v>
      </c>
      <c r="N223" s="34">
        <v>1.0972648794853321</v>
      </c>
      <c r="O223" s="34">
        <v>1.1880790863757653</v>
      </c>
      <c r="P223" s="34">
        <v>0.99212652650368993</v>
      </c>
    </row>
    <row r="224" spans="8:16" x14ac:dyDescent="0.25">
      <c r="H224" s="872">
        <v>42851</v>
      </c>
      <c r="I224" s="34">
        <v>83.890799999999999</v>
      </c>
      <c r="J224" s="34">
        <v>51.82</v>
      </c>
      <c r="L224" s="872">
        <v>42825</v>
      </c>
      <c r="M224" s="34">
        <v>1.1739290292448799</v>
      </c>
      <c r="N224" s="34">
        <v>1.1062229047384318</v>
      </c>
      <c r="O224" s="34">
        <v>1.1973493305742047</v>
      </c>
      <c r="P224" s="34">
        <v>0.97762796480129899</v>
      </c>
    </row>
    <row r="225" spans="8:16" x14ac:dyDescent="0.25">
      <c r="H225" s="872">
        <v>42850</v>
      </c>
      <c r="I225" s="34">
        <v>84.028099999999995</v>
      </c>
      <c r="J225" s="34">
        <v>52.1</v>
      </c>
      <c r="L225" s="872">
        <v>42824</v>
      </c>
      <c r="M225" s="34">
        <v>1.176582234455894</v>
      </c>
      <c r="N225" s="34">
        <v>1.1001086970259988</v>
      </c>
      <c r="O225" s="34">
        <v>1.1918608947978497</v>
      </c>
      <c r="P225" s="34">
        <v>0.97390343838376736</v>
      </c>
    </row>
    <row r="226" spans="8:16" x14ac:dyDescent="0.25">
      <c r="H226" s="872">
        <v>42849</v>
      </c>
      <c r="I226" s="34">
        <v>83.717299999999994</v>
      </c>
      <c r="J226" s="34">
        <v>51.6</v>
      </c>
      <c r="L226" s="872">
        <v>42823</v>
      </c>
      <c r="M226" s="34">
        <v>1.1731390299404767</v>
      </c>
      <c r="N226" s="34">
        <v>1.0981148649502648</v>
      </c>
      <c r="O226" s="34">
        <v>1.1866651626304037</v>
      </c>
      <c r="P226" s="34">
        <v>0.98333140185021928</v>
      </c>
    </row>
    <row r="227" spans="8:16" x14ac:dyDescent="0.25">
      <c r="H227" s="872">
        <v>42846</v>
      </c>
      <c r="I227" s="34">
        <v>83.904399999999995</v>
      </c>
      <c r="J227" s="34">
        <v>51.96</v>
      </c>
      <c r="L227" s="872">
        <v>42822</v>
      </c>
      <c r="M227" s="34">
        <v>1.171867081374897</v>
      </c>
      <c r="N227" s="34">
        <v>1.0948918717375093</v>
      </c>
      <c r="O227" s="34">
        <v>1.1814548439043744</v>
      </c>
      <c r="P227" s="34">
        <v>0.98686085858570538</v>
      </c>
    </row>
    <row r="228" spans="8:16" x14ac:dyDescent="0.25">
      <c r="H228" s="872">
        <v>42845</v>
      </c>
      <c r="I228" s="34">
        <v>84.445099999999996</v>
      </c>
      <c r="J228" s="34">
        <v>52.99</v>
      </c>
      <c r="L228" s="872">
        <v>42821</v>
      </c>
      <c r="M228" s="34">
        <v>1.1634304850297617</v>
      </c>
      <c r="N228" s="34">
        <v>1.0860665579696405</v>
      </c>
      <c r="O228" s="34">
        <v>1.1665425188458336</v>
      </c>
      <c r="P228" s="34">
        <v>0.9911102225614622</v>
      </c>
    </row>
    <row r="229" spans="8:16" x14ac:dyDescent="0.25">
      <c r="H229" s="872">
        <v>42844</v>
      </c>
      <c r="I229" s="34">
        <v>84.635000000000005</v>
      </c>
      <c r="J229" s="34">
        <v>52.93</v>
      </c>
      <c r="L229" s="872">
        <v>42818</v>
      </c>
      <c r="M229" s="34">
        <v>1.1646179682609084</v>
      </c>
      <c r="N229" s="34">
        <v>1.0882815758540931</v>
      </c>
      <c r="O229" s="34">
        <v>1.1731745408151357</v>
      </c>
      <c r="P229" s="34">
        <v>0.99186562459613303</v>
      </c>
    </row>
    <row r="230" spans="8:16" x14ac:dyDescent="0.25">
      <c r="H230" s="872">
        <v>42843</v>
      </c>
      <c r="I230" s="34">
        <v>85.353499999999997</v>
      </c>
      <c r="J230" s="34">
        <v>54.89</v>
      </c>
      <c r="L230" s="872">
        <v>42817</v>
      </c>
      <c r="M230" s="34">
        <v>1.1656017409795991</v>
      </c>
      <c r="N230" s="34">
        <v>1.090818893059821</v>
      </c>
      <c r="O230" s="34">
        <v>1.1707833176446791</v>
      </c>
      <c r="P230" s="34">
        <v>0.98552661836543143</v>
      </c>
    </row>
    <row r="231" spans="8:16" x14ac:dyDescent="0.25">
      <c r="H231" s="872">
        <v>42842</v>
      </c>
      <c r="I231" s="34">
        <v>86.049499999999995</v>
      </c>
      <c r="J231" s="34">
        <v>55.36</v>
      </c>
      <c r="L231" s="872">
        <v>42816</v>
      </c>
      <c r="M231" s="34">
        <v>1.1668389097015888</v>
      </c>
      <c r="N231" s="34">
        <v>1.0808718512620228</v>
      </c>
      <c r="O231" s="34">
        <v>1.1576009584341427</v>
      </c>
      <c r="P231" s="34">
        <v>0.98451638190942581</v>
      </c>
    </row>
    <row r="232" spans="8:16" x14ac:dyDescent="0.25">
      <c r="H232" s="872">
        <v>42838</v>
      </c>
      <c r="I232" s="34">
        <v>86.2988</v>
      </c>
      <c r="J232" s="34">
        <v>55.89</v>
      </c>
      <c r="L232" s="872">
        <v>42815</v>
      </c>
      <c r="M232" s="34">
        <v>1.1646378424572457</v>
      </c>
      <c r="N232" s="34">
        <v>1.0836903904245503</v>
      </c>
      <c r="O232" s="34">
        <v>1.1632420668570049</v>
      </c>
      <c r="P232" s="34">
        <v>0.9894889902428754</v>
      </c>
    </row>
    <row r="233" spans="8:16" x14ac:dyDescent="0.25">
      <c r="H233" s="872">
        <v>42837</v>
      </c>
      <c r="I233" s="34">
        <v>85.882300000000001</v>
      </c>
      <c r="J233" s="34">
        <v>55.86</v>
      </c>
      <c r="L233" s="872">
        <v>42814</v>
      </c>
      <c r="M233" s="34">
        <v>1.1792702195104985</v>
      </c>
      <c r="N233" s="34">
        <v>1.0861739910767325</v>
      </c>
      <c r="O233" s="34">
        <v>1.1720688796745058</v>
      </c>
      <c r="P233" s="34">
        <v>0.98621163755992403</v>
      </c>
    </row>
    <row r="234" spans="8:16" x14ac:dyDescent="0.25">
      <c r="H234" s="872">
        <v>42836</v>
      </c>
      <c r="I234" s="34">
        <v>86.001400000000004</v>
      </c>
      <c r="J234" s="34">
        <v>56.23</v>
      </c>
      <c r="L234" s="872">
        <v>42811</v>
      </c>
      <c r="M234" s="34">
        <v>1.1816451859727921</v>
      </c>
      <c r="N234" s="34">
        <v>1.0896276494900086</v>
      </c>
      <c r="O234" s="34">
        <v>1.1761861789440109</v>
      </c>
      <c r="P234" s="34">
        <v>0.9821582533891462</v>
      </c>
    </row>
    <row r="235" spans="8:16" x14ac:dyDescent="0.25">
      <c r="H235" s="872">
        <v>42835</v>
      </c>
      <c r="I235" s="34">
        <v>85.903199999999998</v>
      </c>
      <c r="J235" s="34">
        <v>55.98</v>
      </c>
      <c r="L235" s="872">
        <v>42810</v>
      </c>
      <c r="M235" s="34">
        <v>1.1832003418361769</v>
      </c>
      <c r="N235" s="34">
        <v>1.0869576207990495</v>
      </c>
      <c r="O235" s="34">
        <v>1.1750134196338968</v>
      </c>
      <c r="P235" s="34">
        <v>0.99171090369746551</v>
      </c>
    </row>
    <row r="236" spans="8:16" x14ac:dyDescent="0.25">
      <c r="H236" s="872">
        <v>42832</v>
      </c>
      <c r="I236" s="34">
        <v>85.835400000000007</v>
      </c>
      <c r="J236" s="34">
        <v>55.24</v>
      </c>
      <c r="L236" s="872">
        <v>42809</v>
      </c>
      <c r="M236" s="34">
        <v>1.1851281388808841</v>
      </c>
      <c r="N236" s="34">
        <v>1.0772760019717136</v>
      </c>
      <c r="O236" s="34">
        <v>1.1678844822355166</v>
      </c>
      <c r="P236" s="34">
        <v>0.98346670679297565</v>
      </c>
    </row>
    <row r="237" spans="8:16" x14ac:dyDescent="0.25">
      <c r="H237" s="872">
        <v>42831</v>
      </c>
      <c r="I237" s="34">
        <v>85.749099999999999</v>
      </c>
      <c r="J237" s="34">
        <v>54.89</v>
      </c>
      <c r="L237" s="872">
        <v>42808</v>
      </c>
      <c r="M237" s="34">
        <v>1.1752854431448927</v>
      </c>
      <c r="N237" s="34">
        <v>1.0741509624742476</v>
      </c>
      <c r="O237" s="34">
        <v>1.1658345845359142</v>
      </c>
      <c r="P237" s="34">
        <v>0.98272890046834926</v>
      </c>
    </row>
    <row r="238" spans="8:16" x14ac:dyDescent="0.25">
      <c r="H238" s="872">
        <v>42830</v>
      </c>
      <c r="I238" s="34">
        <v>85.622299999999996</v>
      </c>
      <c r="J238" s="34">
        <v>54.36</v>
      </c>
      <c r="L238" s="872">
        <v>42807</v>
      </c>
      <c r="M238" s="34">
        <v>1.1792702195104985</v>
      </c>
      <c r="N238" s="34">
        <v>1.0792255968857036</v>
      </c>
      <c r="O238" s="34">
        <v>1.1659551667535377</v>
      </c>
      <c r="P238" s="34">
        <v>0.9820299260555454</v>
      </c>
    </row>
    <row r="239" spans="8:16" x14ac:dyDescent="0.25">
      <c r="H239" s="872">
        <v>42829</v>
      </c>
      <c r="I239" s="34">
        <v>85.293400000000005</v>
      </c>
      <c r="J239" s="34">
        <v>54.17</v>
      </c>
      <c r="L239" s="872">
        <v>42804</v>
      </c>
      <c r="M239" s="34">
        <v>1.1788379557401647</v>
      </c>
      <c r="N239" s="34">
        <v>1.0794720610725614</v>
      </c>
      <c r="O239" s="34">
        <v>1.1633441727670897</v>
      </c>
      <c r="P239" s="34">
        <v>0.97466885177070495</v>
      </c>
    </row>
    <row r="240" spans="8:16" x14ac:dyDescent="0.25">
      <c r="H240" s="872">
        <v>42828</v>
      </c>
      <c r="I240" s="34">
        <v>84.740499999999997</v>
      </c>
      <c r="J240" s="34">
        <v>53.12</v>
      </c>
      <c r="L240" s="872">
        <v>42803</v>
      </c>
      <c r="M240" s="34">
        <v>1.1749972672980036</v>
      </c>
      <c r="N240" s="34">
        <v>1.0774561104159557</v>
      </c>
      <c r="O240" s="34">
        <v>1.1648232498074573</v>
      </c>
      <c r="P240" s="34">
        <v>0.9758781017748005</v>
      </c>
    </row>
    <row r="241" spans="8:16" x14ac:dyDescent="0.25">
      <c r="H241" s="872">
        <v>42825</v>
      </c>
      <c r="I241" s="34">
        <v>85.350800000000007</v>
      </c>
      <c r="J241" s="34">
        <v>52.83</v>
      </c>
      <c r="L241" s="872">
        <v>42802</v>
      </c>
      <c r="M241" s="34">
        <v>1.1740582115210716</v>
      </c>
      <c r="N241" s="34">
        <v>1.0710512013549209</v>
      </c>
      <c r="O241" s="34">
        <v>1.1637457893467555</v>
      </c>
      <c r="P241" s="34">
        <v>0.98313451192230705</v>
      </c>
    </row>
    <row r="242" spans="8:16" x14ac:dyDescent="0.25">
      <c r="H242" s="872">
        <v>42824</v>
      </c>
      <c r="I242" s="34">
        <v>85.348799999999997</v>
      </c>
      <c r="J242" s="34">
        <v>52.96</v>
      </c>
      <c r="L242" s="872">
        <v>42801</v>
      </c>
      <c r="M242" s="34">
        <v>1.1767461965756758</v>
      </c>
      <c r="N242" s="34">
        <v>1.0696292925845876</v>
      </c>
      <c r="O242" s="34">
        <v>1.163632014189804</v>
      </c>
      <c r="P242" s="34">
        <v>0.98366268659795442</v>
      </c>
    </row>
    <row r="243" spans="8:16" x14ac:dyDescent="0.25">
      <c r="H243" s="872">
        <v>42823</v>
      </c>
      <c r="I243" s="34">
        <v>85.402299999999997</v>
      </c>
      <c r="J243" s="34">
        <v>52.42</v>
      </c>
      <c r="L243" s="872">
        <v>42800</v>
      </c>
      <c r="M243" s="34">
        <v>1.180184432542009</v>
      </c>
      <c r="N243" s="34">
        <v>1.070368685145161</v>
      </c>
      <c r="O243" s="34">
        <v>1.1628793477668951</v>
      </c>
      <c r="P243" s="34">
        <v>0.98107156660674011</v>
      </c>
    </row>
    <row r="244" spans="8:16" x14ac:dyDescent="0.25">
      <c r="H244" s="872">
        <v>42822</v>
      </c>
      <c r="I244" s="34">
        <v>84.905900000000003</v>
      </c>
      <c r="J244" s="34">
        <v>51.33</v>
      </c>
      <c r="L244" s="872">
        <v>42797</v>
      </c>
      <c r="M244" s="34">
        <v>1.1840648693768445</v>
      </c>
      <c r="N244" s="34">
        <v>1.0754022421921408</v>
      </c>
      <c r="O244" s="34">
        <v>1.1695852749663536</v>
      </c>
      <c r="P244" s="34">
        <v>0.97635318594600307</v>
      </c>
    </row>
    <row r="245" spans="8:16" x14ac:dyDescent="0.25">
      <c r="H245" s="872">
        <v>42821</v>
      </c>
      <c r="I245" s="34">
        <v>84.332300000000004</v>
      </c>
      <c r="J245" s="34">
        <v>50.75</v>
      </c>
      <c r="L245" s="872">
        <v>42796</v>
      </c>
      <c r="M245" s="34">
        <v>1.183468643486729</v>
      </c>
      <c r="N245" s="34">
        <v>1.069499740896624</v>
      </c>
      <c r="O245" s="34">
        <v>1.1727174953128525</v>
      </c>
      <c r="P245" s="34">
        <v>0.97990751937500042</v>
      </c>
    </row>
    <row r="246" spans="8:16" x14ac:dyDescent="0.25">
      <c r="H246" s="872">
        <v>42818</v>
      </c>
      <c r="I246" s="34">
        <v>84.525800000000004</v>
      </c>
      <c r="J246" s="34">
        <v>50.8</v>
      </c>
      <c r="L246" s="872">
        <v>42795</v>
      </c>
      <c r="M246" s="34">
        <v>1.190444486401081</v>
      </c>
      <c r="N246" s="34">
        <v>1.0712344695964306</v>
      </c>
      <c r="O246" s="34">
        <v>1.1734584924888947</v>
      </c>
      <c r="P246" s="34">
        <v>0.98503606210436201</v>
      </c>
    </row>
    <row r="247" spans="8:16" x14ac:dyDescent="0.25">
      <c r="H247" s="872">
        <v>42817</v>
      </c>
      <c r="I247" s="34">
        <v>84.589299999999994</v>
      </c>
      <c r="J247" s="34">
        <v>50.56</v>
      </c>
      <c r="L247" s="872">
        <v>42794</v>
      </c>
      <c r="M247" s="34">
        <v>1.1743861357606351</v>
      </c>
      <c r="N247" s="34">
        <v>1.0489294606858024</v>
      </c>
      <c r="O247" s="34">
        <v>1.1508220984417665</v>
      </c>
      <c r="P247" s="34">
        <v>0.98345851568657561</v>
      </c>
    </row>
    <row r="248" spans="8:16" x14ac:dyDescent="0.25">
      <c r="H248" s="872">
        <v>42816</v>
      </c>
      <c r="I248" s="34">
        <v>84.660399999999996</v>
      </c>
      <c r="J248" s="34">
        <v>50.64</v>
      </c>
      <c r="L248" s="872">
        <v>42793</v>
      </c>
      <c r="M248" s="34">
        <v>1.1774219192511401</v>
      </c>
      <c r="N248" s="34">
        <v>1.0456717097031054</v>
      </c>
      <c r="O248" s="34">
        <v>1.1496804571232973</v>
      </c>
      <c r="P248" s="34">
        <v>0.97949250331739812</v>
      </c>
    </row>
    <row r="249" spans="8:16" x14ac:dyDescent="0.25">
      <c r="H249" s="872">
        <v>42815</v>
      </c>
      <c r="I249" s="34">
        <v>84.924099999999996</v>
      </c>
      <c r="J249" s="34">
        <v>50.96</v>
      </c>
      <c r="L249" s="872">
        <v>42790</v>
      </c>
      <c r="M249" s="34">
        <v>1.1762244989218249</v>
      </c>
      <c r="N249" s="34">
        <v>1.0440254553267863</v>
      </c>
      <c r="O249" s="34">
        <v>1.1478678341099866</v>
      </c>
      <c r="P249" s="34">
        <v>0.98700799512659509</v>
      </c>
    </row>
    <row r="250" spans="8:16" x14ac:dyDescent="0.25">
      <c r="H250" s="872">
        <v>42814</v>
      </c>
      <c r="I250" s="34">
        <v>85.107299999999995</v>
      </c>
      <c r="J250" s="34">
        <v>51.62</v>
      </c>
      <c r="L250" s="872">
        <v>42789</v>
      </c>
      <c r="M250" s="34">
        <v>1.1744706010950681</v>
      </c>
      <c r="N250" s="34">
        <v>1.0534637697645319</v>
      </c>
      <c r="O250" s="34">
        <v>1.1618514816053771</v>
      </c>
      <c r="P250" s="34">
        <v>0.986383650794325</v>
      </c>
    </row>
    <row r="251" spans="8:16" x14ac:dyDescent="0.25">
      <c r="H251" s="872">
        <v>42811</v>
      </c>
      <c r="I251" s="34">
        <v>85.144900000000007</v>
      </c>
      <c r="J251" s="34">
        <v>51.76</v>
      </c>
      <c r="L251" s="872">
        <v>42788</v>
      </c>
      <c r="M251" s="34">
        <v>1.173978714735723</v>
      </c>
      <c r="N251" s="34">
        <v>1.055141622113525</v>
      </c>
      <c r="O251" s="34">
        <v>1.1667875730300366</v>
      </c>
      <c r="P251" s="34">
        <v>0.98937006751291923</v>
      </c>
    </row>
    <row r="252" spans="8:16" x14ac:dyDescent="0.25">
      <c r="H252" s="872">
        <v>42810</v>
      </c>
      <c r="I252" s="34">
        <v>84.873099999999994</v>
      </c>
      <c r="J252" s="34">
        <v>51.74</v>
      </c>
      <c r="L252" s="872">
        <v>42787</v>
      </c>
      <c r="M252" s="34">
        <v>1.1752506633013027</v>
      </c>
      <c r="N252" s="34">
        <v>1.0551605808971296</v>
      </c>
      <c r="O252" s="34">
        <v>1.1637632932170556</v>
      </c>
      <c r="P252" s="34">
        <v>0.98697553407530603</v>
      </c>
    </row>
    <row r="253" spans="8:16" x14ac:dyDescent="0.25">
      <c r="H253" s="872">
        <v>42809</v>
      </c>
      <c r="I253" s="34">
        <v>84.5137</v>
      </c>
      <c r="J253" s="34">
        <v>51.81</v>
      </c>
      <c r="L253" s="872">
        <v>42783</v>
      </c>
      <c r="M253" s="34">
        <v>1.1681853865034331</v>
      </c>
      <c r="N253" s="34">
        <v>1.0455168796370025</v>
      </c>
      <c r="O253" s="34">
        <v>1.1432964066499147</v>
      </c>
      <c r="P253" s="34">
        <v>0.97142729725646471</v>
      </c>
    </row>
    <row r="254" spans="8:16" x14ac:dyDescent="0.25">
      <c r="H254" s="872">
        <v>42808</v>
      </c>
      <c r="I254" s="34">
        <v>83.902600000000007</v>
      </c>
      <c r="J254" s="34">
        <v>50.92</v>
      </c>
      <c r="L254" s="872">
        <v>42782</v>
      </c>
      <c r="M254" s="34">
        <v>1.1662277781642203</v>
      </c>
      <c r="N254" s="34">
        <v>1.0462215144276343</v>
      </c>
      <c r="O254" s="34">
        <v>1.1433178002691706</v>
      </c>
      <c r="P254" s="34">
        <v>0.97978343928175538</v>
      </c>
    </row>
    <row r="255" spans="8:16" x14ac:dyDescent="0.25">
      <c r="H255" s="872">
        <v>42807</v>
      </c>
      <c r="I255" s="34">
        <v>84.369100000000003</v>
      </c>
      <c r="J255" s="34">
        <v>51.35</v>
      </c>
      <c r="L255" s="872">
        <v>42781</v>
      </c>
      <c r="M255" s="34">
        <v>1.1672363936283325</v>
      </c>
      <c r="N255" s="34">
        <v>1.0502249775654393</v>
      </c>
      <c r="O255" s="34">
        <v>1.1468856724986969</v>
      </c>
      <c r="P255" s="34">
        <v>0.97473741436501637</v>
      </c>
    </row>
    <row r="256" spans="8:16" x14ac:dyDescent="0.25">
      <c r="H256" s="872">
        <v>42804</v>
      </c>
      <c r="I256" s="34">
        <v>84.267499999999998</v>
      </c>
      <c r="J256" s="34">
        <v>51.37</v>
      </c>
      <c r="L256" s="872">
        <v>42780</v>
      </c>
      <c r="M256" s="34">
        <v>1.1614380968469586</v>
      </c>
      <c r="N256" s="34">
        <v>1.0455421580151416</v>
      </c>
      <c r="O256" s="34">
        <v>1.1447346413262487</v>
      </c>
      <c r="P256" s="34">
        <v>0.97623669021053572</v>
      </c>
    </row>
    <row r="257" spans="8:16" x14ac:dyDescent="0.25">
      <c r="H257" s="872">
        <v>42803</v>
      </c>
      <c r="I257" s="34">
        <v>84.578500000000005</v>
      </c>
      <c r="J257" s="34">
        <v>52.19</v>
      </c>
      <c r="L257" s="872">
        <v>42779</v>
      </c>
      <c r="M257" s="34">
        <v>1.1568024405513102</v>
      </c>
      <c r="N257" s="34">
        <v>1.0443856722152707</v>
      </c>
      <c r="O257" s="34">
        <v>1.1449894198828408</v>
      </c>
      <c r="P257" s="34">
        <v>0.97590631558573393</v>
      </c>
    </row>
    <row r="258" spans="8:16" x14ac:dyDescent="0.25">
      <c r="H258" s="872">
        <v>42802</v>
      </c>
      <c r="I258" s="34">
        <v>85.290499999999994</v>
      </c>
      <c r="J258" s="34">
        <v>53.11</v>
      </c>
      <c r="L258" s="872">
        <v>42776</v>
      </c>
      <c r="M258" s="34">
        <v>1.1507656534138899</v>
      </c>
      <c r="N258" s="34">
        <v>1.0335159696153893</v>
      </c>
      <c r="O258" s="34">
        <v>1.1345396093136149</v>
      </c>
      <c r="P258" s="34">
        <v>0.9697963569599225</v>
      </c>
    </row>
    <row r="259" spans="8:16" x14ac:dyDescent="0.25">
      <c r="H259" s="872">
        <v>42801</v>
      </c>
      <c r="I259" s="34">
        <v>86.351500000000001</v>
      </c>
      <c r="J259" s="34">
        <v>55.92</v>
      </c>
      <c r="L259" s="872">
        <v>42775</v>
      </c>
      <c r="M259" s="34">
        <v>1.1466765375175141</v>
      </c>
      <c r="N259" s="34">
        <v>1.035715188513505</v>
      </c>
      <c r="O259" s="34">
        <v>1.1321950631306255</v>
      </c>
      <c r="P259" s="34">
        <v>0.96569473627367763</v>
      </c>
    </row>
    <row r="260" spans="8:16" x14ac:dyDescent="0.25">
      <c r="H260" s="872">
        <v>42800</v>
      </c>
      <c r="I260" s="34">
        <v>87.110900000000001</v>
      </c>
      <c r="J260" s="34">
        <v>56.01</v>
      </c>
      <c r="L260" s="872">
        <v>42774</v>
      </c>
      <c r="M260" s="34">
        <v>1.1401180527262429</v>
      </c>
      <c r="N260" s="34">
        <v>1.0231549943755607</v>
      </c>
      <c r="O260" s="34">
        <v>1.1225212574780423</v>
      </c>
      <c r="P260" s="34">
        <v>0.96078098255658395</v>
      </c>
    </row>
    <row r="261" spans="8:16" x14ac:dyDescent="0.25">
      <c r="H261" s="872">
        <v>42797</v>
      </c>
      <c r="I261" s="34">
        <v>87.189899999999994</v>
      </c>
      <c r="J261" s="34">
        <v>55.9</v>
      </c>
      <c r="L261" s="872">
        <v>42773</v>
      </c>
      <c r="M261" s="34">
        <v>1.1393280534218397</v>
      </c>
      <c r="N261" s="34">
        <v>1.0224187616122549</v>
      </c>
      <c r="O261" s="34">
        <v>1.1231105544448161</v>
      </c>
      <c r="P261" s="34">
        <v>0.95656589987798302</v>
      </c>
    </row>
    <row r="262" spans="8:16" x14ac:dyDescent="0.25">
      <c r="H262" s="872">
        <v>42796</v>
      </c>
      <c r="I262" s="34">
        <v>86.986500000000007</v>
      </c>
      <c r="J262" s="34">
        <v>55.08</v>
      </c>
      <c r="L262" s="872">
        <v>42772</v>
      </c>
      <c r="M262" s="34">
        <v>1.1390696888694563</v>
      </c>
      <c r="N262" s="34">
        <v>1.0232403089017807</v>
      </c>
      <c r="O262" s="34">
        <v>1.1192597029787696</v>
      </c>
      <c r="P262" s="34">
        <v>0.95774784619407827</v>
      </c>
    </row>
    <row r="263" spans="8:16" x14ac:dyDescent="0.25">
      <c r="H263" s="872">
        <v>42795</v>
      </c>
      <c r="I263" s="34">
        <v>88.323999999999998</v>
      </c>
      <c r="J263" s="34">
        <v>56.36</v>
      </c>
      <c r="L263" s="872">
        <v>42769</v>
      </c>
      <c r="M263" s="34">
        <v>1.1414844037244243</v>
      </c>
      <c r="N263" s="34">
        <v>1.0342364033923583</v>
      </c>
      <c r="O263" s="34">
        <v>1.1330342764677968</v>
      </c>
      <c r="P263" s="34">
        <v>0.95264691052702799</v>
      </c>
    </row>
    <row r="264" spans="8:16" x14ac:dyDescent="0.25">
      <c r="H264" s="872">
        <v>42794</v>
      </c>
      <c r="I264" s="34">
        <v>87.738799999999998</v>
      </c>
      <c r="J264" s="34">
        <v>55.59</v>
      </c>
      <c r="L264" s="872">
        <v>42761</v>
      </c>
      <c r="M264" s="34">
        <v>1.1411167310921864</v>
      </c>
      <c r="N264" s="34">
        <v>1.0487777904169668</v>
      </c>
      <c r="O264" s="34">
        <v>1.1522049041954832</v>
      </c>
      <c r="P264" s="34">
        <v>0.95840980894092642</v>
      </c>
    </row>
    <row r="265" spans="8:16" x14ac:dyDescent="0.25">
      <c r="H265" s="872">
        <v>42793</v>
      </c>
      <c r="I265" s="34">
        <v>87.099500000000006</v>
      </c>
      <c r="J265" s="34">
        <v>55.93</v>
      </c>
      <c r="L265" s="872">
        <v>42760</v>
      </c>
      <c r="M265" s="34">
        <v>1.1419564158874325</v>
      </c>
      <c r="N265" s="34">
        <v>1.0509959680986867</v>
      </c>
      <c r="O265" s="34">
        <v>1.1480642664322442</v>
      </c>
      <c r="P265" s="34">
        <v>0.95549377506251032</v>
      </c>
    </row>
    <row r="266" spans="8:16" x14ac:dyDescent="0.25">
      <c r="H266" s="872">
        <v>42790</v>
      </c>
      <c r="I266" s="34">
        <v>87.483599999999996</v>
      </c>
      <c r="J266" s="34">
        <v>55.99</v>
      </c>
      <c r="L266" s="872">
        <v>42759</v>
      </c>
      <c r="M266" s="34">
        <v>1.1328639710631703</v>
      </c>
      <c r="N266" s="34">
        <v>1.0368969526915153</v>
      </c>
      <c r="O266" s="34">
        <v>1.1275351438818138</v>
      </c>
      <c r="P266" s="34">
        <v>0.95336985151040965</v>
      </c>
    </row>
    <row r="267" spans="8:16" x14ac:dyDescent="0.25">
      <c r="H267" s="872">
        <v>42789</v>
      </c>
      <c r="I267" s="34">
        <v>87.372299999999996</v>
      </c>
      <c r="J267" s="34">
        <v>56.58</v>
      </c>
      <c r="L267" s="872">
        <v>42758</v>
      </c>
      <c r="M267" s="34">
        <v>1.1254757385748213</v>
      </c>
      <c r="N267" s="34">
        <v>1.0342142848114864</v>
      </c>
      <c r="O267" s="34">
        <v>1.1227517251036618</v>
      </c>
      <c r="P267" s="34">
        <v>0.9516169547408001</v>
      </c>
    </row>
    <row r="268" spans="8:16" x14ac:dyDescent="0.25">
      <c r="H268" s="872">
        <v>42788</v>
      </c>
      <c r="I268" s="34">
        <v>87.551900000000003</v>
      </c>
      <c r="J268" s="34">
        <v>55.84</v>
      </c>
      <c r="L268" s="872">
        <v>42755</v>
      </c>
      <c r="M268" s="34">
        <v>1.1285115220653263</v>
      </c>
      <c r="N268" s="34">
        <v>1.0425561495974418</v>
      </c>
      <c r="O268" s="34">
        <v>1.1309571505255049</v>
      </c>
      <c r="P268" s="34">
        <v>0.94748014263446623</v>
      </c>
    </row>
    <row r="269" spans="8:16" x14ac:dyDescent="0.25">
      <c r="H269" s="872">
        <v>42787</v>
      </c>
      <c r="I269" s="34">
        <v>87.864599999999996</v>
      </c>
      <c r="J269" s="34">
        <v>56.66</v>
      </c>
      <c r="L269" s="872">
        <v>42754</v>
      </c>
      <c r="M269" s="34">
        <v>1.1247254876630925</v>
      </c>
      <c r="N269" s="34">
        <v>1.0396775742868336</v>
      </c>
      <c r="O269" s="34">
        <v>1.1277247691433994</v>
      </c>
      <c r="P269" s="34">
        <v>0.94085444767976301</v>
      </c>
    </row>
    <row r="270" spans="8:16" x14ac:dyDescent="0.25">
      <c r="H270" s="872">
        <v>42783</v>
      </c>
      <c r="I270" s="34">
        <v>88.110399999999998</v>
      </c>
      <c r="J270" s="34">
        <v>55.81</v>
      </c>
      <c r="L270" s="872">
        <v>42753</v>
      </c>
      <c r="M270" s="34">
        <v>1.1287996979122155</v>
      </c>
      <c r="N270" s="34">
        <v>1.0408372198839722</v>
      </c>
      <c r="O270" s="34">
        <v>1.1279678784531246</v>
      </c>
      <c r="P270" s="34">
        <v>0.94440787098582701</v>
      </c>
    </row>
    <row r="271" spans="8:16" x14ac:dyDescent="0.25">
      <c r="H271" s="872">
        <v>42782</v>
      </c>
      <c r="I271" s="34">
        <v>88.480599999999995</v>
      </c>
      <c r="J271" s="34">
        <v>55.65</v>
      </c>
      <c r="L271" s="872">
        <v>42752</v>
      </c>
      <c r="M271" s="34">
        <v>1.1268122782784971</v>
      </c>
      <c r="N271" s="34">
        <v>1.0380060415323753</v>
      </c>
      <c r="O271" s="34">
        <v>1.1221925736912939</v>
      </c>
      <c r="P271" s="34">
        <v>0.94312247402964222</v>
      </c>
    </row>
    <row r="272" spans="8:16" x14ac:dyDescent="0.25">
      <c r="H272" s="872">
        <v>42781</v>
      </c>
      <c r="I272" s="34">
        <v>89.013800000000003</v>
      </c>
      <c r="J272" s="34">
        <v>55.75</v>
      </c>
      <c r="L272" s="872">
        <v>42748</v>
      </c>
      <c r="M272" s="34">
        <v>1.1301660489103971</v>
      </c>
      <c r="N272" s="34">
        <v>1.050424044793286</v>
      </c>
      <c r="O272" s="34">
        <v>1.1308647689878095</v>
      </c>
      <c r="P272" s="34">
        <v>0.94433263415667112</v>
      </c>
    </row>
    <row r="273" spans="8:16" x14ac:dyDescent="0.25">
      <c r="H273" s="872">
        <v>42780</v>
      </c>
      <c r="I273" s="34">
        <v>88.625900000000001</v>
      </c>
      <c r="J273" s="34">
        <v>55.97</v>
      </c>
      <c r="L273" s="872">
        <v>42747</v>
      </c>
      <c r="M273" s="34">
        <v>1.1280792582949928</v>
      </c>
      <c r="N273" s="34">
        <v>1.0385305678787649</v>
      </c>
      <c r="O273" s="34">
        <v>1.1203488326863384</v>
      </c>
      <c r="P273" s="34">
        <v>0.94631215153668202</v>
      </c>
    </row>
    <row r="274" spans="8:16" x14ac:dyDescent="0.25">
      <c r="H274" s="872">
        <v>42779</v>
      </c>
      <c r="I274" s="34">
        <v>88.637600000000006</v>
      </c>
      <c r="J274" s="34">
        <v>55.59</v>
      </c>
      <c r="L274" s="872">
        <v>42746</v>
      </c>
      <c r="M274" s="34">
        <v>1.1305039102481294</v>
      </c>
      <c r="N274" s="34">
        <v>1.0452419772747379</v>
      </c>
      <c r="O274" s="34">
        <v>1.1325169398567017</v>
      </c>
      <c r="P274" s="34">
        <v>0.95161058388026665</v>
      </c>
    </row>
    <row r="275" spans="8:16" x14ac:dyDescent="0.25">
      <c r="H275" s="872">
        <v>42776</v>
      </c>
      <c r="I275" s="34">
        <v>89.357399999999998</v>
      </c>
      <c r="J275" s="34">
        <v>56.7</v>
      </c>
      <c r="L275" s="872">
        <v>42745</v>
      </c>
      <c r="M275" s="34">
        <v>1.1273141017360111</v>
      </c>
      <c r="N275" s="34">
        <v>1.0446953323474766</v>
      </c>
      <c r="O275" s="34">
        <v>1.1264032269357334</v>
      </c>
      <c r="P275" s="34">
        <v>0.9591697615902639</v>
      </c>
    </row>
    <row r="276" spans="8:16" x14ac:dyDescent="0.25">
      <c r="H276" s="872">
        <v>42775</v>
      </c>
      <c r="I276" s="34">
        <v>88.527299999999997</v>
      </c>
      <c r="J276" s="34">
        <v>55.63</v>
      </c>
      <c r="L276" s="872">
        <v>42744</v>
      </c>
      <c r="M276" s="34">
        <v>1.1273141017360111</v>
      </c>
      <c r="N276" s="34">
        <v>1.045567436393281</v>
      </c>
      <c r="O276" s="34">
        <v>1.1245254506274165</v>
      </c>
      <c r="P276" s="34">
        <v>0.96207153687605762</v>
      </c>
    </row>
    <row r="277" spans="8:16" x14ac:dyDescent="0.25">
      <c r="H277" s="872">
        <v>42774</v>
      </c>
      <c r="I277" s="34">
        <v>88.4178</v>
      </c>
      <c r="J277" s="34">
        <v>55.12</v>
      </c>
      <c r="L277" s="872">
        <v>42741</v>
      </c>
      <c r="M277" s="34">
        <v>1.1313286893961225</v>
      </c>
      <c r="N277" s="34">
        <v>1.0494223890595178</v>
      </c>
      <c r="O277" s="34">
        <v>1.1279309258380463</v>
      </c>
      <c r="P277" s="34">
        <v>0.95693996040358498</v>
      </c>
    </row>
    <row r="278" spans="8:16" x14ac:dyDescent="0.25">
      <c r="H278" s="872">
        <v>42773</v>
      </c>
      <c r="I278" s="34">
        <v>87.862399999999994</v>
      </c>
      <c r="J278" s="34">
        <v>55.05</v>
      </c>
      <c r="L278" s="872">
        <v>42740</v>
      </c>
      <c r="M278" s="34">
        <v>1.127363787226854</v>
      </c>
      <c r="N278" s="34">
        <v>1.0479372843438364</v>
      </c>
      <c r="O278" s="34">
        <v>1.1265627066429134</v>
      </c>
      <c r="P278" s="34">
        <v>0.9603043815138258</v>
      </c>
    </row>
    <row r="279" spans="8:16" x14ac:dyDescent="0.25">
      <c r="H279" s="872">
        <v>42772</v>
      </c>
      <c r="I279" s="34">
        <v>87.83</v>
      </c>
      <c r="J279" s="34">
        <v>55.72</v>
      </c>
      <c r="L279" s="872">
        <v>42739</v>
      </c>
      <c r="M279" s="34">
        <v>1.1282332833166058</v>
      </c>
      <c r="N279" s="34">
        <v>1.0482690630569143</v>
      </c>
      <c r="O279" s="34">
        <v>1.1265014430968625</v>
      </c>
      <c r="P279" s="34">
        <v>0.95829695369719237</v>
      </c>
    </row>
    <row r="280" spans="8:16" x14ac:dyDescent="0.25">
      <c r="H280" s="872">
        <v>42769</v>
      </c>
      <c r="I280" s="34">
        <v>87.942800000000005</v>
      </c>
      <c r="J280" s="34">
        <v>56.81</v>
      </c>
      <c r="L280" s="872">
        <v>42738</v>
      </c>
      <c r="M280" s="34">
        <v>1.1218139178996949</v>
      </c>
      <c r="N280" s="34">
        <v>1.0474791137400623</v>
      </c>
      <c r="O280" s="34">
        <v>1.12649463603619</v>
      </c>
      <c r="P280" s="34">
        <v>0.95135787307910968</v>
      </c>
    </row>
    <row r="281" spans="8:16" x14ac:dyDescent="0.25">
      <c r="H281" s="872">
        <v>42768</v>
      </c>
      <c r="I281" s="34">
        <v>88.399900000000002</v>
      </c>
      <c r="J281" s="34">
        <v>56.56</v>
      </c>
      <c r="L281" s="872">
        <v>42734</v>
      </c>
      <c r="M281" s="34">
        <v>1.1123736746395316</v>
      </c>
      <c r="N281" s="34">
        <v>1.0397376104349145</v>
      </c>
      <c r="O281" s="34">
        <v>1.1164610286052137</v>
      </c>
      <c r="P281" s="34">
        <v>0.94156373681914474</v>
      </c>
    </row>
    <row r="282" spans="8:16" x14ac:dyDescent="0.25">
      <c r="H282" s="872">
        <v>42767</v>
      </c>
      <c r="I282" s="34">
        <v>88.542199999999994</v>
      </c>
      <c r="J282" s="34">
        <v>56.8</v>
      </c>
      <c r="L282" s="872">
        <v>42733</v>
      </c>
      <c r="M282" s="34">
        <v>1.1175558713344529</v>
      </c>
      <c r="N282" s="34">
        <v>1.0338098307612584</v>
      </c>
      <c r="O282" s="34">
        <v>1.1135427444512729</v>
      </c>
      <c r="P282" s="34">
        <v>0.93927629451335437</v>
      </c>
    </row>
    <row r="283" spans="8:16" x14ac:dyDescent="0.25">
      <c r="H283" s="872">
        <v>42766</v>
      </c>
      <c r="I283" s="34">
        <v>87.592200000000005</v>
      </c>
      <c r="J283" s="34">
        <v>55.7</v>
      </c>
      <c r="L283" s="872">
        <v>42732</v>
      </c>
      <c r="M283" s="34">
        <v>1.1178837955740164</v>
      </c>
      <c r="N283" s="34">
        <v>1.0360090496593737</v>
      </c>
      <c r="O283" s="34">
        <v>1.1158707592012012</v>
      </c>
      <c r="P283" s="34">
        <v>0.94113870940927558</v>
      </c>
    </row>
    <row r="284" spans="8:16" x14ac:dyDescent="0.25">
      <c r="H284" s="872">
        <v>42765</v>
      </c>
      <c r="I284" s="34">
        <v>87.029300000000006</v>
      </c>
      <c r="J284" s="34">
        <v>55.23</v>
      </c>
      <c r="L284" s="872">
        <v>42731</v>
      </c>
      <c r="M284" s="34">
        <v>1.1273041646378426</v>
      </c>
      <c r="N284" s="34">
        <v>1.0359490135112932</v>
      </c>
      <c r="O284" s="34">
        <v>1.1156033389605033</v>
      </c>
      <c r="P284" s="34">
        <v>0.94490904534778541</v>
      </c>
    </row>
    <row r="285" spans="8:16" x14ac:dyDescent="0.25">
      <c r="H285" s="872">
        <v>42762</v>
      </c>
      <c r="I285" s="34">
        <v>87.977000000000004</v>
      </c>
      <c r="J285" s="34">
        <v>55.52</v>
      </c>
      <c r="L285" s="872">
        <v>42727</v>
      </c>
      <c r="M285" s="34">
        <v>1.1247751731539355</v>
      </c>
      <c r="N285" s="34">
        <v>1.0345081459573553</v>
      </c>
      <c r="O285" s="34">
        <v>1.1134338314805161</v>
      </c>
      <c r="P285" s="34">
        <v>0.9435408272046667</v>
      </c>
    </row>
    <row r="286" spans="8:16" x14ac:dyDescent="0.25">
      <c r="H286" s="872">
        <v>42761</v>
      </c>
      <c r="I286" s="34">
        <v>88.269199999999998</v>
      </c>
      <c r="J286" s="34">
        <v>56.24</v>
      </c>
      <c r="L286" s="872">
        <v>42726</v>
      </c>
      <c r="M286" s="34">
        <v>1.1233690737630797</v>
      </c>
      <c r="N286" s="34">
        <v>1.0330988763760918</v>
      </c>
      <c r="O286" s="34">
        <v>1.114033825256918</v>
      </c>
      <c r="P286" s="34">
        <v>0.95246124544862698</v>
      </c>
    </row>
    <row r="287" spans="8:16" x14ac:dyDescent="0.25">
      <c r="H287" s="872">
        <v>42760</v>
      </c>
      <c r="I287" s="34">
        <v>88.367500000000007</v>
      </c>
      <c r="J287" s="34">
        <v>55.08</v>
      </c>
      <c r="L287" s="872">
        <v>42725</v>
      </c>
      <c r="M287" s="34">
        <v>1.1254658014766528</v>
      </c>
      <c r="N287" s="34">
        <v>1.0334906912372501</v>
      </c>
      <c r="O287" s="34">
        <v>1.1152532615544992</v>
      </c>
      <c r="P287" s="34">
        <v>0.95181566491457892</v>
      </c>
    </row>
    <row r="288" spans="8:16" x14ac:dyDescent="0.25">
      <c r="H288" s="872">
        <v>42759</v>
      </c>
      <c r="I288" s="34">
        <v>88.750200000000007</v>
      </c>
      <c r="J288" s="34">
        <v>55.44</v>
      </c>
      <c r="L288" s="872">
        <v>42724</v>
      </c>
      <c r="M288" s="34">
        <v>1.1282382518656902</v>
      </c>
      <c r="N288" s="34">
        <v>1.0362270756708249</v>
      </c>
      <c r="O288" s="34">
        <v>1.114874011031328</v>
      </c>
      <c r="P288" s="34">
        <v>0.94133286896838786</v>
      </c>
    </row>
    <row r="289" spans="8:16" x14ac:dyDescent="0.25">
      <c r="H289" s="872">
        <v>42758</v>
      </c>
      <c r="I289" s="34">
        <v>88.595799999999997</v>
      </c>
      <c r="J289" s="34">
        <v>55.23</v>
      </c>
      <c r="L289" s="872">
        <v>42723</v>
      </c>
      <c r="M289" s="34">
        <v>1.1241491359693143</v>
      </c>
      <c r="N289" s="34">
        <v>1.0294145527622947</v>
      </c>
      <c r="O289" s="34">
        <v>1.1111748597745501</v>
      </c>
      <c r="P289" s="34">
        <v>0.945946585491791</v>
      </c>
    </row>
    <row r="290" spans="8:16" x14ac:dyDescent="0.25">
      <c r="H290" s="872">
        <v>42755</v>
      </c>
      <c r="I290" s="34">
        <v>88.376000000000005</v>
      </c>
      <c r="J290" s="34">
        <v>55.49</v>
      </c>
      <c r="L290" s="872">
        <v>42720</v>
      </c>
      <c r="M290" s="34">
        <v>1.1219331630777181</v>
      </c>
      <c r="N290" s="34">
        <v>1.0298537645824644</v>
      </c>
      <c r="O290" s="34">
        <v>1.1089683996794846</v>
      </c>
      <c r="P290" s="34">
        <v>0.94743220949331042</v>
      </c>
    </row>
    <row r="291" spans="8:16" x14ac:dyDescent="0.25">
      <c r="H291" s="872">
        <v>42754</v>
      </c>
      <c r="I291" s="34">
        <v>88.157899999999998</v>
      </c>
      <c r="J291" s="34">
        <v>54.16</v>
      </c>
      <c r="L291" s="872">
        <v>42719</v>
      </c>
      <c r="M291" s="34">
        <v>1.1239007085150994</v>
      </c>
      <c r="N291" s="34">
        <v>1.0268519571784274</v>
      </c>
      <c r="O291" s="34">
        <v>1.1053110632239795</v>
      </c>
      <c r="P291" s="34">
        <v>0.94582311214716819</v>
      </c>
    </row>
    <row r="292" spans="8:16" x14ac:dyDescent="0.25">
      <c r="H292" s="872">
        <v>42753</v>
      </c>
      <c r="I292" s="34">
        <v>88.383899999999997</v>
      </c>
      <c r="J292" s="34">
        <v>53.92</v>
      </c>
      <c r="L292" s="872">
        <v>42718</v>
      </c>
      <c r="M292" s="34">
        <v>1.1195532280663401</v>
      </c>
      <c r="N292" s="34">
        <v>1.0148352481704774</v>
      </c>
      <c r="O292" s="34">
        <v>1.0934901161479038</v>
      </c>
      <c r="P292" s="34">
        <v>0.95275642865333965</v>
      </c>
    </row>
    <row r="293" spans="8:16" x14ac:dyDescent="0.25">
      <c r="H293" s="872">
        <v>42752</v>
      </c>
      <c r="I293" s="34">
        <v>88.948700000000002</v>
      </c>
      <c r="J293" s="34">
        <v>55.47</v>
      </c>
      <c r="L293" s="872">
        <v>42717</v>
      </c>
      <c r="M293" s="34">
        <v>1.1287152325777825</v>
      </c>
      <c r="N293" s="34">
        <v>1.0227347413389956</v>
      </c>
      <c r="O293" s="34">
        <v>1.097361388795967</v>
      </c>
      <c r="P293" s="34">
        <v>0.9571571764103417</v>
      </c>
    </row>
    <row r="294" spans="8:16" x14ac:dyDescent="0.25">
      <c r="H294" s="872">
        <v>42748</v>
      </c>
      <c r="I294" s="34">
        <v>88.543199999999999</v>
      </c>
      <c r="J294" s="34">
        <v>55.45</v>
      </c>
      <c r="L294" s="872">
        <v>42716</v>
      </c>
      <c r="M294" s="34">
        <v>1.1213816541293611</v>
      </c>
      <c r="N294" s="34">
        <v>1.0108539036135442</v>
      </c>
      <c r="O294" s="34">
        <v>1.0881776915117898</v>
      </c>
      <c r="P294" s="34">
        <v>0.95653010170927155</v>
      </c>
    </row>
    <row r="295" spans="8:16" x14ac:dyDescent="0.25">
      <c r="H295" s="872">
        <v>42747</v>
      </c>
      <c r="I295" s="34">
        <v>88.485699999999994</v>
      </c>
      <c r="J295" s="34">
        <v>56.01</v>
      </c>
      <c r="L295" s="872">
        <v>42713</v>
      </c>
      <c r="M295" s="34">
        <v>1.1226585712440253</v>
      </c>
      <c r="N295" s="34">
        <v>1.0103578154425612</v>
      </c>
      <c r="O295" s="34">
        <v>1.0894827022863942</v>
      </c>
      <c r="P295" s="34">
        <v>0.98077395640753851</v>
      </c>
    </row>
    <row r="296" spans="8:16" x14ac:dyDescent="0.25">
      <c r="H296" s="872">
        <v>42746</v>
      </c>
      <c r="I296" s="34">
        <v>87.2102</v>
      </c>
      <c r="J296" s="34">
        <v>55.1</v>
      </c>
      <c r="L296" s="872">
        <v>42712</v>
      </c>
      <c r="M296" s="34">
        <v>1.1160305267655739</v>
      </c>
      <c r="N296" s="34">
        <v>1.0066450536533575</v>
      </c>
      <c r="O296" s="34">
        <v>1.0871284317310161</v>
      </c>
      <c r="P296" s="34">
        <v>0.97545944522546479</v>
      </c>
    </row>
    <row r="297" spans="8:16" x14ac:dyDescent="0.25">
      <c r="H297" s="872">
        <v>42745</v>
      </c>
      <c r="I297" s="34">
        <v>86.854200000000006</v>
      </c>
      <c r="J297" s="34">
        <v>53.64</v>
      </c>
      <c r="L297" s="872">
        <v>42711</v>
      </c>
      <c r="M297" s="34">
        <v>1.1136257490087744</v>
      </c>
      <c r="N297" s="34">
        <v>0.99288413655379859</v>
      </c>
      <c r="O297" s="34">
        <v>1.0683866488256848</v>
      </c>
      <c r="P297" s="34">
        <v>0.9775454469886764</v>
      </c>
    </row>
    <row r="298" spans="8:16" x14ac:dyDescent="0.25">
      <c r="H298" s="872">
        <v>42744</v>
      </c>
      <c r="I298" s="34">
        <v>86.343400000000003</v>
      </c>
      <c r="J298" s="34">
        <v>54.94</v>
      </c>
      <c r="L298" s="872">
        <v>42710</v>
      </c>
      <c r="M298" s="34">
        <v>1.0991573340753034</v>
      </c>
      <c r="N298" s="34">
        <v>0.9797772974885931</v>
      </c>
      <c r="O298" s="34">
        <v>1.0478322429070428</v>
      </c>
      <c r="P298" s="34">
        <v>0.97069070442908301</v>
      </c>
    </row>
    <row r="299" spans="8:16" x14ac:dyDescent="0.25">
      <c r="H299" s="872">
        <v>42741</v>
      </c>
      <c r="I299" s="34">
        <v>87.3673</v>
      </c>
      <c r="J299" s="34">
        <v>57.1</v>
      </c>
      <c r="L299" s="872">
        <v>42709</v>
      </c>
      <c r="M299" s="34">
        <v>1.0954209851639125</v>
      </c>
      <c r="N299" s="34">
        <v>0.96460711080777051</v>
      </c>
      <c r="O299" s="34">
        <v>1.0390326583322311</v>
      </c>
      <c r="P299" s="34">
        <v>0.97222638519193583</v>
      </c>
    </row>
    <row r="300" spans="8:16" x14ac:dyDescent="0.25">
      <c r="H300" s="872">
        <v>42740</v>
      </c>
      <c r="I300" s="34">
        <v>87.529399999999995</v>
      </c>
      <c r="J300" s="34">
        <v>56.89</v>
      </c>
      <c r="L300" s="872">
        <v>42706</v>
      </c>
      <c r="M300" s="34">
        <v>1.0890811165323502</v>
      </c>
      <c r="N300" s="34">
        <v>0.95271995348778415</v>
      </c>
      <c r="O300" s="34">
        <v>1.0223573045595638</v>
      </c>
      <c r="P300" s="34">
        <v>0.98409863548302345</v>
      </c>
    </row>
    <row r="301" spans="8:16" x14ac:dyDescent="0.25">
      <c r="H301" s="872">
        <v>42739</v>
      </c>
      <c r="I301" s="34">
        <v>87.171800000000005</v>
      </c>
      <c r="J301" s="34">
        <v>56.46</v>
      </c>
      <c r="L301" s="872">
        <v>42705</v>
      </c>
      <c r="M301" s="34">
        <v>1.0886488527620164</v>
      </c>
      <c r="N301" s="34">
        <v>0.95772823215662473</v>
      </c>
      <c r="O301" s="34">
        <v>1.0243702496440878</v>
      </c>
      <c r="P301" s="34">
        <v>0.99303786293427287</v>
      </c>
    </row>
    <row r="302" spans="8:16" x14ac:dyDescent="0.25">
      <c r="H302" s="872">
        <v>42738</v>
      </c>
      <c r="I302" s="34">
        <v>86.067300000000003</v>
      </c>
      <c r="J302" s="34">
        <v>55.47</v>
      </c>
      <c r="L302" s="872">
        <v>42704</v>
      </c>
      <c r="M302" s="34">
        <v>1.0924895412041775</v>
      </c>
      <c r="N302" s="34">
        <v>0.96424689391928609</v>
      </c>
      <c r="O302" s="34">
        <v>1.0347023953074068</v>
      </c>
      <c r="P302" s="34">
        <v>0.98597712921743386</v>
      </c>
    </row>
    <row r="303" spans="8:16" x14ac:dyDescent="0.25">
      <c r="H303" s="872">
        <v>42734</v>
      </c>
      <c r="I303" s="34">
        <v>87.514399999999995</v>
      </c>
      <c r="J303" s="34">
        <v>56.82</v>
      </c>
      <c r="L303" s="872">
        <v>42703</v>
      </c>
      <c r="M303" s="34">
        <v>1.0953961424184908</v>
      </c>
      <c r="N303" s="34">
        <v>0.96007912132357587</v>
      </c>
      <c r="O303" s="34">
        <v>1.0327759971371446</v>
      </c>
      <c r="P303" s="34">
        <v>0.99595480693562222</v>
      </c>
    </row>
    <row r="304" spans="8:16" x14ac:dyDescent="0.25">
      <c r="H304" s="872">
        <v>42733</v>
      </c>
      <c r="I304" s="34">
        <v>87.667199999999994</v>
      </c>
      <c r="J304" s="34">
        <v>56.14</v>
      </c>
      <c r="L304" s="872">
        <v>42702</v>
      </c>
      <c r="M304" s="34">
        <v>1.0939353889877077</v>
      </c>
      <c r="N304" s="34">
        <v>0.95324763963144121</v>
      </c>
      <c r="O304" s="34">
        <v>1.0290982394996226</v>
      </c>
      <c r="P304" s="34">
        <v>0.99415761751659004</v>
      </c>
    </row>
    <row r="305" spans="8:16" x14ac:dyDescent="0.25">
      <c r="H305" s="872">
        <v>42732</v>
      </c>
      <c r="I305" s="34">
        <v>87.752399999999994</v>
      </c>
      <c r="J305" s="34">
        <v>56.22</v>
      </c>
      <c r="L305" s="872">
        <v>42699</v>
      </c>
      <c r="M305" s="34">
        <v>1.0997138115727445</v>
      </c>
      <c r="N305" s="34">
        <v>0.96322627940191352</v>
      </c>
      <c r="O305" s="34">
        <v>1.0404368577052037</v>
      </c>
      <c r="P305" s="34">
        <v>0.98958819364260941</v>
      </c>
    </row>
    <row r="306" spans="8:16" x14ac:dyDescent="0.25">
      <c r="H306" s="872">
        <v>42731</v>
      </c>
      <c r="I306" s="34">
        <v>87.598699999999994</v>
      </c>
      <c r="J306" s="34">
        <v>56.09</v>
      </c>
      <c r="L306" s="872">
        <v>42697</v>
      </c>
      <c r="M306" s="34">
        <v>1.0954259537129967</v>
      </c>
      <c r="N306" s="34">
        <v>0.95809476863964393</v>
      </c>
      <c r="O306" s="34">
        <v>1.0368553713543327</v>
      </c>
      <c r="P306" s="34">
        <v>0.98327770459715236</v>
      </c>
    </row>
    <row r="307" spans="8:16" x14ac:dyDescent="0.25">
      <c r="H307" s="872">
        <v>42727</v>
      </c>
      <c r="I307" s="34">
        <v>86.290999999999997</v>
      </c>
      <c r="J307" s="34">
        <v>55.16</v>
      </c>
      <c r="L307" s="872">
        <v>42696</v>
      </c>
      <c r="M307" s="34">
        <v>1.094541551975992</v>
      </c>
      <c r="N307" s="34">
        <v>0.96194656150861357</v>
      </c>
      <c r="O307" s="34">
        <v>1.0418546711995207</v>
      </c>
      <c r="P307" s="34">
        <v>0.98546655025183105</v>
      </c>
    </row>
    <row r="308" spans="8:16" x14ac:dyDescent="0.25">
      <c r="H308" s="872">
        <v>42726</v>
      </c>
      <c r="I308" s="34">
        <v>86.330500000000001</v>
      </c>
      <c r="J308" s="34">
        <v>55.05</v>
      </c>
      <c r="L308" s="872">
        <v>42695</v>
      </c>
      <c r="M308" s="34">
        <v>1.0921765226118667</v>
      </c>
      <c r="N308" s="34">
        <v>0.95835703181283871</v>
      </c>
      <c r="O308" s="34">
        <v>1.0390618314493982</v>
      </c>
      <c r="P308" s="34">
        <v>0.97630343255898067</v>
      </c>
    </row>
    <row r="309" spans="8:16" x14ac:dyDescent="0.25">
      <c r="H309" s="872">
        <v>42725</v>
      </c>
      <c r="I309" s="34">
        <v>86.403199999999998</v>
      </c>
      <c r="J309" s="34">
        <v>54.46</v>
      </c>
      <c r="L309" s="872">
        <v>42692</v>
      </c>
      <c r="M309" s="34">
        <v>1.0840877247026324</v>
      </c>
      <c r="N309" s="34">
        <v>0.95452103793020626</v>
      </c>
      <c r="O309" s="34">
        <v>1.0370615280489797</v>
      </c>
      <c r="P309" s="34">
        <v>0.96863048948231611</v>
      </c>
    </row>
    <row r="310" spans="8:16" x14ac:dyDescent="0.25">
      <c r="H310" s="872">
        <v>42724</v>
      </c>
      <c r="I310" s="34">
        <v>86.156899999999993</v>
      </c>
      <c r="J310" s="34">
        <v>55.35</v>
      </c>
      <c r="L310" s="872">
        <v>42691</v>
      </c>
      <c r="M310" s="34">
        <v>1.0866813073246349</v>
      </c>
      <c r="N310" s="34">
        <v>0.96114397300269205</v>
      </c>
      <c r="O310" s="34">
        <v>1.0391017013761932</v>
      </c>
      <c r="P310" s="34">
        <v>0.97336191523843107</v>
      </c>
    </row>
    <row r="311" spans="8:16" x14ac:dyDescent="0.25">
      <c r="H311" s="872">
        <v>42723</v>
      </c>
      <c r="I311" s="34">
        <v>86.568700000000007</v>
      </c>
      <c r="J311" s="34">
        <v>54.92</v>
      </c>
      <c r="L311" s="872">
        <v>42690</v>
      </c>
      <c r="M311" s="34">
        <v>1.0816233243568214</v>
      </c>
      <c r="N311" s="34">
        <v>0.95626840581908257</v>
      </c>
      <c r="O311" s="34">
        <v>1.0369944298794955</v>
      </c>
      <c r="P311" s="34">
        <v>0.97233195945220308</v>
      </c>
    </row>
    <row r="312" spans="8:16" x14ac:dyDescent="0.25">
      <c r="H312" s="872">
        <v>42720</v>
      </c>
      <c r="I312" s="34">
        <v>87.133300000000006</v>
      </c>
      <c r="J312" s="34">
        <v>55.21</v>
      </c>
      <c r="L312" s="872">
        <v>42689</v>
      </c>
      <c r="M312" s="34">
        <v>1.0833374737909034</v>
      </c>
      <c r="N312" s="34">
        <v>0.96364969223574604</v>
      </c>
      <c r="O312" s="34">
        <v>1.04392499008114</v>
      </c>
      <c r="P312" s="34">
        <v>0.97291716849833965</v>
      </c>
    </row>
    <row r="313" spans="8:16" x14ac:dyDescent="0.25">
      <c r="H313" s="872">
        <v>42719</v>
      </c>
      <c r="I313" s="34">
        <v>86.835599999999999</v>
      </c>
      <c r="J313" s="34">
        <v>54.02</v>
      </c>
      <c r="L313" s="872">
        <v>42688</v>
      </c>
      <c r="M313" s="34">
        <v>1.0752933928234276</v>
      </c>
      <c r="N313" s="34">
        <v>0.96051517334647807</v>
      </c>
      <c r="O313" s="34">
        <v>1.0398942377258971</v>
      </c>
      <c r="P313" s="34">
        <v>0.97394409054145648</v>
      </c>
    </row>
    <row r="314" spans="8:16" x14ac:dyDescent="0.25">
      <c r="H314" s="872">
        <v>42718</v>
      </c>
      <c r="I314" s="34">
        <v>87.6267</v>
      </c>
      <c r="J314" s="34">
        <v>53.9</v>
      </c>
      <c r="L314" s="872">
        <v>42685</v>
      </c>
      <c r="M314" s="34">
        <v>1.075417606550535</v>
      </c>
      <c r="N314" s="34">
        <v>0.95742489161895361</v>
      </c>
      <c r="O314" s="34">
        <v>1.0373911842729671</v>
      </c>
      <c r="P314" s="34">
        <v>0.96959734341183257</v>
      </c>
    </row>
    <row r="315" spans="8:16" x14ac:dyDescent="0.25">
      <c r="H315" s="872">
        <v>42717</v>
      </c>
      <c r="I315" s="34">
        <v>87.922399999999996</v>
      </c>
      <c r="J315" s="34">
        <v>55.72</v>
      </c>
      <c r="L315" s="872">
        <v>42684</v>
      </c>
      <c r="M315" s="34">
        <v>1.0769230769230769</v>
      </c>
      <c r="N315" s="34">
        <v>0.96266067569104763</v>
      </c>
      <c r="O315" s="34">
        <v>1.0337124541982061</v>
      </c>
      <c r="P315" s="34">
        <v>0.96208549209436889</v>
      </c>
    </row>
    <row r="316" spans="8:16" x14ac:dyDescent="0.25">
      <c r="H316" s="872">
        <v>42716</v>
      </c>
      <c r="I316" s="34">
        <v>88.176100000000005</v>
      </c>
      <c r="J316" s="34">
        <v>55.69</v>
      </c>
      <c r="L316" s="872">
        <v>42683</v>
      </c>
      <c r="M316" s="34">
        <v>1.0748263492095038</v>
      </c>
      <c r="N316" s="34">
        <v>0.96572567904043272</v>
      </c>
      <c r="O316" s="34">
        <v>1.0352576569708192</v>
      </c>
      <c r="P316" s="34">
        <v>0.94906709365589714</v>
      </c>
    </row>
    <row r="317" spans="8:16" x14ac:dyDescent="0.25">
      <c r="H317" s="872">
        <v>42713</v>
      </c>
      <c r="I317" s="34">
        <v>88.143100000000004</v>
      </c>
      <c r="J317" s="34">
        <v>54.33</v>
      </c>
      <c r="L317" s="872">
        <v>42682</v>
      </c>
      <c r="M317" s="34">
        <v>1.0630508878797214</v>
      </c>
      <c r="N317" s="34">
        <v>0.95534258521973214</v>
      </c>
      <c r="O317" s="34">
        <v>1.0193398318072551</v>
      </c>
      <c r="P317" s="34">
        <v>0.95498805008588539</v>
      </c>
    </row>
    <row r="318" spans="8:16" x14ac:dyDescent="0.25">
      <c r="H318" s="872">
        <v>42712</v>
      </c>
      <c r="I318" s="34">
        <v>87.566100000000006</v>
      </c>
      <c r="J318" s="34">
        <v>53.89</v>
      </c>
      <c r="L318" s="872">
        <v>42681</v>
      </c>
      <c r="M318" s="34">
        <v>1.059056174415947</v>
      </c>
      <c r="N318" s="34">
        <v>0.95087147208635092</v>
      </c>
      <c r="O318" s="34">
        <v>1.0168727585321644</v>
      </c>
      <c r="P318" s="34">
        <v>0.95057274036194994</v>
      </c>
    </row>
    <row r="319" spans="8:16" x14ac:dyDescent="0.25">
      <c r="H319" s="872">
        <v>42711</v>
      </c>
      <c r="I319" s="34">
        <v>87.4726</v>
      </c>
      <c r="J319" s="34">
        <v>53</v>
      </c>
      <c r="L319" s="872">
        <v>42678</v>
      </c>
      <c r="M319" s="34">
        <v>1.0360319179593174</v>
      </c>
      <c r="N319" s="34">
        <v>0.93357158204729584</v>
      </c>
      <c r="O319" s="34">
        <v>0.99763600507223249</v>
      </c>
      <c r="P319" s="34">
        <v>0.9481408918840698</v>
      </c>
    </row>
    <row r="320" spans="8:16" x14ac:dyDescent="0.25">
      <c r="H320" s="872">
        <v>42710</v>
      </c>
      <c r="I320" s="34">
        <v>88.026600000000002</v>
      </c>
      <c r="J320" s="34">
        <v>53.93</v>
      </c>
      <c r="L320" s="872">
        <v>42677</v>
      </c>
      <c r="M320" s="34">
        <v>1.0377609730406525</v>
      </c>
      <c r="N320" s="34">
        <v>0.93956255766630004</v>
      </c>
      <c r="O320" s="34">
        <v>1.004127023641894</v>
      </c>
      <c r="P320" s="34">
        <v>0.949238803515987</v>
      </c>
    </row>
    <row r="321" spans="8:16" x14ac:dyDescent="0.25">
      <c r="H321" s="872">
        <v>42709</v>
      </c>
      <c r="I321" s="34">
        <v>88.3476</v>
      </c>
      <c r="J321" s="34">
        <v>54.94</v>
      </c>
      <c r="L321" s="872">
        <v>42676</v>
      </c>
      <c r="M321" s="34">
        <v>1.0423717865908797</v>
      </c>
      <c r="N321" s="34">
        <v>0.94167330224092816</v>
      </c>
      <c r="O321" s="34">
        <v>1.0085078534031413</v>
      </c>
      <c r="P321" s="34">
        <v>0.94128918306758758</v>
      </c>
    </row>
    <row r="322" spans="8:16" x14ac:dyDescent="0.25">
      <c r="H322" s="872">
        <v>42706</v>
      </c>
      <c r="I322" s="34">
        <v>87.041600000000003</v>
      </c>
      <c r="J322" s="34">
        <v>54.46</v>
      </c>
      <c r="L322" s="872">
        <v>42675</v>
      </c>
      <c r="M322" s="34">
        <v>1.04921844722904</v>
      </c>
      <c r="N322" s="34">
        <v>0.9552541108962449</v>
      </c>
      <c r="O322" s="34">
        <v>1.0236029966625952</v>
      </c>
      <c r="P322" s="34">
        <v>0.94726687049375391</v>
      </c>
    </row>
    <row r="323" spans="8:16" x14ac:dyDescent="0.25">
      <c r="H323" s="872">
        <v>42705</v>
      </c>
      <c r="I323" s="34">
        <v>86.918599999999998</v>
      </c>
      <c r="J323" s="34">
        <v>53.94</v>
      </c>
      <c r="L323" s="872">
        <v>42674</v>
      </c>
      <c r="M323" s="34">
        <v>1.0563880635576799</v>
      </c>
      <c r="N323" s="34">
        <v>0.96539706012462234</v>
      </c>
      <c r="O323" s="34">
        <v>1.0371052877247302</v>
      </c>
      <c r="P323" s="34">
        <v>0.94060962461069497</v>
      </c>
    </row>
    <row r="324" spans="8:16" x14ac:dyDescent="0.25">
      <c r="H324" s="872">
        <v>42704</v>
      </c>
      <c r="I324" s="34">
        <v>86.001499999999993</v>
      </c>
      <c r="J324" s="34">
        <v>50.47</v>
      </c>
      <c r="L324" s="872">
        <v>42671</v>
      </c>
      <c r="M324" s="34">
        <v>1.0565172458338714</v>
      </c>
      <c r="N324" s="34">
        <v>0.97297741376913238</v>
      </c>
      <c r="O324" s="34">
        <v>1.0401373470356223</v>
      </c>
      <c r="P324" s="34">
        <v>0.94175607613239021</v>
      </c>
    </row>
    <row r="325" spans="8:16" x14ac:dyDescent="0.25">
      <c r="H325" s="872">
        <v>42703</v>
      </c>
      <c r="I325" s="34">
        <v>84.277299999999997</v>
      </c>
      <c r="J325" s="34">
        <v>46.38</v>
      </c>
      <c r="L325" s="872">
        <v>42670</v>
      </c>
      <c r="M325" s="34">
        <v>1.0598113938767602</v>
      </c>
      <c r="N325" s="34">
        <v>0.9748511735487051</v>
      </c>
      <c r="O325" s="34">
        <v>1.0421687684276857</v>
      </c>
      <c r="P325" s="34">
        <v>0.94420703719187027</v>
      </c>
    </row>
    <row r="326" spans="8:16" x14ac:dyDescent="0.25">
      <c r="H326" s="872">
        <v>42702</v>
      </c>
      <c r="I326" s="34">
        <v>86.066000000000003</v>
      </c>
      <c r="J326" s="34">
        <v>48.24</v>
      </c>
      <c r="L326" s="872">
        <v>42669</v>
      </c>
      <c r="M326" s="34">
        <v>1.0629862967416255</v>
      </c>
      <c r="N326" s="34">
        <v>0.97352721849366142</v>
      </c>
      <c r="O326" s="34">
        <v>1.0414491648708992</v>
      </c>
      <c r="P326" s="34">
        <v>0.94540900621249913</v>
      </c>
    </row>
    <row r="327" spans="8:16" x14ac:dyDescent="0.25">
      <c r="H327" s="872">
        <v>42699</v>
      </c>
      <c r="I327" s="34">
        <v>85.031899999999993</v>
      </c>
      <c r="J327" s="34">
        <v>47.24</v>
      </c>
      <c r="L327" s="872">
        <v>42668</v>
      </c>
      <c r="M327" s="34">
        <v>1.064839565550068</v>
      </c>
      <c r="N327" s="34">
        <v>0.97555896813660425</v>
      </c>
      <c r="O327" s="34">
        <v>1.0460808834397828</v>
      </c>
      <c r="P327" s="34">
        <v>0.95014953319794759</v>
      </c>
    </row>
    <row r="328" spans="8:16" x14ac:dyDescent="0.25">
      <c r="H328" s="872">
        <v>42697</v>
      </c>
      <c r="I328" s="34">
        <v>85.357699999999994</v>
      </c>
      <c r="J328" s="34">
        <v>48.95</v>
      </c>
      <c r="L328" s="872">
        <v>42667</v>
      </c>
      <c r="M328" s="34">
        <v>1.0688988701519382</v>
      </c>
      <c r="N328" s="34">
        <v>0.9775970373740821</v>
      </c>
      <c r="O328" s="34">
        <v>1.0464562442139984</v>
      </c>
      <c r="P328" s="34">
        <v>0.9490297786156302</v>
      </c>
    </row>
    <row r="329" spans="8:16" x14ac:dyDescent="0.25">
      <c r="H329" s="872">
        <v>42696</v>
      </c>
      <c r="I329" s="34">
        <v>85.138599999999997</v>
      </c>
      <c r="J329" s="34">
        <v>49.12</v>
      </c>
      <c r="L329" s="872">
        <v>42664</v>
      </c>
      <c r="M329" s="34">
        <v>1.0638458557332087</v>
      </c>
      <c r="N329" s="34">
        <v>0.97247500600361481</v>
      </c>
      <c r="O329" s="34">
        <v>1.0415512707809838</v>
      </c>
      <c r="P329" s="34">
        <v>0.93771209656525667</v>
      </c>
    </row>
    <row r="330" spans="8:16" x14ac:dyDescent="0.25">
      <c r="H330" s="872">
        <v>42695</v>
      </c>
      <c r="I330" s="34">
        <v>84.885099999999994</v>
      </c>
      <c r="J330" s="34">
        <v>48.9</v>
      </c>
      <c r="L330" s="872">
        <v>42663</v>
      </c>
      <c r="M330" s="34">
        <v>1.0639352896167262</v>
      </c>
      <c r="N330" s="34">
        <v>0.97215270668233922</v>
      </c>
      <c r="O330" s="34">
        <v>1.0406430143998506</v>
      </c>
      <c r="P330" s="34">
        <v>0.93574532090631268</v>
      </c>
    </row>
    <row r="331" spans="8:16" x14ac:dyDescent="0.25">
      <c r="H331" s="872">
        <v>42692</v>
      </c>
      <c r="I331" s="34">
        <v>83.022000000000006</v>
      </c>
      <c r="J331" s="34">
        <v>46.86</v>
      </c>
      <c r="L331" s="872">
        <v>42662</v>
      </c>
      <c r="M331" s="34">
        <v>1.0654010115965935</v>
      </c>
      <c r="N331" s="34">
        <v>0.9656150861360735</v>
      </c>
      <c r="O331" s="34">
        <v>1.0352255665419354</v>
      </c>
      <c r="P331" s="34">
        <v>0.93582450160151309</v>
      </c>
    </row>
    <row r="332" spans="8:16" x14ac:dyDescent="0.25">
      <c r="H332" s="872">
        <v>42691</v>
      </c>
      <c r="I332" s="34">
        <v>82.727099999999993</v>
      </c>
      <c r="J332" s="34">
        <v>46.49</v>
      </c>
      <c r="L332" s="872">
        <v>42661</v>
      </c>
      <c r="M332" s="34">
        <v>1.0630707620760584</v>
      </c>
      <c r="N332" s="34">
        <v>0.96278706758174382</v>
      </c>
      <c r="O332" s="34">
        <v>1.0338515127233687</v>
      </c>
      <c r="P332" s="34">
        <v>0.93556845368293384</v>
      </c>
    </row>
    <row r="333" spans="8:16" x14ac:dyDescent="0.25">
      <c r="H333" s="872">
        <v>42690</v>
      </c>
      <c r="I333" s="34">
        <v>82.766300000000001</v>
      </c>
      <c r="J333" s="34">
        <v>46.63</v>
      </c>
      <c r="L333" s="872">
        <v>42660</v>
      </c>
      <c r="M333" s="34">
        <v>1.0565619627756302</v>
      </c>
      <c r="N333" s="34">
        <v>0.95069452343937599</v>
      </c>
      <c r="O333" s="34">
        <v>1.0214062609399188</v>
      </c>
      <c r="P333" s="34">
        <v>0.92261194360392906</v>
      </c>
    </row>
    <row r="334" spans="8:16" x14ac:dyDescent="0.25">
      <c r="H334" s="872">
        <v>42689</v>
      </c>
      <c r="I334" s="34">
        <v>83.278999999999996</v>
      </c>
      <c r="J334" s="34">
        <v>46.95</v>
      </c>
      <c r="L334" s="872">
        <v>42657</v>
      </c>
      <c r="M334" s="34">
        <v>1.0597815825822543</v>
      </c>
      <c r="N334" s="34">
        <v>0.95589870953879597</v>
      </c>
      <c r="O334" s="34">
        <v>1.0288755513719143</v>
      </c>
      <c r="P334" s="34">
        <v>0.92948094475614484</v>
      </c>
    </row>
    <row r="335" spans="8:16" x14ac:dyDescent="0.25">
      <c r="H335" s="872">
        <v>42688</v>
      </c>
      <c r="I335" s="34">
        <v>82.3429</v>
      </c>
      <c r="J335" s="34">
        <v>44.43</v>
      </c>
      <c r="L335" s="872">
        <v>42656</v>
      </c>
      <c r="M335" s="34">
        <v>1.0595679349716296</v>
      </c>
      <c r="N335" s="34">
        <v>0.94005232624274815</v>
      </c>
      <c r="O335" s="34">
        <v>1.0127029476517584</v>
      </c>
      <c r="P335" s="34">
        <v>0.92873373382787394</v>
      </c>
    </row>
    <row r="336" spans="8:16" x14ac:dyDescent="0.25">
      <c r="H336" s="872">
        <v>42685</v>
      </c>
      <c r="I336" s="34">
        <v>82.375399999999999</v>
      </c>
      <c r="J336" s="34">
        <v>44.75</v>
      </c>
      <c r="L336" s="872">
        <v>42655</v>
      </c>
      <c r="M336" s="34">
        <v>1.0628620830145179</v>
      </c>
      <c r="N336" s="34">
        <v>0.95047649742792506</v>
      </c>
      <c r="O336" s="34">
        <v>1.023302513555775</v>
      </c>
      <c r="P336" s="34">
        <v>0.9278697237898248</v>
      </c>
    </row>
    <row r="337" spans="8:16" x14ac:dyDescent="0.25">
      <c r="H337" s="872">
        <v>42684</v>
      </c>
      <c r="I337" s="34">
        <v>83.84</v>
      </c>
      <c r="J337" s="34">
        <v>45.84</v>
      </c>
      <c r="L337" s="872">
        <v>42654</v>
      </c>
      <c r="M337" s="34">
        <v>1.0616447884888653</v>
      </c>
      <c r="N337" s="34">
        <v>0.95447680076846264</v>
      </c>
      <c r="O337" s="34">
        <v>1.0285624265809883</v>
      </c>
      <c r="P337" s="34">
        <v>0.92991810713845824</v>
      </c>
    </row>
    <row r="338" spans="8:16" x14ac:dyDescent="0.25">
      <c r="H338" s="872">
        <v>42683</v>
      </c>
      <c r="I338" s="34">
        <v>83.908699999999996</v>
      </c>
      <c r="J338" s="34">
        <v>46.36</v>
      </c>
      <c r="L338" s="872">
        <v>42653</v>
      </c>
      <c r="M338" s="34">
        <v>1.0750250911728756</v>
      </c>
      <c r="N338" s="34">
        <v>0.95923861525044551</v>
      </c>
      <c r="O338" s="34">
        <v>1.03312510210591</v>
      </c>
      <c r="P338" s="34">
        <v>0.92472828279825192</v>
      </c>
    </row>
    <row r="339" spans="8:16" x14ac:dyDescent="0.25">
      <c r="H339" s="872">
        <v>42682</v>
      </c>
      <c r="I339" s="34">
        <v>83.781400000000005</v>
      </c>
      <c r="J339" s="34">
        <v>46.04</v>
      </c>
      <c r="L339" s="872">
        <v>42643</v>
      </c>
      <c r="M339" s="34">
        <v>1.0773155923007363</v>
      </c>
      <c r="N339" s="34">
        <v>0.94864697481009608</v>
      </c>
      <c r="O339" s="34">
        <v>1.0221307266828998</v>
      </c>
      <c r="P339" s="34">
        <v>0.91154970272351254</v>
      </c>
    </row>
    <row r="340" spans="8:16" x14ac:dyDescent="0.25">
      <c r="H340" s="872">
        <v>42681</v>
      </c>
      <c r="I340" s="34">
        <v>83.822400000000002</v>
      </c>
      <c r="J340" s="34">
        <v>46.15</v>
      </c>
      <c r="L340" s="872">
        <v>42642</v>
      </c>
      <c r="M340" s="34">
        <v>1.0687994991702523</v>
      </c>
      <c r="N340" s="34">
        <v>0.94527863092303988</v>
      </c>
      <c r="O340" s="34">
        <v>1.0118734586869764</v>
      </c>
      <c r="P340" s="34">
        <v>0.90966271450839109</v>
      </c>
    </row>
    <row r="341" spans="8:16" x14ac:dyDescent="0.25">
      <c r="H341" s="872">
        <v>42678</v>
      </c>
      <c r="I341" s="34">
        <v>83.294300000000007</v>
      </c>
      <c r="J341" s="34">
        <v>45.58</v>
      </c>
      <c r="L341" s="872">
        <v>42641</v>
      </c>
      <c r="M341" s="34">
        <v>1.0788558425168682</v>
      </c>
      <c r="N341" s="34">
        <v>0.94513012045147182</v>
      </c>
      <c r="O341" s="34">
        <v>1.0150630528305702</v>
      </c>
      <c r="P341" s="34">
        <v>0.90643936245281787</v>
      </c>
    </row>
    <row r="342" spans="8:16" x14ac:dyDescent="0.25">
      <c r="H342" s="872">
        <v>42677</v>
      </c>
      <c r="I342" s="34">
        <v>83.605400000000003</v>
      </c>
      <c r="J342" s="34">
        <v>46.35</v>
      </c>
      <c r="L342" s="872">
        <v>42640</v>
      </c>
      <c r="M342" s="34">
        <v>1.0731718223644331</v>
      </c>
      <c r="N342" s="34">
        <v>0.93872521139043719</v>
      </c>
      <c r="O342" s="34">
        <v>1.0075889002123801</v>
      </c>
      <c r="P342" s="34">
        <v>0.90956836509763506</v>
      </c>
    </row>
    <row r="343" spans="8:16" x14ac:dyDescent="0.25">
      <c r="H343" s="872">
        <v>42676</v>
      </c>
      <c r="I343" s="34">
        <v>83.888900000000007</v>
      </c>
      <c r="J343" s="34">
        <v>46.86</v>
      </c>
      <c r="L343" s="872">
        <v>42639</v>
      </c>
      <c r="M343" s="34">
        <v>1.0663003189808511</v>
      </c>
      <c r="N343" s="34">
        <v>0.94031774921321043</v>
      </c>
      <c r="O343" s="34">
        <v>1.0107230654333568</v>
      </c>
      <c r="P343" s="34">
        <v>0.90418559469556092</v>
      </c>
    </row>
    <row r="344" spans="8:16" x14ac:dyDescent="0.25">
      <c r="H344" s="872">
        <v>42675</v>
      </c>
      <c r="I344" s="34">
        <v>84.513300000000001</v>
      </c>
      <c r="J344" s="34">
        <v>48.14</v>
      </c>
      <c r="L344" s="872">
        <v>42636</v>
      </c>
      <c r="M344" s="34">
        <v>1.0755368517285582</v>
      </c>
      <c r="N344" s="34">
        <v>0.95814848519318996</v>
      </c>
      <c r="O344" s="34">
        <v>1.0334061364679523</v>
      </c>
      <c r="P344" s="34">
        <v>0.92040610898782815</v>
      </c>
    </row>
    <row r="345" spans="8:16" x14ac:dyDescent="0.25">
      <c r="H345" s="872">
        <v>42674</v>
      </c>
      <c r="I345" s="34">
        <v>84.9011</v>
      </c>
      <c r="J345" s="34">
        <v>48.3</v>
      </c>
      <c r="L345" s="872">
        <v>42635</v>
      </c>
      <c r="M345" s="34">
        <v>1.0817425695348444</v>
      </c>
      <c r="N345" s="34">
        <v>0.96427217229742535</v>
      </c>
      <c r="O345" s="34">
        <v>1.037997012672802</v>
      </c>
      <c r="P345" s="34">
        <v>0.92295961056446441</v>
      </c>
    </row>
    <row r="346" spans="8:16" x14ac:dyDescent="0.25">
      <c r="H346" s="872">
        <v>42671</v>
      </c>
      <c r="I346" s="34">
        <v>85.911900000000003</v>
      </c>
      <c r="J346" s="34">
        <v>49.71</v>
      </c>
      <c r="L346" s="872">
        <v>42634</v>
      </c>
      <c r="M346" s="34">
        <v>1.0747567895223236</v>
      </c>
      <c r="N346" s="34">
        <v>0.94230842149167693</v>
      </c>
      <c r="O346" s="34">
        <v>1.0148831519413737</v>
      </c>
      <c r="P346" s="34">
        <v>0.91797244026408131</v>
      </c>
    </row>
    <row r="347" spans="8:16" x14ac:dyDescent="0.25">
      <c r="H347" s="872">
        <v>42670</v>
      </c>
      <c r="I347" s="34">
        <v>86.216200000000001</v>
      </c>
      <c r="J347" s="34">
        <v>50.47</v>
      </c>
      <c r="L347" s="872">
        <v>42633</v>
      </c>
      <c r="M347" s="34">
        <v>1.0631502588614075</v>
      </c>
      <c r="N347" s="34">
        <v>0.93683565262452762</v>
      </c>
      <c r="O347" s="34">
        <v>1.0107376519919404</v>
      </c>
      <c r="P347" s="34">
        <v>0.91710023911963201</v>
      </c>
    </row>
    <row r="348" spans="8:16" x14ac:dyDescent="0.25">
      <c r="H348" s="872">
        <v>42669</v>
      </c>
      <c r="I348" s="34">
        <v>85.540499999999994</v>
      </c>
      <c r="J348" s="34">
        <v>49.98</v>
      </c>
      <c r="L348" s="872">
        <v>42632</v>
      </c>
      <c r="M348" s="34">
        <v>1.0628322717200123</v>
      </c>
      <c r="N348" s="34">
        <v>0.93792578268178306</v>
      </c>
      <c r="O348" s="34">
        <v>1.0087937499513782</v>
      </c>
      <c r="P348" s="34">
        <v>0.91802613751714823</v>
      </c>
    </row>
    <row r="349" spans="8:16" x14ac:dyDescent="0.25">
      <c r="H349" s="872">
        <v>42668</v>
      </c>
      <c r="I349" s="34">
        <v>86.0107</v>
      </c>
      <c r="J349" s="34">
        <v>50.79</v>
      </c>
      <c r="L349" s="872">
        <v>42627</v>
      </c>
      <c r="M349" s="34">
        <v>1.0561992586924767</v>
      </c>
      <c r="N349" s="34">
        <v>0.93684829181359719</v>
      </c>
      <c r="O349" s="34">
        <v>1.0092342640206</v>
      </c>
      <c r="P349" s="34">
        <v>0.91098724675070952</v>
      </c>
    </row>
    <row r="350" spans="8:16" x14ac:dyDescent="0.25">
      <c r="H350" s="872">
        <v>42667</v>
      </c>
      <c r="I350" s="34">
        <v>86.150099999999995</v>
      </c>
      <c r="J350" s="34">
        <v>51.46</v>
      </c>
      <c r="L350" s="872">
        <v>42626</v>
      </c>
      <c r="M350" s="34">
        <v>1.0568203273280137</v>
      </c>
      <c r="N350" s="34">
        <v>0.93997649110833048</v>
      </c>
      <c r="O350" s="34">
        <v>1.0100316625564987</v>
      </c>
      <c r="P350" s="34">
        <v>0.91725526339261076</v>
      </c>
    </row>
    <row r="351" spans="8:16" x14ac:dyDescent="0.25">
      <c r="H351" s="872">
        <v>42664</v>
      </c>
      <c r="I351" s="34">
        <v>86.1053</v>
      </c>
      <c r="J351" s="34">
        <v>51.78</v>
      </c>
      <c r="L351" s="872">
        <v>42625</v>
      </c>
      <c r="M351" s="34">
        <v>1.0727296214959308</v>
      </c>
      <c r="N351" s="34">
        <v>0.95200899910261749</v>
      </c>
      <c r="O351" s="34">
        <v>1.0144241615646126</v>
      </c>
      <c r="P351" s="34">
        <v>0.91679019057367472</v>
      </c>
    </row>
    <row r="352" spans="8:16" x14ac:dyDescent="0.25">
      <c r="H352" s="872">
        <v>42663</v>
      </c>
      <c r="I352" s="34">
        <v>86.021500000000003</v>
      </c>
      <c r="J352" s="34">
        <v>51.38</v>
      </c>
      <c r="L352" s="872">
        <v>42622</v>
      </c>
      <c r="M352" s="34">
        <v>1.0572128427056731</v>
      </c>
      <c r="N352" s="34">
        <v>0.96474930168480377</v>
      </c>
      <c r="O352" s="34">
        <v>1.0282006799281174</v>
      </c>
      <c r="P352" s="34">
        <v>0.93404551464114771</v>
      </c>
    </row>
    <row r="353" spans="8:16" x14ac:dyDescent="0.25">
      <c r="H353" s="872">
        <v>42662</v>
      </c>
      <c r="I353" s="34">
        <v>86.8947</v>
      </c>
      <c r="J353" s="34">
        <v>52.67</v>
      </c>
      <c r="L353" s="872">
        <v>42621</v>
      </c>
      <c r="M353" s="34">
        <v>1.0837896117575745</v>
      </c>
      <c r="N353" s="34">
        <v>0.97433612659411761</v>
      </c>
      <c r="O353" s="34">
        <v>1.03810495320632</v>
      </c>
      <c r="P353" s="34">
        <v>0.9392329119868652</v>
      </c>
    </row>
    <row r="354" spans="8:16" x14ac:dyDescent="0.25">
      <c r="H354" s="872">
        <v>42661</v>
      </c>
      <c r="I354" s="34">
        <v>86.553899999999999</v>
      </c>
      <c r="J354" s="34">
        <v>51.68</v>
      </c>
      <c r="L354" s="872">
        <v>42620</v>
      </c>
      <c r="M354" s="34">
        <v>1.0862043266125425</v>
      </c>
      <c r="N354" s="34">
        <v>0.97690188197525241</v>
      </c>
      <c r="O354" s="34">
        <v>1.0456598181153387</v>
      </c>
      <c r="P354" s="34">
        <v>0.93801152701032509</v>
      </c>
    </row>
    <row r="355" spans="8:16" x14ac:dyDescent="0.25">
      <c r="H355" s="872">
        <v>42660</v>
      </c>
      <c r="I355" s="34">
        <v>86.387699999999995</v>
      </c>
      <c r="J355" s="34">
        <v>51.52</v>
      </c>
      <c r="L355" s="872">
        <v>42619</v>
      </c>
      <c r="M355" s="34">
        <v>1.0863633201832401</v>
      </c>
      <c r="N355" s="34">
        <v>0.97010831785032658</v>
      </c>
      <c r="O355" s="34">
        <v>1.0392572913344171</v>
      </c>
      <c r="P355" s="34">
        <v>0.93764292722232312</v>
      </c>
    </row>
    <row r="356" spans="8:16" x14ac:dyDescent="0.25">
      <c r="H356" s="872">
        <v>42657</v>
      </c>
      <c r="I356" s="34">
        <v>86.340500000000006</v>
      </c>
      <c r="J356" s="34">
        <v>51.95</v>
      </c>
      <c r="L356" s="872">
        <v>42615</v>
      </c>
      <c r="M356" s="34">
        <v>1.0831337632784475</v>
      </c>
      <c r="N356" s="34">
        <v>0.97313540363250284</v>
      </c>
      <c r="O356" s="34">
        <v>1.0389344421711022</v>
      </c>
      <c r="P356" s="34">
        <v>0.93055579994041726</v>
      </c>
    </row>
    <row r="357" spans="8:16" x14ac:dyDescent="0.25">
      <c r="H357" s="872">
        <v>42656</v>
      </c>
      <c r="I357" s="34">
        <v>86.281300000000002</v>
      </c>
      <c r="J357" s="34">
        <v>52.03</v>
      </c>
      <c r="L357" s="872">
        <v>42614</v>
      </c>
      <c r="M357" s="34">
        <v>1.0786024465135691</v>
      </c>
      <c r="N357" s="34">
        <v>0.95346566564289226</v>
      </c>
      <c r="O357" s="34">
        <v>1.0243955330122994</v>
      </c>
      <c r="P357" s="34">
        <v>0.92932804410334391</v>
      </c>
    </row>
    <row r="358" spans="8:16" x14ac:dyDescent="0.25">
      <c r="H358" s="872">
        <v>42655</v>
      </c>
      <c r="I358" s="34">
        <v>85.649000000000001</v>
      </c>
      <c r="J358" s="34">
        <v>51.81</v>
      </c>
      <c r="L358" s="872">
        <v>42613</v>
      </c>
      <c r="M358" s="34">
        <v>1.0786471634553276</v>
      </c>
      <c r="N358" s="34">
        <v>0.95524779130171</v>
      </c>
      <c r="O358" s="34">
        <v>1.0300726216130012</v>
      </c>
      <c r="P358" s="34">
        <v>0.93605870656969214</v>
      </c>
    </row>
    <row r="359" spans="8:16" x14ac:dyDescent="0.25">
      <c r="H359" s="872">
        <v>42654</v>
      </c>
      <c r="I359" s="34">
        <v>86.176400000000001</v>
      </c>
      <c r="J359" s="34">
        <v>52.41</v>
      </c>
      <c r="L359" s="872">
        <v>42612</v>
      </c>
      <c r="M359" s="34">
        <v>1.0812159033319089</v>
      </c>
      <c r="N359" s="34">
        <v>0.95765555681947445</v>
      </c>
      <c r="O359" s="34">
        <v>1.0363886014796604</v>
      </c>
      <c r="P359" s="34">
        <v>0.93277801676931849</v>
      </c>
    </row>
    <row r="360" spans="8:16" x14ac:dyDescent="0.25">
      <c r="H360" s="872">
        <v>42653</v>
      </c>
      <c r="I360" s="34">
        <v>86.757099999999994</v>
      </c>
      <c r="J360" s="34">
        <v>53.14</v>
      </c>
      <c r="L360" s="872">
        <v>42611</v>
      </c>
      <c r="M360" s="34">
        <v>1.0833325052418192</v>
      </c>
      <c r="N360" s="34">
        <v>0.94746521063208577</v>
      </c>
      <c r="O360" s="34">
        <v>1.0253806119353057</v>
      </c>
      <c r="P360" s="34">
        <v>0.93136732622264407</v>
      </c>
    </row>
    <row r="361" spans="8:16" x14ac:dyDescent="0.25">
      <c r="H361" s="872">
        <v>42650</v>
      </c>
      <c r="I361" s="34">
        <v>85.641400000000004</v>
      </c>
      <c r="J361" s="34">
        <v>51.93</v>
      </c>
      <c r="L361" s="872">
        <v>42608</v>
      </c>
      <c r="M361" s="34">
        <v>1.0776981705802271</v>
      </c>
      <c r="N361" s="34">
        <v>0.95121273019123087</v>
      </c>
      <c r="O361" s="34">
        <v>1.0295941824914621</v>
      </c>
      <c r="P361" s="34">
        <v>0.93145287777837793</v>
      </c>
    </row>
    <row r="362" spans="8:16" x14ac:dyDescent="0.25">
      <c r="H362" s="872">
        <v>42649</v>
      </c>
      <c r="I362" s="34">
        <v>85.512900000000002</v>
      </c>
      <c r="J362" s="34">
        <v>52.51</v>
      </c>
      <c r="L362" s="872">
        <v>42607</v>
      </c>
      <c r="M362" s="34">
        <v>1.0794023829161408</v>
      </c>
      <c r="N362" s="34">
        <v>0.94404946978601845</v>
      </c>
      <c r="O362" s="34">
        <v>1.0239365426355382</v>
      </c>
      <c r="P362" s="34">
        <v>0.93085219664237462</v>
      </c>
    </row>
    <row r="363" spans="8:16" x14ac:dyDescent="0.25">
      <c r="H363" s="872">
        <v>42648</v>
      </c>
      <c r="I363" s="34">
        <v>85.715900000000005</v>
      </c>
      <c r="J363" s="34">
        <v>51.86</v>
      </c>
      <c r="L363" s="872">
        <v>42606</v>
      </c>
      <c r="M363" s="34">
        <v>1.0808780419941768</v>
      </c>
      <c r="N363" s="34">
        <v>0.95065344607489977</v>
      </c>
      <c r="O363" s="34">
        <v>1.033017161572392</v>
      </c>
      <c r="P363" s="34">
        <v>0.93617671917671497</v>
      </c>
    </row>
    <row r="364" spans="8:16" x14ac:dyDescent="0.25">
      <c r="H364" s="872">
        <v>42647</v>
      </c>
      <c r="I364" s="34">
        <v>85.150800000000004</v>
      </c>
      <c r="J364" s="34">
        <v>50.87</v>
      </c>
      <c r="L364" s="872">
        <v>42605</v>
      </c>
      <c r="M364" s="34">
        <v>1.0865719992447807</v>
      </c>
      <c r="N364" s="34">
        <v>0.94595798733553249</v>
      </c>
      <c r="O364" s="34">
        <v>1.03009109792054</v>
      </c>
      <c r="P364" s="34">
        <v>0.93733742929103248</v>
      </c>
    </row>
    <row r="365" spans="8:16" x14ac:dyDescent="0.25">
      <c r="H365" s="872">
        <v>42646</v>
      </c>
      <c r="I365" s="34">
        <v>85.604600000000005</v>
      </c>
      <c r="J365" s="34">
        <v>50.89</v>
      </c>
      <c r="L365" s="872">
        <v>42604</v>
      </c>
      <c r="M365" s="34">
        <v>1.0844553973348701</v>
      </c>
      <c r="N365" s="34">
        <v>0.93541690365146157</v>
      </c>
      <c r="O365" s="34">
        <v>1.0205096738056525</v>
      </c>
      <c r="P365" s="34">
        <v>0.9358505917922687</v>
      </c>
    </row>
    <row r="366" spans="8:16" x14ac:dyDescent="0.25">
      <c r="H366" s="872">
        <v>42643</v>
      </c>
      <c r="I366" s="34">
        <v>85.341999999999999</v>
      </c>
      <c r="J366" s="34">
        <v>49.06</v>
      </c>
      <c r="L366" s="872">
        <v>42601</v>
      </c>
      <c r="M366" s="34">
        <v>1.0850665288722385</v>
      </c>
      <c r="N366" s="34">
        <v>0.93789102491184151</v>
      </c>
      <c r="O366" s="34">
        <v>1.0253728324373945</v>
      </c>
      <c r="P366" s="34">
        <v>0.94291830311826319</v>
      </c>
    </row>
    <row r="367" spans="8:16" x14ac:dyDescent="0.25">
      <c r="H367" s="872">
        <v>42642</v>
      </c>
      <c r="I367" s="34">
        <v>85.223799999999997</v>
      </c>
      <c r="J367" s="34">
        <v>49.24</v>
      </c>
      <c r="L367" s="872">
        <v>42600</v>
      </c>
      <c r="M367" s="34">
        <v>1.0866316218337921</v>
      </c>
      <c r="N367" s="34">
        <v>0.9464540755065155</v>
      </c>
      <c r="O367" s="34">
        <v>1.0310781217180243</v>
      </c>
      <c r="P367" s="34">
        <v>0.94170844636554552</v>
      </c>
    </row>
    <row r="368" spans="8:16" x14ac:dyDescent="0.25">
      <c r="H368" s="872">
        <v>42641</v>
      </c>
      <c r="I368" s="34">
        <v>85.142399999999995</v>
      </c>
      <c r="J368" s="34">
        <v>48.69</v>
      </c>
      <c r="L368" s="872">
        <v>42599</v>
      </c>
      <c r="M368" s="34">
        <v>1.0842467182733297</v>
      </c>
      <c r="N368" s="34">
        <v>0.94179021473982216</v>
      </c>
      <c r="O368" s="34">
        <v>1.0247222719245699</v>
      </c>
      <c r="P368" s="34">
        <v>0.9433591059923101</v>
      </c>
    </row>
    <row r="369" spans="8:16" x14ac:dyDescent="0.25">
      <c r="H369" s="872">
        <v>42640</v>
      </c>
      <c r="I369" s="34">
        <v>84.143500000000003</v>
      </c>
      <c r="J369" s="34">
        <v>45.97</v>
      </c>
      <c r="L369" s="872">
        <v>42598</v>
      </c>
      <c r="M369" s="34">
        <v>1.0822245187960211</v>
      </c>
      <c r="N369" s="34">
        <v>0.95305489199812932</v>
      </c>
      <c r="O369" s="34">
        <v>1.0382372046708104</v>
      </c>
      <c r="P369" s="34">
        <v>0.94350533241026646</v>
      </c>
    </row>
    <row r="370" spans="8:16" x14ac:dyDescent="0.25">
      <c r="H370" s="872">
        <v>42639</v>
      </c>
      <c r="I370" s="34">
        <v>84.861500000000007</v>
      </c>
      <c r="J370" s="34">
        <v>47.35</v>
      </c>
      <c r="L370" s="872">
        <v>42597</v>
      </c>
      <c r="M370" s="34">
        <v>1.088186777697177</v>
      </c>
      <c r="N370" s="34">
        <v>0.9626796344746521</v>
      </c>
      <c r="O370" s="34">
        <v>1.0443207720373726</v>
      </c>
      <c r="P370" s="34">
        <v>0.94810388021811409</v>
      </c>
    </row>
    <row r="371" spans="8:16" x14ac:dyDescent="0.25">
      <c r="H371" s="872">
        <v>42636</v>
      </c>
      <c r="I371" s="34">
        <v>84.322100000000006</v>
      </c>
      <c r="J371" s="34">
        <v>45.89</v>
      </c>
      <c r="L371" s="872">
        <v>42594</v>
      </c>
      <c r="M371" s="34">
        <v>1.0851559627557561</v>
      </c>
      <c r="N371" s="34">
        <v>0.96213930914192536</v>
      </c>
      <c r="O371" s="34">
        <v>1.041813828835487</v>
      </c>
      <c r="P371" s="34">
        <v>0.92549399955950051</v>
      </c>
    </row>
    <row r="372" spans="8:16" x14ac:dyDescent="0.25">
      <c r="H372" s="872">
        <v>42635</v>
      </c>
      <c r="I372" s="34">
        <v>85.508399999999995</v>
      </c>
      <c r="J372" s="34">
        <v>47.65</v>
      </c>
      <c r="L372" s="872">
        <v>42593</v>
      </c>
      <c r="M372" s="34">
        <v>1.0860204902964237</v>
      </c>
      <c r="N372" s="34">
        <v>0.96343166622429499</v>
      </c>
      <c r="O372" s="34">
        <v>1.0446737667550936</v>
      </c>
      <c r="P372" s="34">
        <v>0.91092293139675362</v>
      </c>
    </row>
    <row r="373" spans="8:16" x14ac:dyDescent="0.25">
      <c r="H373" s="872">
        <v>42634</v>
      </c>
      <c r="I373" s="34">
        <v>84.908100000000005</v>
      </c>
      <c r="J373" s="34">
        <v>46.83</v>
      </c>
      <c r="L373" s="872">
        <v>42592</v>
      </c>
      <c r="M373" s="34">
        <v>1.0809028847395983</v>
      </c>
      <c r="N373" s="34">
        <v>0.95377216597783077</v>
      </c>
      <c r="O373" s="34">
        <v>1.0357322063434025</v>
      </c>
      <c r="P373" s="34">
        <v>0.91580998817446946</v>
      </c>
    </row>
    <row r="374" spans="8:16" x14ac:dyDescent="0.25">
      <c r="H374" s="872">
        <v>42633</v>
      </c>
      <c r="I374" s="34">
        <v>84.287599999999998</v>
      </c>
      <c r="J374" s="34">
        <v>45.88</v>
      </c>
      <c r="L374" s="872">
        <v>42591</v>
      </c>
      <c r="M374" s="34">
        <v>1.0840082279172834</v>
      </c>
      <c r="N374" s="34">
        <v>0.95715946864849144</v>
      </c>
      <c r="O374" s="34">
        <v>1.039817415184024</v>
      </c>
      <c r="P374" s="34">
        <v>0.91791388902203652</v>
      </c>
    </row>
    <row r="375" spans="8:16" x14ac:dyDescent="0.25">
      <c r="H375" s="872">
        <v>42632</v>
      </c>
      <c r="I375" s="34">
        <v>83.606300000000005</v>
      </c>
      <c r="J375" s="34">
        <v>45.95</v>
      </c>
      <c r="L375" s="872">
        <v>42590</v>
      </c>
      <c r="M375" s="34">
        <v>1.0835859012451183</v>
      </c>
      <c r="N375" s="34">
        <v>0.94254224648946516</v>
      </c>
      <c r="O375" s="34">
        <v>1.0144815353617078</v>
      </c>
      <c r="P375" s="34">
        <v>0.91142046526697851</v>
      </c>
    </row>
    <row r="376" spans="8:16" x14ac:dyDescent="0.25">
      <c r="H376" s="872">
        <v>42629</v>
      </c>
      <c r="I376" s="34">
        <v>83.235699999999994</v>
      </c>
      <c r="J376" s="34">
        <v>45.77</v>
      </c>
      <c r="L376" s="872">
        <v>42587</v>
      </c>
      <c r="M376" s="34">
        <v>1.0845696739638091</v>
      </c>
      <c r="N376" s="34">
        <v>0.93963207320618303</v>
      </c>
      <c r="O376" s="34">
        <v>1.0081461067502702</v>
      </c>
      <c r="P376" s="34">
        <v>0.90305309839217685</v>
      </c>
    </row>
    <row r="377" spans="8:16" x14ac:dyDescent="0.25">
      <c r="H377" s="872">
        <v>42628</v>
      </c>
      <c r="I377" s="34">
        <v>83.082899999999995</v>
      </c>
      <c r="J377" s="34">
        <v>46.59</v>
      </c>
      <c r="L377" s="872">
        <v>42586</v>
      </c>
      <c r="M377" s="34">
        <v>1.0753182355688491</v>
      </c>
      <c r="N377" s="34">
        <v>0.92655999191091898</v>
      </c>
      <c r="O377" s="34">
        <v>0.99459519382619044</v>
      </c>
      <c r="P377" s="34">
        <v>0.90479143319485311</v>
      </c>
    </row>
    <row r="378" spans="8:16" x14ac:dyDescent="0.25">
      <c r="H378" s="872">
        <v>42627</v>
      </c>
      <c r="I378" s="34">
        <v>82.672200000000004</v>
      </c>
      <c r="J378" s="34">
        <v>45.85</v>
      </c>
      <c r="L378" s="872">
        <v>42585</v>
      </c>
      <c r="M378" s="34">
        <v>1.0750896823109715</v>
      </c>
      <c r="N378" s="34">
        <v>0.91983594332587615</v>
      </c>
      <c r="O378" s="34">
        <v>0.98898909314392836</v>
      </c>
      <c r="P378" s="34">
        <v>0.9035885540512909</v>
      </c>
    </row>
    <row r="379" spans="8:16" x14ac:dyDescent="0.25">
      <c r="H379" s="872">
        <v>42626</v>
      </c>
      <c r="I379" s="34">
        <v>83.019599999999997</v>
      </c>
      <c r="J379" s="34">
        <v>47.1</v>
      </c>
      <c r="L379" s="872">
        <v>42584</v>
      </c>
      <c r="M379" s="34">
        <v>1.0717309431299873</v>
      </c>
      <c r="N379" s="34">
        <v>0.91854674604077402</v>
      </c>
      <c r="O379" s="34">
        <v>0.9864733980068926</v>
      </c>
      <c r="P379" s="34">
        <v>0.90140971974887896</v>
      </c>
    </row>
    <row r="380" spans="8:16" x14ac:dyDescent="0.25">
      <c r="H380" s="872">
        <v>42625</v>
      </c>
      <c r="I380" s="34">
        <v>84.083399999999997</v>
      </c>
      <c r="J380" s="34">
        <v>48.32</v>
      </c>
      <c r="L380" s="872">
        <v>42583</v>
      </c>
      <c r="M380" s="34">
        <v>1.0785925094154005</v>
      </c>
      <c r="N380" s="34">
        <v>0.93760980295504237</v>
      </c>
      <c r="O380" s="34">
        <v>1.0045782345207441</v>
      </c>
      <c r="P380" s="34">
        <v>0.89598113982582683</v>
      </c>
    </row>
    <row r="381" spans="8:16" x14ac:dyDescent="0.25">
      <c r="H381" s="872">
        <v>42622</v>
      </c>
      <c r="I381" s="34">
        <v>84.024199999999993</v>
      </c>
      <c r="J381" s="34">
        <v>48.01</v>
      </c>
      <c r="L381" s="872">
        <v>42580</v>
      </c>
      <c r="M381" s="34">
        <v>1.0799638289626663</v>
      </c>
      <c r="N381" s="34">
        <v>0.9450195275471126</v>
      </c>
      <c r="O381" s="34">
        <v>1.0052569957134967</v>
      </c>
      <c r="P381" s="34">
        <v>0.90385491669644791</v>
      </c>
    </row>
    <row r="382" spans="8:16" x14ac:dyDescent="0.25">
      <c r="H382" s="872">
        <v>42621</v>
      </c>
      <c r="I382" s="34">
        <v>85.147800000000004</v>
      </c>
      <c r="J382" s="34">
        <v>49.99</v>
      </c>
      <c r="L382" s="872">
        <v>42579</v>
      </c>
      <c r="M382" s="34">
        <v>1.0782049625868253</v>
      </c>
      <c r="N382" s="34">
        <v>0.93722746748568597</v>
      </c>
      <c r="O382" s="34">
        <v>0.99917245590969561</v>
      </c>
      <c r="P382" s="34">
        <v>0.90840067737416186</v>
      </c>
    </row>
    <row r="383" spans="8:16" x14ac:dyDescent="0.25">
      <c r="H383" s="872">
        <v>42620</v>
      </c>
      <c r="I383" s="34">
        <v>83.930400000000006</v>
      </c>
      <c r="J383" s="34">
        <v>47.98</v>
      </c>
      <c r="L383" s="872">
        <v>42578</v>
      </c>
      <c r="M383" s="34">
        <v>1.0764759075054902</v>
      </c>
      <c r="N383" s="34">
        <v>0.94777487076429168</v>
      </c>
      <c r="O383" s="34">
        <v>1.00351147086967</v>
      </c>
      <c r="P383" s="34">
        <v>0.90769563547513576</v>
      </c>
    </row>
    <row r="384" spans="8:16" x14ac:dyDescent="0.25">
      <c r="H384" s="872">
        <v>42619</v>
      </c>
      <c r="I384" s="34">
        <v>83.386499999999998</v>
      </c>
      <c r="J384" s="34">
        <v>47.26</v>
      </c>
      <c r="L384" s="872">
        <v>42577</v>
      </c>
      <c r="M384" s="34">
        <v>1.0777677302674071</v>
      </c>
      <c r="N384" s="34">
        <v>0.94127200798796751</v>
      </c>
      <c r="O384" s="34">
        <v>0.99653034393160267</v>
      </c>
      <c r="P384" s="34">
        <v>0.92534200902963315</v>
      </c>
    </row>
    <row r="385" spans="8:16" x14ac:dyDescent="0.25">
      <c r="H385" s="872">
        <v>42615</v>
      </c>
      <c r="I385" s="34">
        <v>82.988900000000001</v>
      </c>
      <c r="J385" s="34">
        <v>46.83</v>
      </c>
      <c r="L385" s="872">
        <v>42576</v>
      </c>
      <c r="M385" s="34">
        <v>1.0774199318315065</v>
      </c>
      <c r="N385" s="34">
        <v>0.93947724314007997</v>
      </c>
      <c r="O385" s="34">
        <v>0.99171483472456678</v>
      </c>
      <c r="P385" s="34">
        <v>0.91492474193464235</v>
      </c>
    </row>
    <row r="386" spans="8:16" x14ac:dyDescent="0.25">
      <c r="H386" s="872">
        <v>42614</v>
      </c>
      <c r="I386" s="34">
        <v>82.100700000000003</v>
      </c>
      <c r="J386" s="34">
        <v>45.45</v>
      </c>
      <c r="L386" s="872">
        <v>42573</v>
      </c>
      <c r="M386" s="34">
        <v>1.0806743314817209</v>
      </c>
      <c r="N386" s="34">
        <v>0.93916442321060678</v>
      </c>
      <c r="O386" s="34">
        <v>0.98677679842542954</v>
      </c>
      <c r="P386" s="34">
        <v>0.91401097850957058</v>
      </c>
    </row>
    <row r="387" spans="8:16" x14ac:dyDescent="0.25">
      <c r="H387" s="872">
        <v>42613</v>
      </c>
      <c r="I387" s="34">
        <v>82.7727</v>
      </c>
      <c r="J387" s="34">
        <v>47.04</v>
      </c>
      <c r="L387" s="872">
        <v>42572</v>
      </c>
      <c r="M387" s="34">
        <v>1.0757753420846043</v>
      </c>
      <c r="N387" s="34">
        <v>0.93798265903259637</v>
      </c>
      <c r="O387" s="34">
        <v>0.98762768100946752</v>
      </c>
      <c r="P387" s="34">
        <v>0.92195726184054771</v>
      </c>
    </row>
    <row r="388" spans="8:16" x14ac:dyDescent="0.25">
      <c r="H388" s="872">
        <v>42612</v>
      </c>
      <c r="I388" s="34">
        <v>83.655100000000004</v>
      </c>
      <c r="J388" s="34">
        <v>48.37</v>
      </c>
      <c r="L388" s="872">
        <v>42571</v>
      </c>
      <c r="M388" s="34">
        <v>1.0796756531157772</v>
      </c>
      <c r="N388" s="34">
        <v>0.93749605025341565</v>
      </c>
      <c r="O388" s="34">
        <v>0.9862468201302288</v>
      </c>
      <c r="P388" s="34">
        <v>0.91858677324408466</v>
      </c>
    </row>
    <row r="389" spans="8:16" x14ac:dyDescent="0.25">
      <c r="H389" s="872">
        <v>42611</v>
      </c>
      <c r="I389" s="34">
        <v>84.459299999999999</v>
      </c>
      <c r="J389" s="34">
        <v>49.26</v>
      </c>
      <c r="L389" s="872">
        <v>42570</v>
      </c>
      <c r="M389" s="34">
        <v>1.0750847137618873</v>
      </c>
      <c r="N389" s="34">
        <v>0.9261681770497604</v>
      </c>
      <c r="O389" s="34">
        <v>0.97061294664042375</v>
      </c>
      <c r="P389" s="34">
        <v>0.92122582637645478</v>
      </c>
    </row>
    <row r="390" spans="8:16" x14ac:dyDescent="0.25">
      <c r="H390" s="872">
        <v>42608</v>
      </c>
      <c r="I390" s="34">
        <v>84.9846</v>
      </c>
      <c r="J390" s="34">
        <v>49.92</v>
      </c>
      <c r="L390" s="872">
        <v>42569</v>
      </c>
      <c r="M390" s="34">
        <v>1.0766299325271034</v>
      </c>
      <c r="N390" s="34">
        <v>0.93187793071196545</v>
      </c>
      <c r="O390" s="34">
        <v>0.97857623518978076</v>
      </c>
      <c r="P390" s="34">
        <v>0.92333913182766636</v>
      </c>
    </row>
    <row r="391" spans="8:16" x14ac:dyDescent="0.25">
      <c r="H391" s="872">
        <v>42607</v>
      </c>
      <c r="I391" s="34">
        <v>85.0535</v>
      </c>
      <c r="J391" s="34">
        <v>49.67</v>
      </c>
      <c r="L391" s="872">
        <v>42566</v>
      </c>
      <c r="M391" s="34">
        <v>1.0740711297486907</v>
      </c>
      <c r="N391" s="34">
        <v>0.93487341852146766</v>
      </c>
      <c r="O391" s="34">
        <v>0.97894284402884635</v>
      </c>
      <c r="P391" s="34">
        <v>0.92659494493452876</v>
      </c>
    </row>
    <row r="392" spans="8:16" x14ac:dyDescent="0.25">
      <c r="H392" s="872">
        <v>42606</v>
      </c>
      <c r="I392" s="34">
        <v>85.069800000000001</v>
      </c>
      <c r="J392" s="34">
        <v>49.05</v>
      </c>
      <c r="L392" s="872">
        <v>42565</v>
      </c>
      <c r="M392" s="34">
        <v>1.0750698081146344</v>
      </c>
      <c r="N392" s="34">
        <v>0.93627004891366172</v>
      </c>
      <c r="O392" s="34">
        <v>0.97907898524229231</v>
      </c>
      <c r="P392" s="34">
        <v>0.92651060687603948</v>
      </c>
    </row>
    <row r="393" spans="8:16" x14ac:dyDescent="0.25">
      <c r="H393" s="872">
        <v>42605</v>
      </c>
      <c r="I393" s="34">
        <v>86.073400000000007</v>
      </c>
      <c r="J393" s="34">
        <v>49.96</v>
      </c>
      <c r="L393" s="872">
        <v>42564</v>
      </c>
      <c r="M393" s="34">
        <v>1.0694454105512108</v>
      </c>
      <c r="N393" s="34">
        <v>0.9246009176051263</v>
      </c>
      <c r="O393" s="34">
        <v>0.96569922127225893</v>
      </c>
      <c r="P393" s="34">
        <v>0.92853441690547278</v>
      </c>
    </row>
    <row r="394" spans="8:16" x14ac:dyDescent="0.25">
      <c r="H394" s="872">
        <v>42604</v>
      </c>
      <c r="I394" s="34">
        <v>85.670400000000001</v>
      </c>
      <c r="J394" s="34">
        <v>49.16</v>
      </c>
      <c r="L394" s="872">
        <v>42563</v>
      </c>
      <c r="M394" s="34">
        <v>1.0693013226277661</v>
      </c>
      <c r="N394" s="34">
        <v>0.92690756961033371</v>
      </c>
      <c r="O394" s="34">
        <v>0.96894327190123142</v>
      </c>
      <c r="P394" s="34">
        <v>0.92510386019540947</v>
      </c>
    </row>
    <row r="395" spans="8:16" x14ac:dyDescent="0.25">
      <c r="H395" s="872">
        <v>42601</v>
      </c>
      <c r="I395" s="34">
        <v>86.236400000000003</v>
      </c>
      <c r="J395" s="34">
        <v>50.88</v>
      </c>
      <c r="L395" s="872">
        <v>42562</v>
      </c>
      <c r="M395" s="34">
        <v>1.06185843609949</v>
      </c>
      <c r="N395" s="34">
        <v>0.91170262515956979</v>
      </c>
      <c r="O395" s="34">
        <v>0.95623740693775616</v>
      </c>
      <c r="P395" s="34">
        <v>0.90858088171496287</v>
      </c>
    </row>
    <row r="396" spans="8:16" x14ac:dyDescent="0.25">
      <c r="H396" s="872">
        <v>42600</v>
      </c>
      <c r="I396" s="34">
        <v>86.740700000000004</v>
      </c>
      <c r="J396" s="34">
        <v>50.89</v>
      </c>
      <c r="L396" s="872">
        <v>42559</v>
      </c>
      <c r="M396" s="34">
        <v>1.0582512694642909</v>
      </c>
      <c r="N396" s="34">
        <v>0.89675362428746574</v>
      </c>
      <c r="O396" s="34">
        <v>0.93642399819515643</v>
      </c>
      <c r="P396" s="34">
        <v>0.90651095879024035</v>
      </c>
    </row>
    <row r="397" spans="8:16" x14ac:dyDescent="0.25">
      <c r="H397" s="872">
        <v>42599</v>
      </c>
      <c r="I397" s="34">
        <v>85.871899999999997</v>
      </c>
      <c r="J397" s="34">
        <v>49.85</v>
      </c>
      <c r="L397" s="872">
        <v>42558</v>
      </c>
      <c r="M397" s="34">
        <v>1.0423519123945426</v>
      </c>
      <c r="N397" s="34">
        <v>0.87845523831190986</v>
      </c>
      <c r="O397" s="34">
        <v>0.91591724170122057</v>
      </c>
      <c r="P397" s="34">
        <v>0.91523388035766629</v>
      </c>
    </row>
    <row r="398" spans="8:16" x14ac:dyDescent="0.25">
      <c r="H398" s="872">
        <v>42598</v>
      </c>
      <c r="I398" s="34">
        <v>85.722700000000003</v>
      </c>
      <c r="J398" s="34">
        <v>49.23</v>
      </c>
      <c r="L398" s="872">
        <v>42557</v>
      </c>
      <c r="M398" s="34">
        <v>1.0432611568769687</v>
      </c>
      <c r="N398" s="34">
        <v>0.87253693803005594</v>
      </c>
      <c r="O398" s="34">
        <v>0.91149070738974503</v>
      </c>
      <c r="P398" s="34">
        <v>0.91536888192611143</v>
      </c>
    </row>
    <row r="399" spans="8:16" x14ac:dyDescent="0.25">
      <c r="H399" s="872">
        <v>42597</v>
      </c>
      <c r="I399" s="34">
        <v>85.238500000000002</v>
      </c>
      <c r="J399" s="34">
        <v>48.35</v>
      </c>
      <c r="L399" s="872">
        <v>42556</v>
      </c>
      <c r="M399" s="34">
        <v>1.0377063190007254</v>
      </c>
      <c r="N399" s="34">
        <v>0.88881305375447106</v>
      </c>
      <c r="O399" s="34">
        <v>0.9269864947916262</v>
      </c>
      <c r="P399" s="34">
        <v>0.91206210193498205</v>
      </c>
    </row>
    <row r="400" spans="8:16" x14ac:dyDescent="0.25">
      <c r="H400" s="872">
        <v>42594</v>
      </c>
      <c r="I400" s="34">
        <v>84.055499999999995</v>
      </c>
      <c r="J400" s="34">
        <v>46.97</v>
      </c>
      <c r="L400" s="872">
        <v>42552</v>
      </c>
      <c r="M400" s="34">
        <v>1.0448610296821121</v>
      </c>
      <c r="N400" s="34">
        <v>0.91098851097713562</v>
      </c>
      <c r="O400" s="34">
        <v>0.95066631399609469</v>
      </c>
      <c r="P400" s="34">
        <v>0.88963788635476959</v>
      </c>
    </row>
    <row r="401" spans="8:16" x14ac:dyDescent="0.25">
      <c r="H401" s="872">
        <v>42593</v>
      </c>
      <c r="I401" s="34">
        <v>83.974299999999999</v>
      </c>
      <c r="J401" s="34">
        <v>46.04</v>
      </c>
      <c r="L401" s="872">
        <v>42551</v>
      </c>
      <c r="M401" s="34">
        <v>1.042828893106635</v>
      </c>
      <c r="N401" s="34">
        <v>0.9051997623832454</v>
      </c>
      <c r="O401" s="34">
        <v>0.94132799919093213</v>
      </c>
      <c r="P401" s="34">
        <v>0.88876720208187598</v>
      </c>
    </row>
    <row r="402" spans="8:16" x14ac:dyDescent="0.25">
      <c r="H402" s="872">
        <v>42592</v>
      </c>
      <c r="I402" s="34">
        <v>83.229299999999995</v>
      </c>
      <c r="J402" s="34">
        <v>44.05</v>
      </c>
      <c r="L402" s="872">
        <v>42550</v>
      </c>
      <c r="M402" s="34">
        <v>1.0288722387288463</v>
      </c>
      <c r="N402" s="34">
        <v>0.89491146248056719</v>
      </c>
      <c r="O402" s="34">
        <v>0.9347329298367083</v>
      </c>
      <c r="P402" s="34">
        <v>0.88936970346374589</v>
      </c>
    </row>
    <row r="403" spans="8:16" x14ac:dyDescent="0.25">
      <c r="H403" s="872">
        <v>42591</v>
      </c>
      <c r="I403" s="34">
        <v>83.752099999999999</v>
      </c>
      <c r="J403" s="34">
        <v>44.98</v>
      </c>
      <c r="L403" s="872">
        <v>42549</v>
      </c>
      <c r="M403" s="34">
        <v>1.0116413105045063</v>
      </c>
      <c r="N403" s="34">
        <v>0.87168379276785601</v>
      </c>
      <c r="O403" s="34">
        <v>0.91868868783208735</v>
      </c>
      <c r="P403" s="34">
        <v>0.88359497345171401</v>
      </c>
    </row>
    <row r="404" spans="8:16" x14ac:dyDescent="0.25">
      <c r="H404" s="872">
        <v>42590</v>
      </c>
      <c r="I404" s="34">
        <v>84.3172</v>
      </c>
      <c r="J404" s="34">
        <v>45.39</v>
      </c>
      <c r="L404" s="872">
        <v>42548</v>
      </c>
      <c r="M404" s="34">
        <v>0.99397811850983275</v>
      </c>
      <c r="N404" s="34">
        <v>0.85233635409952091</v>
      </c>
      <c r="O404" s="34">
        <v>0.90131901387084468</v>
      </c>
      <c r="P404" s="34">
        <v>0.87848190281221927</v>
      </c>
    </row>
    <row r="405" spans="8:16" x14ac:dyDescent="0.25">
      <c r="H405" s="872">
        <v>42587</v>
      </c>
      <c r="I405" s="34">
        <v>83.854299999999995</v>
      </c>
      <c r="J405" s="34">
        <v>44.27</v>
      </c>
      <c r="L405" s="872">
        <v>42545</v>
      </c>
      <c r="M405" s="34">
        <v>1.0122971589836336</v>
      </c>
      <c r="N405" s="34">
        <v>0.8771881596076796</v>
      </c>
      <c r="O405" s="34">
        <v>0.92937382821312708</v>
      </c>
      <c r="P405" s="34">
        <v>0.86591704896886112</v>
      </c>
    </row>
    <row r="406" spans="8:16" x14ac:dyDescent="0.25">
      <c r="H406" s="872">
        <v>42586</v>
      </c>
      <c r="I406" s="34">
        <v>83.907799999999995</v>
      </c>
      <c r="J406" s="34">
        <v>44.29</v>
      </c>
      <c r="L406" s="872">
        <v>42544</v>
      </c>
      <c r="M406" s="34">
        <v>1.0500134150825275</v>
      </c>
      <c r="N406" s="34">
        <v>0.95990217267660105</v>
      </c>
      <c r="O406" s="34">
        <v>0.99743179325206355</v>
      </c>
      <c r="P406" s="34">
        <v>0.87734637276572414</v>
      </c>
    </row>
    <row r="407" spans="8:16" x14ac:dyDescent="0.25">
      <c r="H407" s="872">
        <v>42585</v>
      </c>
      <c r="I407" s="34">
        <v>83.547200000000004</v>
      </c>
      <c r="J407" s="34">
        <v>43.1</v>
      </c>
      <c r="L407" s="872">
        <v>42543</v>
      </c>
      <c r="M407" s="34">
        <v>1.0361660687845935</v>
      </c>
      <c r="N407" s="34">
        <v>0.9410855799491904</v>
      </c>
      <c r="O407" s="34">
        <v>0.97934737792022897</v>
      </c>
      <c r="P407" s="34">
        <v>0.88146922965374686</v>
      </c>
    </row>
    <row r="408" spans="8:16" x14ac:dyDescent="0.25">
      <c r="H408" s="872">
        <v>42584</v>
      </c>
      <c r="I408" s="34">
        <v>82.729900000000001</v>
      </c>
      <c r="J408" s="34">
        <v>41.8</v>
      </c>
      <c r="L408" s="872">
        <v>42542</v>
      </c>
      <c r="M408" s="34">
        <v>1.0378802182186757</v>
      </c>
      <c r="N408" s="34">
        <v>0.93761928234684466</v>
      </c>
      <c r="O408" s="34">
        <v>0.97394840636985291</v>
      </c>
      <c r="P408" s="34">
        <v>0.8732802468738794</v>
      </c>
    </row>
    <row r="409" spans="8:16" x14ac:dyDescent="0.25">
      <c r="H409" s="872">
        <v>42583</v>
      </c>
      <c r="I409" s="34">
        <v>82.897400000000005</v>
      </c>
      <c r="J409" s="34">
        <v>42.14</v>
      </c>
      <c r="L409" s="872">
        <v>42541</v>
      </c>
      <c r="M409" s="34">
        <v>1.0350729879860483</v>
      </c>
      <c r="N409" s="34">
        <v>0.92989041823076624</v>
      </c>
      <c r="O409" s="34">
        <v>0.96874392226725692</v>
      </c>
      <c r="P409" s="34">
        <v>0.87639044031140778</v>
      </c>
    </row>
    <row r="410" spans="8:16" x14ac:dyDescent="0.25">
      <c r="H410" s="872">
        <v>42580</v>
      </c>
      <c r="I410" s="34">
        <v>84.280900000000003</v>
      </c>
      <c r="J410" s="34">
        <v>42.46</v>
      </c>
      <c r="L410" s="872">
        <v>42538</v>
      </c>
      <c r="M410" s="34">
        <v>1.0290958234376395</v>
      </c>
      <c r="N410" s="34">
        <v>0.90027995803789229</v>
      </c>
      <c r="O410" s="34">
        <v>0.9365893125257696</v>
      </c>
      <c r="P410" s="34">
        <v>0.87526674186304598</v>
      </c>
    </row>
    <row r="411" spans="8:16" x14ac:dyDescent="0.25">
      <c r="H411" s="872">
        <v>42579</v>
      </c>
      <c r="I411" s="34">
        <v>83.398399999999995</v>
      </c>
      <c r="J411" s="34">
        <v>42.7</v>
      </c>
      <c r="L411" s="872">
        <v>42537</v>
      </c>
      <c r="M411" s="34">
        <v>1.0324595311677083</v>
      </c>
      <c r="N411" s="34">
        <v>0.89084164360014662</v>
      </c>
      <c r="O411" s="34">
        <v>0.92872326770030256</v>
      </c>
      <c r="P411" s="34">
        <v>0.87153887832809207</v>
      </c>
    </row>
    <row r="412" spans="8:16" x14ac:dyDescent="0.25">
      <c r="H412" s="872">
        <v>42578</v>
      </c>
      <c r="I412" s="34">
        <v>83.126999999999995</v>
      </c>
      <c r="J412" s="34">
        <v>43.47</v>
      </c>
      <c r="L412" s="872">
        <v>42536</v>
      </c>
      <c r="M412" s="34">
        <v>1.029234942812</v>
      </c>
      <c r="N412" s="34">
        <v>0.89431742059429464</v>
      </c>
      <c r="O412" s="34">
        <v>0.9341922547318795</v>
      </c>
      <c r="P412" s="34">
        <v>0.87590534478793836</v>
      </c>
    </row>
    <row r="413" spans="8:16" x14ac:dyDescent="0.25">
      <c r="H413" s="872">
        <v>42577</v>
      </c>
      <c r="I413" s="34">
        <v>83.721500000000006</v>
      </c>
      <c r="J413" s="34">
        <v>44.87</v>
      </c>
      <c r="L413" s="872">
        <v>42535</v>
      </c>
      <c r="M413" s="34">
        <v>1.0311329285622013</v>
      </c>
      <c r="N413" s="34">
        <v>0.8838521720446415</v>
      </c>
      <c r="O413" s="34">
        <v>0.9256824564542605</v>
      </c>
      <c r="P413" s="34">
        <v>0.86224682655301865</v>
      </c>
    </row>
    <row r="414" spans="8:16" x14ac:dyDescent="0.25">
      <c r="H414" s="872">
        <v>42576</v>
      </c>
      <c r="I414" s="34">
        <v>83.923599999999993</v>
      </c>
      <c r="J414" s="34">
        <v>44.72</v>
      </c>
      <c r="L414" s="872">
        <v>42534</v>
      </c>
      <c r="M414" s="34">
        <v>1.0329911659197279</v>
      </c>
      <c r="N414" s="34">
        <v>0.90165446984921438</v>
      </c>
      <c r="O414" s="34">
        <v>0.93912542884482231</v>
      </c>
      <c r="P414" s="34">
        <v>0.85948096295860343</v>
      </c>
    </row>
    <row r="415" spans="8:16" x14ac:dyDescent="0.25">
      <c r="H415" s="872">
        <v>42573</v>
      </c>
      <c r="I415" s="34">
        <v>84.635199999999998</v>
      </c>
      <c r="J415" s="34">
        <v>45.69</v>
      </c>
      <c r="L415" s="872">
        <v>42529</v>
      </c>
      <c r="M415" s="34">
        <v>1.0528951735514194</v>
      </c>
      <c r="N415" s="34">
        <v>0.95418293962259382</v>
      </c>
      <c r="O415" s="34">
        <v>0.99354204429646109</v>
      </c>
      <c r="P415" s="34">
        <v>0.88802484514258295</v>
      </c>
    </row>
    <row r="416" spans="8:16" x14ac:dyDescent="0.25">
      <c r="H416" s="872">
        <v>42572</v>
      </c>
      <c r="I416" s="34">
        <v>84.951999999999998</v>
      </c>
      <c r="J416" s="34">
        <v>46.2</v>
      </c>
      <c r="L416" s="872">
        <v>42528</v>
      </c>
      <c r="M416" s="34">
        <v>1.0494221577414964</v>
      </c>
      <c r="N416" s="34">
        <v>0.96079639530327732</v>
      </c>
      <c r="O416" s="34">
        <v>1.0004123133892939</v>
      </c>
      <c r="P416" s="34">
        <v>0.89072062927113116</v>
      </c>
    </row>
    <row r="417" spans="8:16" x14ac:dyDescent="0.25">
      <c r="H417" s="872">
        <v>42571</v>
      </c>
      <c r="I417" s="34">
        <v>85.156300000000002</v>
      </c>
      <c r="J417" s="34">
        <v>47.17</v>
      </c>
      <c r="L417" s="872">
        <v>42527</v>
      </c>
      <c r="M417" s="34">
        <v>1.0480707123905675</v>
      </c>
      <c r="N417" s="34">
        <v>0.94853954170300425</v>
      </c>
      <c r="O417" s="34">
        <v>0.98421150898920973</v>
      </c>
      <c r="P417" s="34">
        <v>0.89012995948739448</v>
      </c>
    </row>
    <row r="418" spans="8:16" x14ac:dyDescent="0.25">
      <c r="H418" s="872">
        <v>42570</v>
      </c>
      <c r="I418" s="34">
        <v>85.748400000000004</v>
      </c>
      <c r="J418" s="34">
        <v>46.66</v>
      </c>
      <c r="L418" s="872">
        <v>42524</v>
      </c>
      <c r="M418" s="34">
        <v>1.0429630439319111</v>
      </c>
      <c r="N418" s="34">
        <v>0.94716502989168216</v>
      </c>
      <c r="O418" s="34">
        <v>0.98247862582948897</v>
      </c>
      <c r="P418" s="34">
        <v>0.89152062732953552</v>
      </c>
    </row>
    <row r="419" spans="8:16" x14ac:dyDescent="0.25">
      <c r="H419" s="872">
        <v>42569</v>
      </c>
      <c r="I419" s="34">
        <v>86.526600000000002</v>
      </c>
      <c r="J419" s="34">
        <v>46.96</v>
      </c>
      <c r="L419" s="872">
        <v>42523</v>
      </c>
      <c r="M419" s="34">
        <v>1.0460087645205847</v>
      </c>
      <c r="N419" s="34">
        <v>0.95863825376963807</v>
      </c>
      <c r="O419" s="34">
        <v>0.99266393346973381</v>
      </c>
      <c r="P419" s="34">
        <v>0.88743933272213527</v>
      </c>
    </row>
    <row r="420" spans="8:16" x14ac:dyDescent="0.25">
      <c r="H420" s="872">
        <v>42566</v>
      </c>
      <c r="I420" s="34">
        <v>86.698400000000007</v>
      </c>
      <c r="J420" s="34">
        <v>47.61</v>
      </c>
      <c r="L420" s="872">
        <v>42522</v>
      </c>
      <c r="M420" s="34">
        <v>1.0430624149135967</v>
      </c>
      <c r="N420" s="34">
        <v>0.96018971422793509</v>
      </c>
      <c r="O420" s="34">
        <v>0.99231774581268528</v>
      </c>
      <c r="P420" s="34">
        <v>0.88388348242158232</v>
      </c>
    </row>
    <row r="421" spans="8:16" x14ac:dyDescent="0.25">
      <c r="H421" s="872">
        <v>42565</v>
      </c>
      <c r="I421" s="34">
        <v>87.119600000000005</v>
      </c>
      <c r="J421" s="34">
        <v>47.37</v>
      </c>
      <c r="L421" s="872">
        <v>42521</v>
      </c>
      <c r="M421" s="34">
        <v>1.0418848687806186</v>
      </c>
      <c r="N421" s="34">
        <v>0.96799757327569858</v>
      </c>
      <c r="O421" s="34">
        <v>0.99798705491547568</v>
      </c>
      <c r="P421" s="34">
        <v>0.88482636978052087</v>
      </c>
    </row>
    <row r="422" spans="8:16" x14ac:dyDescent="0.25">
      <c r="H422" s="872">
        <v>42564</v>
      </c>
      <c r="I422" s="34">
        <v>86.976699999999994</v>
      </c>
      <c r="J422" s="34">
        <v>46.26</v>
      </c>
      <c r="L422" s="872">
        <v>42517</v>
      </c>
      <c r="M422" s="34">
        <v>1.0429282640883208</v>
      </c>
      <c r="N422" s="34">
        <v>0.97273726917680958</v>
      </c>
      <c r="O422" s="34">
        <v>1.0002790894875644</v>
      </c>
      <c r="P422" s="34">
        <v>0.85583288686747216</v>
      </c>
    </row>
    <row r="423" spans="8:16" x14ac:dyDescent="0.25">
      <c r="H423" s="872">
        <v>42563</v>
      </c>
      <c r="I423" s="34">
        <v>87.488900000000001</v>
      </c>
      <c r="J423" s="34">
        <v>48.47</v>
      </c>
      <c r="L423" s="872">
        <v>42516</v>
      </c>
      <c r="M423" s="34">
        <v>1.0384764441087913</v>
      </c>
      <c r="N423" s="34">
        <v>0.97044009656340446</v>
      </c>
      <c r="O423" s="34">
        <v>0.99895657484265954</v>
      </c>
      <c r="P423" s="34">
        <v>0.85625670078009686</v>
      </c>
    </row>
    <row r="424" spans="8:16" x14ac:dyDescent="0.25">
      <c r="H424" s="872">
        <v>42562</v>
      </c>
      <c r="I424" s="34">
        <v>86.081500000000005</v>
      </c>
      <c r="J424" s="34">
        <v>46.25</v>
      </c>
      <c r="L424" s="872">
        <v>42515</v>
      </c>
      <c r="M424" s="34">
        <v>1.0386950602685003</v>
      </c>
      <c r="N424" s="34">
        <v>0.96740353138942592</v>
      </c>
      <c r="O424" s="34">
        <v>0.9923926234800805</v>
      </c>
      <c r="P424" s="34">
        <v>0.85402477597323989</v>
      </c>
    </row>
    <row r="425" spans="8:16" x14ac:dyDescent="0.25">
      <c r="H425" s="872">
        <v>42559</v>
      </c>
      <c r="I425" s="34">
        <v>86.402299999999997</v>
      </c>
      <c r="J425" s="34">
        <v>46.76</v>
      </c>
      <c r="L425" s="872">
        <v>42514</v>
      </c>
      <c r="M425" s="34">
        <v>1.0315006011944392</v>
      </c>
      <c r="N425" s="34">
        <v>0.95113689505681309</v>
      </c>
      <c r="O425" s="34">
        <v>0.97801027671674057</v>
      </c>
      <c r="P425" s="34">
        <v>0.85602097894036222</v>
      </c>
    </row>
    <row r="426" spans="8:16" x14ac:dyDescent="0.25">
      <c r="H426" s="872">
        <v>42558</v>
      </c>
      <c r="I426" s="34">
        <v>85.5334</v>
      </c>
      <c r="J426" s="34">
        <v>46.4</v>
      </c>
      <c r="L426" s="872">
        <v>42513</v>
      </c>
      <c r="M426" s="34">
        <v>1.0175787266602405</v>
      </c>
      <c r="N426" s="34">
        <v>0.92674641994969587</v>
      </c>
      <c r="O426" s="34">
        <v>0.95710093120590001</v>
      </c>
      <c r="P426" s="34">
        <v>0.86268884292431003</v>
      </c>
    </row>
    <row r="427" spans="8:16" x14ac:dyDescent="0.25">
      <c r="H427" s="872">
        <v>42557</v>
      </c>
      <c r="I427" s="34">
        <v>87.527199999999993</v>
      </c>
      <c r="J427" s="34">
        <v>48.8</v>
      </c>
      <c r="L427" s="872">
        <v>42510</v>
      </c>
      <c r="M427" s="34">
        <v>1.0197052656683196</v>
      </c>
      <c r="N427" s="34">
        <v>0.93598250736232758</v>
      </c>
      <c r="O427" s="34">
        <v>0.96427071096831407</v>
      </c>
      <c r="P427" s="34">
        <v>0.85717895868587968</v>
      </c>
    </row>
    <row r="428" spans="8:16" x14ac:dyDescent="0.25">
      <c r="H428" s="872">
        <v>42556</v>
      </c>
      <c r="I428" s="34">
        <v>87.428200000000004</v>
      </c>
      <c r="J428" s="34">
        <v>47.96</v>
      </c>
      <c r="L428" s="872">
        <v>42509</v>
      </c>
      <c r="M428" s="34">
        <v>1.0136038873928035</v>
      </c>
      <c r="N428" s="34">
        <v>0.92241433789608041</v>
      </c>
      <c r="O428" s="34">
        <v>0.95258882241740106</v>
      </c>
      <c r="P428" s="34">
        <v>0.85154317410833746</v>
      </c>
    </row>
    <row r="429" spans="8:16" x14ac:dyDescent="0.25">
      <c r="H429" s="872">
        <v>42552</v>
      </c>
      <c r="I429" s="34">
        <v>89.678799999999995</v>
      </c>
      <c r="J429" s="34">
        <v>50.35</v>
      </c>
      <c r="L429" s="872">
        <v>42508</v>
      </c>
      <c r="M429" s="34">
        <v>1.0173750161477846</v>
      </c>
      <c r="N429" s="34">
        <v>0.93417194352810307</v>
      </c>
      <c r="O429" s="34">
        <v>0.9669167126953625</v>
      </c>
      <c r="P429" s="34">
        <v>0.85172762568949401</v>
      </c>
    </row>
    <row r="430" spans="8:16" x14ac:dyDescent="0.25">
      <c r="H430" s="872">
        <v>42551</v>
      </c>
      <c r="I430" s="34">
        <v>88.842299999999994</v>
      </c>
      <c r="J430" s="34">
        <v>49.68</v>
      </c>
      <c r="L430" s="872">
        <v>42507</v>
      </c>
      <c r="M430" s="34">
        <v>1.017166337086244</v>
      </c>
      <c r="N430" s="34">
        <v>0.92837687533967816</v>
      </c>
      <c r="O430" s="34">
        <v>0.9617589055802338</v>
      </c>
      <c r="P430" s="34">
        <v>0.86270067452244348</v>
      </c>
    </row>
    <row r="431" spans="8:16" x14ac:dyDescent="0.25">
      <c r="H431" s="872">
        <v>42550</v>
      </c>
      <c r="I431" s="34">
        <v>89.298400000000001</v>
      </c>
      <c r="J431" s="34">
        <v>50.61</v>
      </c>
      <c r="L431" s="872">
        <v>42503</v>
      </c>
      <c r="M431" s="34">
        <v>1.0168682241411862</v>
      </c>
      <c r="N431" s="34">
        <v>0.93423513947345138</v>
      </c>
      <c r="O431" s="34">
        <v>0.96785705950537948</v>
      </c>
      <c r="P431" s="34">
        <v>0.85767224531574893</v>
      </c>
    </row>
    <row r="432" spans="8:16" x14ac:dyDescent="0.25">
      <c r="H432" s="872">
        <v>42549</v>
      </c>
      <c r="I432" s="34">
        <v>88.301599999999993</v>
      </c>
      <c r="J432" s="34">
        <v>48.58</v>
      </c>
      <c r="L432" s="872">
        <v>42502</v>
      </c>
      <c r="M432" s="34">
        <v>1.025563185038705</v>
      </c>
      <c r="N432" s="34">
        <v>0.92754584865834999</v>
      </c>
      <c r="O432" s="34">
        <v>0.95902927425063988</v>
      </c>
      <c r="P432" s="34">
        <v>0.86032768066091925</v>
      </c>
    </row>
    <row r="433" spans="8:16" x14ac:dyDescent="0.25">
      <c r="H433" s="872">
        <v>42548</v>
      </c>
      <c r="I433" s="34">
        <v>86.655799999999999</v>
      </c>
      <c r="J433" s="34">
        <v>47.16</v>
      </c>
      <c r="L433" s="872">
        <v>42501</v>
      </c>
      <c r="M433" s="34">
        <v>1.0257370842566553</v>
      </c>
      <c r="N433" s="34">
        <v>0.93426041785159064</v>
      </c>
      <c r="O433" s="34">
        <v>0.97003726379499455</v>
      </c>
      <c r="P433" s="34">
        <v>0.86068414547647665</v>
      </c>
    </row>
    <row r="434" spans="8:16" x14ac:dyDescent="0.25">
      <c r="H434" s="872">
        <v>42545</v>
      </c>
      <c r="I434" s="34">
        <v>86.955699999999993</v>
      </c>
      <c r="J434" s="34">
        <v>48.41</v>
      </c>
      <c r="L434" s="872">
        <v>42500</v>
      </c>
      <c r="M434" s="34">
        <v>1.035639402581658</v>
      </c>
      <c r="N434" s="34">
        <v>0.94129412656883926</v>
      </c>
      <c r="O434" s="34">
        <v>0.97685599371416565</v>
      </c>
      <c r="P434" s="34">
        <v>0.85933534328926919</v>
      </c>
    </row>
    <row r="435" spans="8:16" x14ac:dyDescent="0.25">
      <c r="H435" s="872">
        <v>42544</v>
      </c>
      <c r="I435" s="34">
        <v>88.345399999999998</v>
      </c>
      <c r="J435" s="34">
        <v>50.91</v>
      </c>
      <c r="L435" s="872">
        <v>42499</v>
      </c>
      <c r="M435" s="34">
        <v>1.0228702314350164</v>
      </c>
      <c r="N435" s="34">
        <v>0.93398235569205867</v>
      </c>
      <c r="O435" s="34">
        <v>0.97054001384750621</v>
      </c>
      <c r="P435" s="34">
        <v>0.8591903303685573</v>
      </c>
    </row>
    <row r="436" spans="8:16" x14ac:dyDescent="0.25">
      <c r="H436" s="872">
        <v>42543</v>
      </c>
      <c r="I436" s="34">
        <v>88.018900000000002</v>
      </c>
      <c r="J436" s="34">
        <v>49.88</v>
      </c>
      <c r="L436" s="872">
        <v>42496</v>
      </c>
      <c r="M436" s="34">
        <v>1.0221001063269504</v>
      </c>
      <c r="N436" s="34">
        <v>0.9279819006812523</v>
      </c>
      <c r="O436" s="34">
        <v>0.95979069260869909</v>
      </c>
      <c r="P436" s="34">
        <v>0.88380460510069303</v>
      </c>
    </row>
    <row r="437" spans="8:16" x14ac:dyDescent="0.25">
      <c r="H437" s="872">
        <v>42542</v>
      </c>
      <c r="I437" s="34">
        <v>88.583299999999994</v>
      </c>
      <c r="J437" s="34">
        <v>50.62</v>
      </c>
      <c r="L437" s="872">
        <v>42495</v>
      </c>
      <c r="M437" s="34">
        <v>1.0188655808730736</v>
      </c>
      <c r="N437" s="34">
        <v>0.92909098952211222</v>
      </c>
      <c r="O437" s="34">
        <v>0.95803155364352788</v>
      </c>
      <c r="P437" s="34">
        <v>0.9094682515749678</v>
      </c>
    </row>
    <row r="438" spans="8:16" x14ac:dyDescent="0.25">
      <c r="H438" s="872">
        <v>42541</v>
      </c>
      <c r="I438" s="34">
        <v>89.453800000000001</v>
      </c>
      <c r="J438" s="34">
        <v>50.65</v>
      </c>
      <c r="L438" s="872">
        <v>42494</v>
      </c>
      <c r="M438" s="34">
        <v>1.0191090397782039</v>
      </c>
      <c r="N438" s="34">
        <v>0.92858542195932703</v>
      </c>
      <c r="O438" s="34">
        <v>0.95573562932248346</v>
      </c>
      <c r="P438" s="34">
        <v>0.90747508235095675</v>
      </c>
    </row>
    <row r="439" spans="8:16" x14ac:dyDescent="0.25">
      <c r="H439" s="872">
        <v>42538</v>
      </c>
      <c r="I439" s="34">
        <v>88.721199999999996</v>
      </c>
      <c r="J439" s="34">
        <v>49.17</v>
      </c>
      <c r="L439" s="872">
        <v>42493</v>
      </c>
      <c r="M439" s="34">
        <v>1.0251955124064669</v>
      </c>
      <c r="N439" s="34">
        <v>0.93978690327228598</v>
      </c>
      <c r="O439" s="34">
        <v>0.96531608100013222</v>
      </c>
      <c r="P439" s="34">
        <v>0.9078910085314924</v>
      </c>
    </row>
    <row r="440" spans="8:16" x14ac:dyDescent="0.25">
      <c r="H440" s="872">
        <v>42537</v>
      </c>
      <c r="I440" s="34">
        <v>87.233900000000006</v>
      </c>
      <c r="J440" s="34">
        <v>47.19</v>
      </c>
      <c r="L440" s="872">
        <v>42489</v>
      </c>
      <c r="M440" s="34">
        <v>1.0261544423797364</v>
      </c>
      <c r="N440" s="34">
        <v>0.95685296831355293</v>
      </c>
      <c r="O440" s="34">
        <v>0.97622682682059692</v>
      </c>
      <c r="P440" s="34">
        <v>0.89141171595184598</v>
      </c>
    </row>
    <row r="441" spans="8:16" x14ac:dyDescent="0.25">
      <c r="H441" s="872">
        <v>42536</v>
      </c>
      <c r="I441" s="34">
        <v>88.469200000000001</v>
      </c>
      <c r="J441" s="34">
        <v>48.97</v>
      </c>
      <c r="L441" s="872">
        <v>42488</v>
      </c>
      <c r="M441" s="34">
        <v>1.0313763874673316</v>
      </c>
      <c r="N441" s="34">
        <v>0.9875725173472869</v>
      </c>
      <c r="O441" s="34">
        <v>1.0036670608278941</v>
      </c>
      <c r="P441" s="34">
        <v>0.89361573032208053</v>
      </c>
    </row>
    <row r="442" spans="8:16" x14ac:dyDescent="0.25">
      <c r="H442" s="872">
        <v>42535</v>
      </c>
      <c r="I442" s="34">
        <v>88.773099999999999</v>
      </c>
      <c r="J442" s="34">
        <v>49.83</v>
      </c>
      <c r="L442" s="872">
        <v>42487</v>
      </c>
      <c r="M442" s="34">
        <v>1.040985561396361</v>
      </c>
      <c r="N442" s="34">
        <v>0.98915241598099057</v>
      </c>
      <c r="O442" s="34">
        <v>1.0015938246345579</v>
      </c>
      <c r="P442" s="34">
        <v>0.89606790487880494</v>
      </c>
    </row>
    <row r="443" spans="8:16" x14ac:dyDescent="0.25">
      <c r="H443" s="872">
        <v>42534</v>
      </c>
      <c r="I443" s="34">
        <v>89.083699999999993</v>
      </c>
      <c r="J443" s="34">
        <v>50.35</v>
      </c>
      <c r="L443" s="872">
        <v>42486</v>
      </c>
      <c r="M443" s="34">
        <v>1.0392714119622786</v>
      </c>
      <c r="N443" s="34">
        <v>0.9862643612785803</v>
      </c>
      <c r="O443" s="34">
        <v>0.99768073718522199</v>
      </c>
      <c r="P443" s="34">
        <v>0.89941382015606786</v>
      </c>
    </row>
    <row r="444" spans="8:16" x14ac:dyDescent="0.25">
      <c r="H444" s="872">
        <v>42531</v>
      </c>
      <c r="I444" s="34">
        <v>88.942700000000002</v>
      </c>
      <c r="J444" s="34">
        <v>50.54</v>
      </c>
      <c r="L444" s="872">
        <v>42485</v>
      </c>
      <c r="M444" s="34">
        <v>1.0373287092703187</v>
      </c>
      <c r="N444" s="34">
        <v>0.98510471568144176</v>
      </c>
      <c r="O444" s="34">
        <v>1.0010609290276404</v>
      </c>
      <c r="P444" s="34">
        <v>0.8939439813267045</v>
      </c>
    </row>
    <row r="445" spans="8:16" x14ac:dyDescent="0.25">
      <c r="H445" s="872">
        <v>42530</v>
      </c>
      <c r="I445" s="34">
        <v>89.877200000000002</v>
      </c>
      <c r="J445" s="34">
        <v>51.95</v>
      </c>
      <c r="L445" s="872">
        <v>42482</v>
      </c>
      <c r="M445" s="34">
        <v>1.0392117893732671</v>
      </c>
      <c r="N445" s="34">
        <v>0.99253023925984896</v>
      </c>
      <c r="O445" s="34">
        <v>1.0087567973362999</v>
      </c>
      <c r="P445" s="34">
        <v>0.89775739641739205</v>
      </c>
    </row>
    <row r="446" spans="8:16" x14ac:dyDescent="0.25">
      <c r="H446" s="872">
        <v>42529</v>
      </c>
      <c r="I446" s="34">
        <v>89.936800000000005</v>
      </c>
      <c r="J446" s="34">
        <v>52.51</v>
      </c>
      <c r="L446" s="872">
        <v>42481</v>
      </c>
      <c r="M446" s="34">
        <v>1.0391621038824241</v>
      </c>
      <c r="N446" s="34">
        <v>0.99587014497149862</v>
      </c>
      <c r="O446" s="34">
        <v>1.0148092467112171</v>
      </c>
      <c r="P446" s="34">
        <v>0.89583127291613707</v>
      </c>
    </row>
    <row r="447" spans="8:16" x14ac:dyDescent="0.25">
      <c r="H447" s="872">
        <v>42528</v>
      </c>
      <c r="I447" s="34">
        <v>88.288600000000002</v>
      </c>
      <c r="J447" s="34">
        <v>51.44</v>
      </c>
      <c r="L447" s="872">
        <v>42480</v>
      </c>
      <c r="M447" s="34">
        <v>1.044587759482476</v>
      </c>
      <c r="N447" s="34">
        <v>0.99297261087728605</v>
      </c>
      <c r="O447" s="34">
        <v>1.0134050473382448</v>
      </c>
      <c r="P447" s="34">
        <v>0.90180562322488111</v>
      </c>
    </row>
    <row r="448" spans="8:16" x14ac:dyDescent="0.25">
      <c r="H448" s="872">
        <v>42527</v>
      </c>
      <c r="I448" s="34">
        <v>88.113699999999994</v>
      </c>
      <c r="J448" s="34">
        <v>50.55</v>
      </c>
      <c r="L448" s="872">
        <v>42479</v>
      </c>
      <c r="M448" s="34">
        <v>1.0437927916289886</v>
      </c>
      <c r="N448" s="34">
        <v>0.9836417295466322</v>
      </c>
      <c r="O448" s="34">
        <v>1.0064326723353274</v>
      </c>
      <c r="P448" s="34">
        <v>0.92311433146313182</v>
      </c>
    </row>
    <row r="449" spans="8:16" x14ac:dyDescent="0.25">
      <c r="H449" s="872">
        <v>42524</v>
      </c>
      <c r="I449" s="34">
        <v>87.141099999999994</v>
      </c>
      <c r="J449" s="34">
        <v>49.64</v>
      </c>
      <c r="L449" s="872">
        <v>42478</v>
      </c>
      <c r="M449" s="34">
        <v>1.0405831089205331</v>
      </c>
      <c r="N449" s="34">
        <v>0.968171362125406</v>
      </c>
      <c r="O449" s="34">
        <v>0.98413663132181439</v>
      </c>
      <c r="P449" s="34">
        <v>0.92033451265040545</v>
      </c>
    </row>
    <row r="450" spans="8:16" x14ac:dyDescent="0.25">
      <c r="H450" s="872">
        <v>42523</v>
      </c>
      <c r="I450" s="34">
        <v>86.706199999999995</v>
      </c>
      <c r="J450" s="34">
        <v>50.04</v>
      </c>
      <c r="L450" s="872">
        <v>42475</v>
      </c>
      <c r="M450" s="34">
        <v>1.0338209136168055</v>
      </c>
      <c r="N450" s="34">
        <v>0.96510951857328831</v>
      </c>
      <c r="O450" s="34">
        <v>0.97745209774161168</v>
      </c>
      <c r="P450" s="34">
        <v>0.9338213210252353</v>
      </c>
    </row>
    <row r="451" spans="8:16" x14ac:dyDescent="0.25">
      <c r="H451" s="872">
        <v>42522</v>
      </c>
      <c r="I451" s="34">
        <v>85.908500000000004</v>
      </c>
      <c r="J451" s="34">
        <v>49.72</v>
      </c>
      <c r="L451" s="872">
        <v>42474</v>
      </c>
      <c r="M451" s="34">
        <v>1.0348394661790865</v>
      </c>
      <c r="N451" s="34">
        <v>0.96716970639163791</v>
      </c>
      <c r="O451" s="34">
        <v>0.98154411364290539</v>
      </c>
      <c r="P451" s="34">
        <v>0.93510944835022025</v>
      </c>
    </row>
    <row r="452" spans="8:16" x14ac:dyDescent="0.25">
      <c r="H452" s="872">
        <v>42521</v>
      </c>
      <c r="I452" s="34">
        <v>85.338300000000004</v>
      </c>
      <c r="J452" s="34">
        <v>49.69</v>
      </c>
      <c r="L452" s="872">
        <v>42473</v>
      </c>
      <c r="M452" s="34">
        <v>1.0346605984120516</v>
      </c>
      <c r="N452" s="34">
        <v>0.96032242571316617</v>
      </c>
      <c r="O452" s="34">
        <v>0.97497530009413191</v>
      </c>
      <c r="P452" s="34">
        <v>0.93033919068228277</v>
      </c>
    </row>
    <row r="453" spans="8:16" x14ac:dyDescent="0.25">
      <c r="H453" s="872">
        <v>42517</v>
      </c>
      <c r="I453" s="34">
        <v>85.467500000000001</v>
      </c>
      <c r="J453" s="34">
        <v>49.32</v>
      </c>
      <c r="L453" s="872">
        <v>42472</v>
      </c>
      <c r="M453" s="34">
        <v>1.0243757018075581</v>
      </c>
      <c r="N453" s="34">
        <v>0.92964079424664114</v>
      </c>
      <c r="O453" s="34">
        <v>0.94924169344110521</v>
      </c>
      <c r="P453" s="34">
        <v>0.91729652229892211</v>
      </c>
    </row>
    <row r="454" spans="8:16" x14ac:dyDescent="0.25">
      <c r="H454" s="872">
        <v>42516</v>
      </c>
      <c r="I454" s="34">
        <v>85.353999999999999</v>
      </c>
      <c r="J454" s="34">
        <v>49.59</v>
      </c>
      <c r="L454" s="872">
        <v>42471</v>
      </c>
      <c r="M454" s="34">
        <v>1.0145727544642413</v>
      </c>
      <c r="N454" s="34">
        <v>0.92399739632705158</v>
      </c>
      <c r="O454" s="34">
        <v>0.94161000599021327</v>
      </c>
      <c r="P454" s="34">
        <v>0.92042461482080595</v>
      </c>
    </row>
    <row r="455" spans="8:16" x14ac:dyDescent="0.25">
      <c r="H455" s="872">
        <v>42515</v>
      </c>
      <c r="I455" s="34">
        <v>85.188900000000004</v>
      </c>
      <c r="J455" s="34">
        <v>49.74</v>
      </c>
      <c r="L455" s="872">
        <v>42468</v>
      </c>
      <c r="M455" s="34">
        <v>1.0173601105005317</v>
      </c>
      <c r="N455" s="34">
        <v>0.92012664467447758</v>
      </c>
      <c r="O455" s="34">
        <v>0.93570439463836996</v>
      </c>
      <c r="P455" s="34">
        <v>0.90555957695059075</v>
      </c>
    </row>
    <row r="456" spans="8:16" x14ac:dyDescent="0.25">
      <c r="H456" s="872">
        <v>42514</v>
      </c>
      <c r="I456" s="34">
        <v>84.173299999999998</v>
      </c>
      <c r="J456" s="34">
        <v>48.61</v>
      </c>
      <c r="L456" s="872">
        <v>42467</v>
      </c>
      <c r="M456" s="34">
        <v>1.0145330060715669</v>
      </c>
      <c r="N456" s="34">
        <v>0.90735790391688464</v>
      </c>
      <c r="O456" s="34">
        <v>0.92679297978108499</v>
      </c>
      <c r="P456" s="34">
        <v>0.91267734503791886</v>
      </c>
    </row>
    <row r="457" spans="8:16" x14ac:dyDescent="0.25">
      <c r="H457" s="872">
        <v>42513</v>
      </c>
      <c r="I457" s="34">
        <v>84.376300000000001</v>
      </c>
      <c r="J457" s="34">
        <v>48.35</v>
      </c>
      <c r="L457" s="872">
        <v>42466</v>
      </c>
      <c r="M457" s="34">
        <v>1.0268301650552005</v>
      </c>
      <c r="N457" s="34">
        <v>0.91929877779041691</v>
      </c>
      <c r="O457" s="34">
        <v>0.93592319301712268</v>
      </c>
      <c r="P457" s="34">
        <v>0.92547124648616708</v>
      </c>
    </row>
    <row r="458" spans="8:16" x14ac:dyDescent="0.25">
      <c r="H458" s="872">
        <v>42510</v>
      </c>
      <c r="I458" s="34">
        <v>84.866600000000005</v>
      </c>
      <c r="J458" s="34">
        <v>48.72</v>
      </c>
      <c r="L458" s="872">
        <v>42465</v>
      </c>
      <c r="M458" s="34">
        <v>1.0161527530730476</v>
      </c>
      <c r="N458" s="34">
        <v>0.91329200318507553</v>
      </c>
      <c r="O458" s="34">
        <v>0.92997673930124547</v>
      </c>
      <c r="P458" s="34">
        <v>0.92622149115754904</v>
      </c>
    </row>
    <row r="459" spans="8:16" x14ac:dyDescent="0.25">
      <c r="H459" s="872">
        <v>42509</v>
      </c>
      <c r="I459" s="34">
        <v>84.683199999999999</v>
      </c>
      <c r="J459" s="34">
        <v>48.81</v>
      </c>
      <c r="L459" s="872">
        <v>42461</v>
      </c>
      <c r="M459" s="34">
        <v>1.02987091709479</v>
      </c>
      <c r="N459" s="34">
        <v>0.93317660738886998</v>
      </c>
      <c r="O459" s="34">
        <v>0.95246726776253854</v>
      </c>
      <c r="P459" s="34">
        <v>0.91301409052325411</v>
      </c>
    </row>
    <row r="460" spans="8:16" x14ac:dyDescent="0.25">
      <c r="H460" s="872">
        <v>42508</v>
      </c>
      <c r="I460" s="34">
        <v>85.3994</v>
      </c>
      <c r="J460" s="34">
        <v>48.93</v>
      </c>
      <c r="L460" s="872">
        <v>42460</v>
      </c>
      <c r="M460" s="34">
        <v>1.0233919290888673</v>
      </c>
      <c r="N460" s="34">
        <v>0.94949696027502861</v>
      </c>
      <c r="O460" s="34">
        <v>0.9690833028636332</v>
      </c>
      <c r="P460" s="34">
        <v>0.91131064376635573</v>
      </c>
    </row>
    <row r="461" spans="8:16" x14ac:dyDescent="0.25">
      <c r="H461" s="872">
        <v>42507</v>
      </c>
      <c r="I461" s="34">
        <v>85.716700000000003</v>
      </c>
      <c r="J461" s="34">
        <v>49.28</v>
      </c>
      <c r="L461" s="872">
        <v>42459</v>
      </c>
      <c r="M461" s="34">
        <v>1.0254836882533562</v>
      </c>
      <c r="N461" s="34">
        <v>0.96187388617146319</v>
      </c>
      <c r="O461" s="34">
        <v>0.97696976887111708</v>
      </c>
      <c r="P461" s="34">
        <v>0.91031860976901691</v>
      </c>
    </row>
    <row r="462" spans="8:16" x14ac:dyDescent="0.25">
      <c r="H462" s="872">
        <v>42506</v>
      </c>
      <c r="I462" s="34">
        <v>85.140299999999996</v>
      </c>
      <c r="J462" s="34">
        <v>48.97</v>
      </c>
      <c r="L462" s="872">
        <v>42458</v>
      </c>
      <c r="M462" s="34">
        <v>1.0210418053719954</v>
      </c>
      <c r="N462" s="34">
        <v>0.94947800149142425</v>
      </c>
      <c r="O462" s="34">
        <v>0.9615401072014812</v>
      </c>
      <c r="P462" s="34">
        <v>0.88580202156505949</v>
      </c>
    </row>
    <row r="463" spans="8:16" x14ac:dyDescent="0.25">
      <c r="H463" s="872">
        <v>42503</v>
      </c>
      <c r="I463" s="34">
        <v>84.466300000000004</v>
      </c>
      <c r="J463" s="34">
        <v>47.83</v>
      </c>
      <c r="L463" s="872">
        <v>42453</v>
      </c>
      <c r="M463" s="34">
        <v>1.0115667822682419</v>
      </c>
      <c r="N463" s="34">
        <v>0.94374612924834733</v>
      </c>
      <c r="O463" s="34">
        <v>0.95798195934434394</v>
      </c>
      <c r="P463" s="34">
        <v>0.89828223397561724</v>
      </c>
    </row>
    <row r="464" spans="8:16" x14ac:dyDescent="0.25">
      <c r="H464" s="872">
        <v>42502</v>
      </c>
      <c r="I464" s="34">
        <v>84.750399999999999</v>
      </c>
      <c r="J464" s="34">
        <v>48.08</v>
      </c>
      <c r="L464" s="872">
        <v>42452</v>
      </c>
      <c r="M464" s="34">
        <v>1.0119493605477328</v>
      </c>
      <c r="N464" s="34">
        <v>0.96134304023053874</v>
      </c>
      <c r="O464" s="34">
        <v>0.97466703748940042</v>
      </c>
      <c r="P464" s="34">
        <v>0.9131445414770325</v>
      </c>
    </row>
    <row r="465" spans="8:16" x14ac:dyDescent="0.25">
      <c r="H465" s="872">
        <v>42501</v>
      </c>
      <c r="I465" s="34">
        <v>84.713800000000006</v>
      </c>
      <c r="J465" s="34">
        <v>47.6</v>
      </c>
      <c r="L465" s="872">
        <v>42451</v>
      </c>
      <c r="M465" s="34">
        <v>1.0184531912990769</v>
      </c>
      <c r="N465" s="34">
        <v>0.96412682162312457</v>
      </c>
      <c r="O465" s="34">
        <v>0.97146480166170068</v>
      </c>
      <c r="P465" s="34">
        <v>0.90992968390217033</v>
      </c>
    </row>
    <row r="466" spans="8:16" x14ac:dyDescent="0.25">
      <c r="H466" s="872">
        <v>42500</v>
      </c>
      <c r="I466" s="34">
        <v>83.360600000000005</v>
      </c>
      <c r="J466" s="34">
        <v>45.52</v>
      </c>
      <c r="L466" s="872">
        <v>42450</v>
      </c>
      <c r="M466" s="34">
        <v>1.0193475301342501</v>
      </c>
      <c r="N466" s="34">
        <v>0.96334951149534243</v>
      </c>
      <c r="O466" s="34">
        <v>0.96744280124160775</v>
      </c>
      <c r="P466" s="34">
        <v>0.91582697713589178</v>
      </c>
    </row>
    <row r="467" spans="8:16" x14ac:dyDescent="0.25">
      <c r="H467" s="872">
        <v>42499</v>
      </c>
      <c r="I467" s="34">
        <v>81.757599999999996</v>
      </c>
      <c r="J467" s="34">
        <v>43.63</v>
      </c>
      <c r="L467" s="872">
        <v>42447</v>
      </c>
      <c r="M467" s="34">
        <v>1.0183438832192222</v>
      </c>
      <c r="N467" s="34">
        <v>0.96682528848949045</v>
      </c>
      <c r="O467" s="34">
        <v>0.96765284768521032</v>
      </c>
      <c r="P467" s="34">
        <v>0.89651659548494089</v>
      </c>
    </row>
    <row r="468" spans="8:16" x14ac:dyDescent="0.25">
      <c r="H468" s="872">
        <v>42496</v>
      </c>
      <c r="I468" s="34">
        <v>83.393000000000001</v>
      </c>
      <c r="J468" s="34">
        <v>45.37</v>
      </c>
      <c r="L468" s="872">
        <v>42446</v>
      </c>
      <c r="M468" s="34">
        <v>1.0138771575924397</v>
      </c>
      <c r="N468" s="34">
        <v>0.96155790644472239</v>
      </c>
      <c r="O468" s="34">
        <v>0.96195436546525293</v>
      </c>
      <c r="P468" s="34">
        <v>0.88125140689836778</v>
      </c>
    </row>
    <row r="469" spans="8:16" x14ac:dyDescent="0.25">
      <c r="H469" s="872">
        <v>42495</v>
      </c>
      <c r="I469" s="34">
        <v>82.706599999999995</v>
      </c>
      <c r="J469" s="34">
        <v>45.01</v>
      </c>
      <c r="L469" s="872">
        <v>42445</v>
      </c>
      <c r="M469" s="34">
        <v>1.0072342074667355</v>
      </c>
      <c r="N469" s="34">
        <v>0.96754572226645941</v>
      </c>
      <c r="O469" s="34">
        <v>0.97082396552126515</v>
      </c>
      <c r="P469" s="34">
        <v>0.87081472384746583</v>
      </c>
    </row>
    <row r="470" spans="8:16" x14ac:dyDescent="0.25">
      <c r="H470" s="872">
        <v>42494</v>
      </c>
      <c r="I470" s="34">
        <v>83.353700000000003</v>
      </c>
      <c r="J470" s="34">
        <v>44.62</v>
      </c>
      <c r="L470" s="872">
        <v>42444</v>
      </c>
      <c r="M470" s="34">
        <v>1.0016247155505649</v>
      </c>
      <c r="N470" s="34">
        <v>0.96917617765644148</v>
      </c>
      <c r="O470" s="34">
        <v>0.96600456656527389</v>
      </c>
      <c r="P470" s="34">
        <v>0.86897566877350019</v>
      </c>
    </row>
    <row r="471" spans="8:16" x14ac:dyDescent="0.25">
      <c r="H471" s="872">
        <v>42493</v>
      </c>
      <c r="I471" s="34">
        <v>83.577500000000001</v>
      </c>
      <c r="J471" s="34">
        <v>44.97</v>
      </c>
      <c r="L471" s="872">
        <v>42443</v>
      </c>
      <c r="M471" s="34">
        <v>1.0034680472608388</v>
      </c>
      <c r="N471" s="34">
        <v>0.97700299548780944</v>
      </c>
      <c r="O471" s="34">
        <v>0.97149008502991219</v>
      </c>
      <c r="P471" s="34">
        <v>0.86749853925269194</v>
      </c>
    </row>
    <row r="472" spans="8:16" x14ac:dyDescent="0.25">
      <c r="H472" s="872">
        <v>42492</v>
      </c>
      <c r="I472" s="34">
        <v>84.72</v>
      </c>
      <c r="J472" s="34">
        <v>45.83</v>
      </c>
      <c r="L472" s="872">
        <v>42440</v>
      </c>
      <c r="M472" s="34">
        <v>1.0047350272773345</v>
      </c>
      <c r="N472" s="34">
        <v>0.97125848405566295</v>
      </c>
      <c r="O472" s="34">
        <v>0.9560156912472868</v>
      </c>
      <c r="P472" s="34">
        <v>0.85257525351474317</v>
      </c>
    </row>
    <row r="473" spans="8:16" x14ac:dyDescent="0.25">
      <c r="H473" s="872">
        <v>42489</v>
      </c>
      <c r="I473" s="34">
        <v>85.520499999999998</v>
      </c>
      <c r="J473" s="34">
        <v>48.13</v>
      </c>
      <c r="L473" s="872">
        <v>42439</v>
      </c>
      <c r="M473" s="34">
        <v>0.98852762016435958</v>
      </c>
      <c r="N473" s="34">
        <v>0.93870625260683271</v>
      </c>
      <c r="O473" s="34">
        <v>0.92363547606637464</v>
      </c>
      <c r="P473" s="34">
        <v>0.85088151473580043</v>
      </c>
    </row>
    <row r="474" spans="8:16" x14ac:dyDescent="0.25">
      <c r="H474" s="872">
        <v>42488</v>
      </c>
      <c r="I474" s="34">
        <v>84.837699999999998</v>
      </c>
      <c r="J474" s="34">
        <v>48.14</v>
      </c>
      <c r="L474" s="872">
        <v>42438</v>
      </c>
      <c r="M474" s="34">
        <v>0.98837359514274636</v>
      </c>
      <c r="N474" s="34">
        <v>0.95305173220086192</v>
      </c>
      <c r="O474" s="34">
        <v>0.94550947931820473</v>
      </c>
      <c r="P474" s="34">
        <v>0.86842595452176385</v>
      </c>
    </row>
    <row r="475" spans="8:16" x14ac:dyDescent="0.25">
      <c r="H475" s="872">
        <v>42487</v>
      </c>
      <c r="I475" s="34">
        <v>84.308999999999997</v>
      </c>
      <c r="J475" s="34">
        <v>47.18</v>
      </c>
      <c r="L475" s="872">
        <v>42437</v>
      </c>
      <c r="M475" s="34">
        <v>0.98340504605844992</v>
      </c>
      <c r="N475" s="34">
        <v>0.9485742994729458</v>
      </c>
      <c r="O475" s="34">
        <v>0.94256591179605265</v>
      </c>
      <c r="P475" s="34">
        <v>0.88020628239658438</v>
      </c>
    </row>
    <row r="476" spans="8:16" x14ac:dyDescent="0.25">
      <c r="H476" s="872">
        <v>42486</v>
      </c>
      <c r="I476" s="34">
        <v>83.838700000000003</v>
      </c>
      <c r="J476" s="34">
        <v>45.74</v>
      </c>
      <c r="L476" s="872">
        <v>42436</v>
      </c>
      <c r="M476" s="34">
        <v>0.99458428149811684</v>
      </c>
      <c r="N476" s="34">
        <v>0.95460319265915894</v>
      </c>
      <c r="O476" s="34">
        <v>0.95093956886022579</v>
      </c>
      <c r="P476" s="34">
        <v>0.87897852655951092</v>
      </c>
    </row>
    <row r="477" spans="8:16" x14ac:dyDescent="0.25">
      <c r="H477" s="872">
        <v>42485</v>
      </c>
      <c r="I477" s="34">
        <v>82.880600000000001</v>
      </c>
      <c r="J477" s="34">
        <v>44.48</v>
      </c>
      <c r="L477" s="872">
        <v>42433</v>
      </c>
      <c r="M477" s="34">
        <v>0.99370484831019645</v>
      </c>
      <c r="N477" s="34">
        <v>0.9597410230159632</v>
      </c>
      <c r="O477" s="34">
        <v>0.95533887492901204</v>
      </c>
      <c r="P477" s="34">
        <v>0.87194236616187204</v>
      </c>
    </row>
    <row r="478" spans="8:16" x14ac:dyDescent="0.25">
      <c r="H478" s="872">
        <v>42482</v>
      </c>
      <c r="I478" s="34">
        <v>83.053700000000006</v>
      </c>
      <c r="J478" s="34">
        <v>45.11</v>
      </c>
      <c r="L478" s="872">
        <v>42432</v>
      </c>
      <c r="M478" s="34">
        <v>0.99043057446364513</v>
      </c>
      <c r="N478" s="34">
        <v>0.9520058393053501</v>
      </c>
      <c r="O478" s="34">
        <v>0.94831301587795525</v>
      </c>
      <c r="P478" s="34">
        <v>0.86757711319927022</v>
      </c>
    </row>
    <row r="479" spans="8:16" x14ac:dyDescent="0.25">
      <c r="H479" s="872">
        <v>42481</v>
      </c>
      <c r="I479" s="34">
        <v>83.587999999999994</v>
      </c>
      <c r="J479" s="34">
        <v>44.53</v>
      </c>
      <c r="L479" s="872">
        <v>42431</v>
      </c>
      <c r="M479" s="34">
        <v>0.98697743285005912</v>
      </c>
      <c r="N479" s="34">
        <v>0.9549349713722366</v>
      </c>
      <c r="O479" s="34">
        <v>0.95071493585803979</v>
      </c>
      <c r="P479" s="34">
        <v>0.86452001026618674</v>
      </c>
    </row>
    <row r="480" spans="8:16" x14ac:dyDescent="0.25">
      <c r="H480" s="872">
        <v>42480</v>
      </c>
      <c r="I480" s="34">
        <v>84.177300000000002</v>
      </c>
      <c r="J480" s="34">
        <v>45.8</v>
      </c>
      <c r="L480" s="872">
        <v>42430</v>
      </c>
      <c r="M480" s="34">
        <v>0.98295290809177893</v>
      </c>
      <c r="N480" s="34">
        <v>0.94679849340866284</v>
      </c>
      <c r="O480" s="34">
        <v>0.94493282403553669</v>
      </c>
      <c r="P480" s="34">
        <v>0.82917356590412528</v>
      </c>
    </row>
    <row r="481" spans="8:16" x14ac:dyDescent="0.25">
      <c r="H481" s="872">
        <v>42479</v>
      </c>
      <c r="I481" s="34">
        <v>82.654300000000006</v>
      </c>
      <c r="J481" s="34">
        <v>44.03</v>
      </c>
      <c r="L481" s="872">
        <v>42429</v>
      </c>
      <c r="M481" s="34">
        <v>0.96003795971500394</v>
      </c>
      <c r="N481" s="34">
        <v>0.93079728004651219</v>
      </c>
      <c r="O481" s="34">
        <v>0.92336805582567694</v>
      </c>
      <c r="P481" s="34">
        <v>0.81546377741062748</v>
      </c>
    </row>
    <row r="482" spans="8:16" x14ac:dyDescent="0.25">
      <c r="H482" s="872">
        <v>42478</v>
      </c>
      <c r="I482" s="34">
        <v>80.678200000000004</v>
      </c>
      <c r="J482" s="34">
        <v>42.91</v>
      </c>
      <c r="L482" s="872">
        <v>42426</v>
      </c>
      <c r="M482" s="34">
        <v>0.96789820436636087</v>
      </c>
      <c r="N482" s="34">
        <v>0.92555517637988338</v>
      </c>
      <c r="O482" s="34">
        <v>0.925108718483309</v>
      </c>
      <c r="P482" s="34">
        <v>0.83950042745440445</v>
      </c>
    </row>
    <row r="483" spans="8:16" x14ac:dyDescent="0.25">
      <c r="H483" s="872">
        <v>42475</v>
      </c>
      <c r="I483" s="34">
        <v>80.392700000000005</v>
      </c>
      <c r="J483" s="34">
        <v>43.1</v>
      </c>
      <c r="L483" s="872">
        <v>42425</v>
      </c>
      <c r="M483" s="34">
        <v>0.96971172478212908</v>
      </c>
      <c r="N483" s="34">
        <v>0.90920638531831799</v>
      </c>
      <c r="O483" s="34">
        <v>0.90742786460561831</v>
      </c>
      <c r="P483" s="34">
        <v>0.83162331346636098</v>
      </c>
    </row>
    <row r="484" spans="8:16" x14ac:dyDescent="0.25">
      <c r="H484" s="872">
        <v>42474</v>
      </c>
      <c r="I484" s="34">
        <v>80.646199999999993</v>
      </c>
      <c r="J484" s="34">
        <v>43.84</v>
      </c>
      <c r="L484" s="872">
        <v>42424</v>
      </c>
      <c r="M484" s="34">
        <v>0.95883060228751993</v>
      </c>
      <c r="N484" s="34">
        <v>0.89113866454328272</v>
      </c>
      <c r="O484" s="34">
        <v>0.89151101187929316</v>
      </c>
      <c r="P484" s="34">
        <v>0.88855180632098585</v>
      </c>
    </row>
    <row r="485" spans="8:16" x14ac:dyDescent="0.25">
      <c r="H485" s="872">
        <v>42473</v>
      </c>
      <c r="I485" s="34">
        <v>81.244600000000005</v>
      </c>
      <c r="J485" s="34">
        <v>44.18</v>
      </c>
      <c r="L485" s="872">
        <v>42423</v>
      </c>
      <c r="M485" s="34">
        <v>0.95459242991861515</v>
      </c>
      <c r="N485" s="34">
        <v>0.91235354339665564</v>
      </c>
      <c r="O485" s="34">
        <v>0.91572178181620156</v>
      </c>
      <c r="P485" s="34">
        <v>0.8807960420573876</v>
      </c>
    </row>
    <row r="486" spans="8:16" x14ac:dyDescent="0.25">
      <c r="H486" s="872">
        <v>42472</v>
      </c>
      <c r="I486" s="34">
        <v>80.891099999999994</v>
      </c>
      <c r="J486" s="34">
        <v>44.69</v>
      </c>
      <c r="L486" s="872">
        <v>42422</v>
      </c>
      <c r="M486" s="34">
        <v>0.96663122434986526</v>
      </c>
      <c r="N486" s="34">
        <v>0.92705608008190188</v>
      </c>
      <c r="O486" s="34">
        <v>0.93097154259664083</v>
      </c>
      <c r="P486" s="34">
        <v>0.88802969913156082</v>
      </c>
    </row>
    <row r="487" spans="8:16" x14ac:dyDescent="0.25">
      <c r="H487" s="872">
        <v>42471</v>
      </c>
      <c r="I487" s="34">
        <v>79.282499999999999</v>
      </c>
      <c r="J487" s="34">
        <v>42.83</v>
      </c>
      <c r="L487" s="872">
        <v>42419</v>
      </c>
      <c r="M487" s="34">
        <v>0.95285840628819563</v>
      </c>
      <c r="N487" s="34">
        <v>0.90719359445897951</v>
      </c>
      <c r="O487" s="34">
        <v>0.91292894206607889</v>
      </c>
      <c r="P487" s="34">
        <v>0.86765690064309298</v>
      </c>
    </row>
    <row r="488" spans="8:16" x14ac:dyDescent="0.25">
      <c r="H488" s="872">
        <v>42468</v>
      </c>
      <c r="I488" s="34">
        <v>79.028800000000004</v>
      </c>
      <c r="J488" s="34">
        <v>41.94</v>
      </c>
      <c r="L488" s="872">
        <v>42418</v>
      </c>
      <c r="M488" s="34">
        <v>0.9528832490336171</v>
      </c>
      <c r="N488" s="34">
        <v>0.91480870587343111</v>
      </c>
      <c r="O488" s="34">
        <v>0.92027959515492863</v>
      </c>
      <c r="P488" s="34">
        <v>0.86852819166460882</v>
      </c>
    </row>
    <row r="489" spans="8:16" x14ac:dyDescent="0.25">
      <c r="H489" s="872">
        <v>42467</v>
      </c>
      <c r="I489" s="34">
        <v>77.451899999999995</v>
      </c>
      <c r="J489" s="34">
        <v>39.43</v>
      </c>
      <c r="L489" s="872">
        <v>42417</v>
      </c>
      <c r="M489" s="34">
        <v>0.95734997466039962</v>
      </c>
      <c r="N489" s="34">
        <v>0.91562077377115469</v>
      </c>
      <c r="O489" s="34">
        <v>0.91187482009911069</v>
      </c>
      <c r="P489" s="34">
        <v>0.86987669047750515</v>
      </c>
    </row>
    <row r="490" spans="8:16" x14ac:dyDescent="0.25">
      <c r="H490" s="872">
        <v>42466</v>
      </c>
      <c r="I490" s="34">
        <v>77.648099999999999</v>
      </c>
      <c r="J490" s="34">
        <v>39.840000000000003</v>
      </c>
      <c r="L490" s="872">
        <v>42416</v>
      </c>
      <c r="M490" s="34">
        <v>0.94182822732105764</v>
      </c>
      <c r="N490" s="34">
        <v>0.89146096386455842</v>
      </c>
      <c r="O490" s="34">
        <v>0.88833211454532723</v>
      </c>
      <c r="P490" s="34">
        <v>0.86054277304749816</v>
      </c>
    </row>
    <row r="491" spans="8:16" x14ac:dyDescent="0.25">
      <c r="H491" s="872">
        <v>42465</v>
      </c>
      <c r="I491" s="34">
        <v>76.972499999999997</v>
      </c>
      <c r="J491" s="34">
        <v>37.869999999999997</v>
      </c>
      <c r="L491" s="872">
        <v>42405</v>
      </c>
      <c r="M491" s="34">
        <v>0.93411207059314538</v>
      </c>
      <c r="N491" s="34">
        <v>0.90982886537999708</v>
      </c>
      <c r="O491" s="34">
        <v>0.90302758609959299</v>
      </c>
      <c r="P491" s="34">
        <v>0.83837248176568713</v>
      </c>
    </row>
    <row r="492" spans="8:16" x14ac:dyDescent="0.25">
      <c r="H492" s="872">
        <v>42464</v>
      </c>
      <c r="I492" s="34">
        <v>77.181700000000006</v>
      </c>
      <c r="J492" s="34">
        <v>37.69</v>
      </c>
      <c r="L492" s="872">
        <v>42404</v>
      </c>
      <c r="M492" s="34">
        <v>0.95170073435155467</v>
      </c>
      <c r="N492" s="34">
        <v>0.91801590009984957</v>
      </c>
      <c r="O492" s="34">
        <v>0.91344530623993525</v>
      </c>
      <c r="P492" s="34">
        <v>0.84369093681380536</v>
      </c>
    </row>
    <row r="493" spans="8:16" x14ac:dyDescent="0.25">
      <c r="H493" s="872">
        <v>42461</v>
      </c>
      <c r="I493" s="34">
        <v>77.941699999999997</v>
      </c>
      <c r="J493" s="34">
        <v>38.67</v>
      </c>
      <c r="L493" s="872">
        <v>42403</v>
      </c>
      <c r="M493" s="34">
        <v>0.9502499180189401</v>
      </c>
      <c r="N493" s="34">
        <v>0.91527635586900746</v>
      </c>
      <c r="O493" s="34">
        <v>0.91747703103241707</v>
      </c>
      <c r="P493" s="34">
        <v>0.83101717159275756</v>
      </c>
    </row>
    <row r="494" spans="8:16" x14ac:dyDescent="0.25">
      <c r="H494" s="872">
        <v>42460</v>
      </c>
      <c r="I494" s="34">
        <v>78.827200000000005</v>
      </c>
      <c r="J494" s="34">
        <v>39.6</v>
      </c>
      <c r="L494" s="872">
        <v>42402</v>
      </c>
      <c r="M494" s="34">
        <v>0.94552979638885848</v>
      </c>
      <c r="N494" s="34">
        <v>0.93272475637963059</v>
      </c>
      <c r="O494" s="34">
        <v>0.93169600833962185</v>
      </c>
      <c r="P494" s="34">
        <v>0.83414890460637492</v>
      </c>
    </row>
    <row r="495" spans="8:16" x14ac:dyDescent="0.25">
      <c r="H495" s="872">
        <v>42459</v>
      </c>
      <c r="I495" s="34">
        <v>78.929299999999998</v>
      </c>
      <c r="J495" s="34">
        <v>39.26</v>
      </c>
      <c r="L495" s="872">
        <v>42401</v>
      </c>
      <c r="M495" s="34">
        <v>0.96359047231027595</v>
      </c>
      <c r="N495" s="34">
        <v>0.95457791428101968</v>
      </c>
      <c r="O495" s="34">
        <v>0.94889258847233982</v>
      </c>
      <c r="P495" s="34">
        <v>0.81572922993285113</v>
      </c>
    </row>
    <row r="496" spans="8:16" x14ac:dyDescent="0.25">
      <c r="H496" s="872">
        <v>42458</v>
      </c>
      <c r="I496" s="34">
        <v>79.307199999999995</v>
      </c>
      <c r="J496" s="34">
        <v>39.14</v>
      </c>
      <c r="L496" s="872">
        <v>42398</v>
      </c>
      <c r="M496" s="34">
        <v>0.96401776753152546</v>
      </c>
      <c r="N496" s="34">
        <v>0.9621867061009366</v>
      </c>
      <c r="O496" s="34">
        <v>0.95280470348443713</v>
      </c>
      <c r="P496" s="34">
        <v>0.83051751410235486</v>
      </c>
    </row>
    <row r="497" spans="8:16" x14ac:dyDescent="0.25">
      <c r="H497" s="872">
        <v>42457</v>
      </c>
      <c r="I497" s="34">
        <v>79.483500000000006</v>
      </c>
      <c r="J497" s="34">
        <v>40.270000000000003</v>
      </c>
      <c r="L497" s="872">
        <v>42397</v>
      </c>
      <c r="M497" s="34">
        <v>0.94072520942434379</v>
      </c>
      <c r="N497" s="34">
        <v>0.94143631744587264</v>
      </c>
      <c r="O497" s="34">
        <v>0.9373896283733848</v>
      </c>
      <c r="P497" s="34">
        <v>0.80565932642408455</v>
      </c>
    </row>
    <row r="498" spans="8:16" x14ac:dyDescent="0.25">
      <c r="H498" s="872">
        <v>42453</v>
      </c>
      <c r="I498" s="34">
        <v>79.2517</v>
      </c>
      <c r="J498" s="34">
        <v>40.44</v>
      </c>
      <c r="L498" s="872">
        <v>42396</v>
      </c>
      <c r="M498" s="34">
        <v>0.9355529498275913</v>
      </c>
      <c r="N498" s="34">
        <v>0.96167481894361639</v>
      </c>
      <c r="O498" s="34">
        <v>0.96084773188738393</v>
      </c>
      <c r="P498" s="34">
        <v>0.82989802375906263</v>
      </c>
    </row>
    <row r="499" spans="8:16" x14ac:dyDescent="0.25">
      <c r="H499" s="872">
        <v>42452</v>
      </c>
      <c r="I499" s="34">
        <v>79.575699999999998</v>
      </c>
      <c r="J499" s="34">
        <v>40.47</v>
      </c>
      <c r="L499" s="872">
        <v>42395</v>
      </c>
      <c r="M499" s="34">
        <v>0.94582790933391636</v>
      </c>
      <c r="N499" s="34">
        <v>0.95831595444836259</v>
      </c>
      <c r="O499" s="34">
        <v>0.95520078884108817</v>
      </c>
      <c r="P499" s="34">
        <v>0.83421413008326417</v>
      </c>
    </row>
    <row r="500" spans="8:16" x14ac:dyDescent="0.25">
      <c r="H500" s="872">
        <v>42451</v>
      </c>
      <c r="I500" s="34">
        <v>81.230099999999993</v>
      </c>
      <c r="J500" s="34">
        <v>41.79</v>
      </c>
      <c r="L500" s="872">
        <v>42394</v>
      </c>
      <c r="M500" s="34">
        <v>0.93263641151510923</v>
      </c>
      <c r="N500" s="34">
        <v>0.94850162413579542</v>
      </c>
      <c r="O500" s="34">
        <v>0.94677948235220888</v>
      </c>
      <c r="P500" s="34">
        <v>0.89146996381957966</v>
      </c>
    </row>
    <row r="501" spans="8:16" x14ac:dyDescent="0.25">
      <c r="H501" s="872">
        <v>42450</v>
      </c>
      <c r="I501" s="34">
        <v>80.788499999999999</v>
      </c>
      <c r="J501" s="34">
        <v>41.54</v>
      </c>
      <c r="L501" s="872">
        <v>42391</v>
      </c>
      <c r="M501" s="34">
        <v>0.94745262488448123</v>
      </c>
      <c r="N501" s="34">
        <v>0.95527306967984926</v>
      </c>
      <c r="O501" s="34">
        <v>0.94957329453957029</v>
      </c>
      <c r="P501" s="34">
        <v>0.8848102909420319</v>
      </c>
    </row>
    <row r="502" spans="8:16" x14ac:dyDescent="0.25">
      <c r="H502" s="872">
        <v>42447</v>
      </c>
      <c r="I502" s="34">
        <v>80.755700000000004</v>
      </c>
      <c r="J502" s="34">
        <v>41.2</v>
      </c>
      <c r="L502" s="872">
        <v>42390</v>
      </c>
      <c r="M502" s="34">
        <v>0.92861685530591354</v>
      </c>
      <c r="N502" s="34">
        <v>0.93021903714657661</v>
      </c>
      <c r="O502" s="34">
        <v>0.93102697151925806</v>
      </c>
      <c r="P502" s="34">
        <v>0.87386424242277161</v>
      </c>
    </row>
    <row r="503" spans="8:16" x14ac:dyDescent="0.25">
      <c r="H503" s="872">
        <v>42446</v>
      </c>
      <c r="I503" s="34">
        <v>81.288799999999995</v>
      </c>
      <c r="J503" s="34">
        <v>41.54</v>
      </c>
      <c r="L503" s="872">
        <v>42389</v>
      </c>
      <c r="M503" s="34">
        <v>0.92381723689048312</v>
      </c>
      <c r="N503" s="34">
        <v>0.91084000050556757</v>
      </c>
      <c r="O503" s="34">
        <v>0.91327804703484428</v>
      </c>
      <c r="P503" s="34">
        <v>0.90305249164355461</v>
      </c>
    </row>
    <row r="504" spans="8:16" x14ac:dyDescent="0.25">
      <c r="H504" s="872">
        <v>42445</v>
      </c>
      <c r="I504" s="34">
        <v>79.599900000000005</v>
      </c>
      <c r="J504" s="34">
        <v>40.33</v>
      </c>
      <c r="L504" s="872">
        <v>42388</v>
      </c>
      <c r="M504" s="34">
        <v>0.93474804487593521</v>
      </c>
      <c r="N504" s="34">
        <v>0.94177441575348508</v>
      </c>
      <c r="O504" s="34">
        <v>0.93978376885555792</v>
      </c>
      <c r="P504" s="34">
        <v>0.91247074713205101</v>
      </c>
    </row>
    <row r="505" spans="8:16" x14ac:dyDescent="0.25">
      <c r="H505" s="872">
        <v>42444</v>
      </c>
      <c r="I505" s="34">
        <v>78.820700000000002</v>
      </c>
      <c r="J505" s="34">
        <v>38.74</v>
      </c>
      <c r="L505" s="872">
        <v>42384</v>
      </c>
      <c r="M505" s="34">
        <v>0.93425118996750567</v>
      </c>
      <c r="N505" s="34">
        <v>0.93292382360747728</v>
      </c>
      <c r="O505" s="34">
        <v>0.92821760033607426</v>
      </c>
      <c r="P505" s="34">
        <v>0.88007977530885018</v>
      </c>
    </row>
    <row r="506" spans="8:16" x14ac:dyDescent="0.25">
      <c r="H506" s="872">
        <v>42443</v>
      </c>
      <c r="I506" s="34">
        <v>79.429500000000004</v>
      </c>
      <c r="J506" s="34">
        <v>39.53</v>
      </c>
      <c r="L506" s="872">
        <v>42383</v>
      </c>
      <c r="M506" s="34">
        <v>0.95487563721641999</v>
      </c>
      <c r="N506" s="34">
        <v>0.95552269366397447</v>
      </c>
      <c r="O506" s="34">
        <v>0.95242448052402695</v>
      </c>
      <c r="P506" s="34">
        <v>0.91244344344405082</v>
      </c>
    </row>
    <row r="507" spans="8:16" x14ac:dyDescent="0.25">
      <c r="H507" s="872">
        <v>42440</v>
      </c>
      <c r="I507" s="34">
        <v>79.947100000000006</v>
      </c>
      <c r="J507" s="34">
        <v>40.39</v>
      </c>
      <c r="L507" s="872">
        <v>42382</v>
      </c>
      <c r="M507" s="34">
        <v>0.93919489630638053</v>
      </c>
      <c r="N507" s="34">
        <v>0.97101201986880514</v>
      </c>
      <c r="O507" s="34">
        <v>0.96864084391993333</v>
      </c>
      <c r="P507" s="34">
        <v>0.89483195793533166</v>
      </c>
    </row>
    <row r="508" spans="8:16" x14ac:dyDescent="0.25">
      <c r="H508" s="872">
        <v>42439</v>
      </c>
      <c r="I508" s="34">
        <v>79.379599999999996</v>
      </c>
      <c r="J508" s="34">
        <v>40.049999999999997</v>
      </c>
      <c r="L508" s="872">
        <v>42381</v>
      </c>
      <c r="M508" s="34">
        <v>0.96324267387437523</v>
      </c>
      <c r="N508" s="34">
        <v>0.96837042935325257</v>
      </c>
      <c r="O508" s="34">
        <v>0.97102039784352312</v>
      </c>
      <c r="P508" s="34">
        <v>0.91705837346469843</v>
      </c>
    </row>
    <row r="509" spans="8:16" x14ac:dyDescent="0.25">
      <c r="H509" s="872">
        <v>42438</v>
      </c>
      <c r="I509" s="34">
        <v>79.444500000000005</v>
      </c>
      <c r="J509" s="34">
        <v>41.07</v>
      </c>
      <c r="L509" s="872">
        <v>42380</v>
      </c>
      <c r="M509" s="34">
        <v>0.95578488169884634</v>
      </c>
      <c r="N509" s="34">
        <v>0.9566254629102996</v>
      </c>
      <c r="O509" s="34">
        <v>0.95542639428051301</v>
      </c>
      <c r="P509" s="34">
        <v>0.91519049783117712</v>
      </c>
    </row>
    <row r="510" spans="8:16" x14ac:dyDescent="0.25">
      <c r="H510" s="872">
        <v>42437</v>
      </c>
      <c r="I510" s="34">
        <v>78.424099999999996</v>
      </c>
      <c r="J510" s="34">
        <v>39.65</v>
      </c>
      <c r="L510" s="872">
        <v>42377</v>
      </c>
      <c r="M510" s="34">
        <v>0.95497003964902161</v>
      </c>
      <c r="N510" s="34">
        <v>0.95851502167620917</v>
      </c>
      <c r="O510" s="34">
        <v>0.95778649945932481</v>
      </c>
      <c r="P510" s="34">
        <v>0.96667554542150524</v>
      </c>
    </row>
    <row r="511" spans="8:16" x14ac:dyDescent="0.25">
      <c r="H511" s="872">
        <v>42436</v>
      </c>
      <c r="I511" s="34">
        <v>79.296000000000006</v>
      </c>
      <c r="J511" s="34">
        <v>40.840000000000003</v>
      </c>
      <c r="L511" s="872">
        <v>42376</v>
      </c>
      <c r="M511" s="34">
        <v>0.96543380402054979</v>
      </c>
      <c r="N511" s="34">
        <v>0.97469634348260203</v>
      </c>
      <c r="O511" s="34">
        <v>0.97047777786421663</v>
      </c>
      <c r="P511" s="34">
        <v>0.9480453289760693</v>
      </c>
    </row>
    <row r="512" spans="8:16" x14ac:dyDescent="0.25">
      <c r="H512" s="872">
        <v>42433</v>
      </c>
      <c r="I512" s="34">
        <v>78.382800000000003</v>
      </c>
      <c r="J512" s="34">
        <v>38.72</v>
      </c>
      <c r="L512" s="872">
        <v>42375</v>
      </c>
      <c r="M512" s="34">
        <v>0.98887045005117602</v>
      </c>
      <c r="N512" s="34">
        <v>0.99196147575171578</v>
      </c>
      <c r="O512" s="34">
        <v>0.993249340687552</v>
      </c>
      <c r="P512" s="34">
        <v>1.0198958940713987</v>
      </c>
    </row>
    <row r="513" spans="8:16" x14ac:dyDescent="0.25">
      <c r="H513" s="872">
        <v>42432</v>
      </c>
      <c r="I513" s="34">
        <v>76.869200000000006</v>
      </c>
      <c r="J513" s="34">
        <v>37.07</v>
      </c>
      <c r="L513" s="872">
        <v>42374</v>
      </c>
      <c r="M513" s="34">
        <v>1.0020122623791401</v>
      </c>
      <c r="N513" s="34">
        <v>1.0041867313793147</v>
      </c>
      <c r="O513" s="34">
        <v>1.002592517678909</v>
      </c>
      <c r="P513" s="34">
        <v>0.99740675638860798</v>
      </c>
    </row>
    <row r="514" spans="8:16" x14ac:dyDescent="0.25">
      <c r="H514" s="872">
        <v>42431</v>
      </c>
      <c r="I514" s="34">
        <v>76.460599999999999</v>
      </c>
      <c r="J514" s="34">
        <v>36.93</v>
      </c>
      <c r="L514" s="872">
        <v>42373</v>
      </c>
      <c r="M514" s="34">
        <v>1</v>
      </c>
      <c r="N514" s="34">
        <v>1</v>
      </c>
      <c r="O514" s="34">
        <v>1</v>
      </c>
      <c r="P514" s="34">
        <v>1</v>
      </c>
    </row>
    <row r="515" spans="8:16" x14ac:dyDescent="0.25">
      <c r="H515" s="872">
        <v>42430</v>
      </c>
      <c r="I515" s="34">
        <v>76.084699999999998</v>
      </c>
      <c r="J515" s="34">
        <v>36.81</v>
      </c>
      <c r="L515" s="872"/>
    </row>
    <row r="516" spans="8:16" x14ac:dyDescent="0.25">
      <c r="H516" s="872">
        <v>42429</v>
      </c>
      <c r="I516" s="34">
        <v>75.946299999999994</v>
      </c>
      <c r="J516" s="34">
        <v>35.97</v>
      </c>
      <c r="L516" s="872"/>
    </row>
    <row r="517" spans="8:16" x14ac:dyDescent="0.25">
      <c r="H517" s="872">
        <v>42426</v>
      </c>
      <c r="I517" s="34">
        <v>75.461699999999993</v>
      </c>
      <c r="J517" s="34">
        <v>35.1</v>
      </c>
      <c r="L517" s="872"/>
    </row>
    <row r="518" spans="8:16" x14ac:dyDescent="0.25">
      <c r="H518" s="872">
        <v>42425</v>
      </c>
      <c r="I518" s="34">
        <v>75.744299999999996</v>
      </c>
      <c r="J518" s="34">
        <v>35.29</v>
      </c>
      <c r="L518" s="872"/>
    </row>
    <row r="519" spans="8:16" x14ac:dyDescent="0.25">
      <c r="H519" s="872">
        <v>42424</v>
      </c>
      <c r="I519" s="34">
        <v>75.774699999999996</v>
      </c>
      <c r="J519" s="34">
        <v>34.409999999999997</v>
      </c>
      <c r="L519" s="872"/>
    </row>
    <row r="520" spans="8:16" x14ac:dyDescent="0.25">
      <c r="H520" s="872">
        <v>42423</v>
      </c>
      <c r="I520" s="34">
        <v>75.175299999999993</v>
      </c>
      <c r="J520" s="34">
        <v>33.270000000000003</v>
      </c>
      <c r="L520" s="872"/>
    </row>
    <row r="521" spans="8:16" x14ac:dyDescent="0.25">
      <c r="H521" s="872">
        <v>42422</v>
      </c>
      <c r="I521" s="34">
        <v>75.973200000000006</v>
      </c>
      <c r="J521" s="34">
        <v>34.69</v>
      </c>
      <c r="L521" s="872"/>
    </row>
    <row r="522" spans="8:16" x14ac:dyDescent="0.25">
      <c r="H522" s="872">
        <v>42419</v>
      </c>
      <c r="I522" s="34">
        <v>75.105800000000002</v>
      </c>
      <c r="J522" s="34">
        <v>33.01</v>
      </c>
      <c r="L522" s="872"/>
    </row>
    <row r="523" spans="8:16" x14ac:dyDescent="0.25">
      <c r="H523" s="872">
        <v>42418</v>
      </c>
      <c r="I523" s="34">
        <v>75.745500000000007</v>
      </c>
      <c r="J523" s="34">
        <v>34.28</v>
      </c>
      <c r="L523" s="872"/>
    </row>
    <row r="524" spans="8:16" x14ac:dyDescent="0.25">
      <c r="H524" s="872">
        <v>42417</v>
      </c>
      <c r="I524" s="34">
        <v>76.028800000000004</v>
      </c>
      <c r="J524" s="34">
        <v>34.5</v>
      </c>
      <c r="L524" s="872"/>
    </row>
    <row r="525" spans="8:16" x14ac:dyDescent="0.25">
      <c r="H525" s="872">
        <v>42416</v>
      </c>
      <c r="I525" s="34">
        <v>74.7166</v>
      </c>
      <c r="J525" s="34">
        <v>32.18</v>
      </c>
      <c r="L525" s="872"/>
    </row>
    <row r="526" spans="8:16" x14ac:dyDescent="0.25">
      <c r="H526" s="872">
        <v>42412</v>
      </c>
      <c r="I526" s="34">
        <v>75.438900000000004</v>
      </c>
      <c r="J526" s="34">
        <v>33.36</v>
      </c>
      <c r="L526" s="872"/>
    </row>
    <row r="527" spans="8:16" x14ac:dyDescent="0.25">
      <c r="H527" s="872">
        <v>42411</v>
      </c>
      <c r="I527" s="34">
        <v>73.957800000000006</v>
      </c>
      <c r="J527" s="34">
        <v>30.06</v>
      </c>
      <c r="L527" s="872"/>
    </row>
    <row r="528" spans="8:16" x14ac:dyDescent="0.25">
      <c r="H528" s="872">
        <v>42410</v>
      </c>
      <c r="I528" s="34">
        <v>73.915999999999997</v>
      </c>
      <c r="J528" s="34">
        <v>30.84</v>
      </c>
      <c r="L528" s="872"/>
    </row>
    <row r="529" spans="8:12" x14ac:dyDescent="0.25">
      <c r="H529" s="872">
        <v>42409</v>
      </c>
      <c r="I529" s="34">
        <v>74.002799999999993</v>
      </c>
      <c r="J529" s="34">
        <v>30.32</v>
      </c>
      <c r="L529" s="872"/>
    </row>
    <row r="530" spans="8:12" x14ac:dyDescent="0.25">
      <c r="H530" s="872">
        <v>42408</v>
      </c>
      <c r="I530" s="34">
        <v>75.504800000000003</v>
      </c>
      <c r="J530" s="34">
        <v>32.880000000000003</v>
      </c>
      <c r="L530" s="872"/>
    </row>
    <row r="531" spans="8:12" x14ac:dyDescent="0.25">
      <c r="H531" s="872">
        <v>42405</v>
      </c>
      <c r="I531" s="34">
        <v>75.596500000000006</v>
      </c>
      <c r="J531" s="34">
        <v>34.06</v>
      </c>
      <c r="L531" s="872"/>
    </row>
    <row r="532" spans="8:12" x14ac:dyDescent="0.25">
      <c r="H532" s="872">
        <v>42404</v>
      </c>
      <c r="I532" s="34">
        <v>76.141900000000007</v>
      </c>
      <c r="J532" s="34">
        <v>34.46</v>
      </c>
      <c r="L532" s="872"/>
    </row>
    <row r="533" spans="8:12" x14ac:dyDescent="0.25">
      <c r="H533" s="872">
        <v>42403</v>
      </c>
      <c r="I533" s="34">
        <v>76.271799999999999</v>
      </c>
      <c r="J533" s="34">
        <v>35.04</v>
      </c>
      <c r="L533" s="872"/>
    </row>
    <row r="534" spans="8:12" x14ac:dyDescent="0.25">
      <c r="H534" s="872">
        <v>42402</v>
      </c>
      <c r="I534" s="34">
        <v>74.849999999999994</v>
      </c>
      <c r="J534" s="34">
        <v>32.72</v>
      </c>
      <c r="L534" s="872"/>
    </row>
    <row r="535" spans="8:12" x14ac:dyDescent="0.25">
      <c r="H535" s="872">
        <v>42401</v>
      </c>
      <c r="I535" s="34">
        <v>75.952600000000004</v>
      </c>
      <c r="J535" s="34">
        <v>34.24</v>
      </c>
      <c r="L535" s="872"/>
    </row>
    <row r="536" spans="8:12" x14ac:dyDescent="0.25">
      <c r="H536" s="872">
        <v>42398</v>
      </c>
      <c r="I536" s="34">
        <v>77.223399999999998</v>
      </c>
      <c r="J536" s="34">
        <v>34.74</v>
      </c>
      <c r="L536" s="872"/>
    </row>
    <row r="537" spans="8:12" x14ac:dyDescent="0.25">
      <c r="H537" s="872">
        <v>42397</v>
      </c>
      <c r="I537" s="34">
        <v>76.104900000000001</v>
      </c>
      <c r="J537" s="34">
        <v>33.89</v>
      </c>
      <c r="L537" s="872"/>
    </row>
    <row r="538" spans="8:12" x14ac:dyDescent="0.25">
      <c r="H538" s="872">
        <v>42396</v>
      </c>
      <c r="I538" s="34">
        <v>76.119799999999998</v>
      </c>
      <c r="J538" s="34">
        <v>33.1</v>
      </c>
      <c r="L538" s="872"/>
    </row>
    <row r="539" spans="8:12" x14ac:dyDescent="0.25">
      <c r="H539" s="872">
        <v>42395</v>
      </c>
      <c r="I539" s="34">
        <v>75.498999999999995</v>
      </c>
      <c r="J539" s="34">
        <v>31.8</v>
      </c>
      <c r="L539" s="872"/>
    </row>
    <row r="540" spans="8:12" x14ac:dyDescent="0.25">
      <c r="H540" s="872">
        <v>42394</v>
      </c>
      <c r="I540" s="34">
        <v>74.495900000000006</v>
      </c>
      <c r="J540" s="34">
        <v>30.5</v>
      </c>
      <c r="L540" s="872"/>
    </row>
    <row r="541" spans="8:12" x14ac:dyDescent="0.25">
      <c r="H541" s="872">
        <v>42391</v>
      </c>
      <c r="I541" s="34">
        <v>75.235500000000002</v>
      </c>
      <c r="J541" s="34">
        <v>32.18</v>
      </c>
      <c r="L541" s="872"/>
    </row>
    <row r="542" spans="8:12" x14ac:dyDescent="0.25">
      <c r="H542" s="872">
        <v>42390</v>
      </c>
      <c r="I542" s="34">
        <v>73.791499999999999</v>
      </c>
      <c r="J542" s="34">
        <v>29.25</v>
      </c>
      <c r="L542" s="872"/>
    </row>
    <row r="543" spans="8:12" x14ac:dyDescent="0.25">
      <c r="H543" s="872">
        <v>42389</v>
      </c>
      <c r="I543" s="34">
        <v>72.875900000000001</v>
      </c>
      <c r="J543" s="34">
        <v>27.88</v>
      </c>
      <c r="L543" s="872"/>
    </row>
    <row r="544" spans="8:12" x14ac:dyDescent="0.25">
      <c r="H544" s="872">
        <v>42388</v>
      </c>
      <c r="I544" s="34">
        <v>73.609800000000007</v>
      </c>
      <c r="J544" s="34">
        <v>28.76</v>
      </c>
      <c r="L544" s="872"/>
    </row>
    <row r="545" spans="8:12" x14ac:dyDescent="0.25">
      <c r="H545" s="872">
        <v>42384</v>
      </c>
      <c r="I545" s="34">
        <v>73.487700000000004</v>
      </c>
      <c r="J545" s="34">
        <v>28.94</v>
      </c>
      <c r="L545" s="872"/>
    </row>
    <row r="546" spans="8:12" x14ac:dyDescent="0.25">
      <c r="H546" s="872">
        <v>42383</v>
      </c>
      <c r="I546" s="34">
        <v>74.559399999999997</v>
      </c>
      <c r="J546" s="34">
        <v>31.03</v>
      </c>
      <c r="L546" s="872"/>
    </row>
    <row r="547" spans="8:12" x14ac:dyDescent="0.25">
      <c r="H547" s="872">
        <v>42382</v>
      </c>
      <c r="I547" s="34">
        <v>74.63</v>
      </c>
      <c r="J547" s="34">
        <v>30.31</v>
      </c>
      <c r="L547" s="872"/>
    </row>
    <row r="548" spans="8:12" x14ac:dyDescent="0.25">
      <c r="H548" s="872">
        <v>42381</v>
      </c>
      <c r="I548" s="34">
        <v>74.433800000000005</v>
      </c>
      <c r="J548" s="34">
        <v>30.86</v>
      </c>
      <c r="L548" s="872"/>
    </row>
    <row r="549" spans="8:12" x14ac:dyDescent="0.25">
      <c r="H549" s="872">
        <v>42380</v>
      </c>
      <c r="I549" s="34">
        <v>75.122100000000003</v>
      </c>
      <c r="J549" s="34">
        <v>31.55</v>
      </c>
      <c r="L549" s="872"/>
    </row>
    <row r="550" spans="8:12" x14ac:dyDescent="0.25">
      <c r="H550" s="872">
        <v>42377</v>
      </c>
      <c r="I550" s="34">
        <v>76.726500000000001</v>
      </c>
      <c r="J550" s="34">
        <v>33.549999999999997</v>
      </c>
      <c r="L550" s="872"/>
    </row>
    <row r="551" spans="8:12" x14ac:dyDescent="0.25">
      <c r="H551" s="872">
        <v>42376</v>
      </c>
      <c r="I551" s="34">
        <v>76.6828</v>
      </c>
      <c r="J551" s="34">
        <v>33.75</v>
      </c>
      <c r="L551" s="872"/>
    </row>
    <row r="552" spans="8:12" x14ac:dyDescent="0.25">
      <c r="H552" s="872">
        <v>42375</v>
      </c>
      <c r="I552" s="34">
        <v>76.641400000000004</v>
      </c>
      <c r="J552" s="34">
        <v>34.229999999999997</v>
      </c>
      <c r="L552" s="872"/>
    </row>
    <row r="553" spans="8:12" x14ac:dyDescent="0.25">
      <c r="H553" s="872">
        <v>42374</v>
      </c>
      <c r="I553" s="34">
        <v>77.662800000000004</v>
      </c>
      <c r="J553" s="34">
        <v>36.42</v>
      </c>
      <c r="L553" s="872"/>
    </row>
    <row r="554" spans="8:12" x14ac:dyDescent="0.25">
      <c r="H554" s="872">
        <v>42373</v>
      </c>
      <c r="I554" s="34">
        <v>77.9054</v>
      </c>
      <c r="J554" s="34">
        <v>37.22</v>
      </c>
      <c r="L554" s="872"/>
    </row>
    <row r="555" spans="8:12" x14ac:dyDescent="0.25">
      <c r="H555" s="872">
        <v>42369</v>
      </c>
      <c r="I555" s="34">
        <v>78.558800000000005</v>
      </c>
      <c r="J555" s="34">
        <v>37.28</v>
      </c>
      <c r="L555" s="872"/>
    </row>
    <row r="556" spans="8:12" x14ac:dyDescent="0.25">
      <c r="H556" s="872">
        <v>42368</v>
      </c>
      <c r="I556" s="34">
        <v>78.088099999999997</v>
      </c>
      <c r="J556" s="34">
        <v>36.46</v>
      </c>
      <c r="L556" s="872"/>
    </row>
    <row r="557" spans="8:12" x14ac:dyDescent="0.25">
      <c r="H557" s="872">
        <v>42367</v>
      </c>
      <c r="I557" s="34">
        <v>79.041799999999995</v>
      </c>
      <c r="J557" s="34">
        <v>37.79</v>
      </c>
      <c r="L557" s="872"/>
    </row>
    <row r="558" spans="8:12" x14ac:dyDescent="0.25">
      <c r="H558" s="872">
        <v>42366</v>
      </c>
      <c r="I558" s="34">
        <v>77.879000000000005</v>
      </c>
      <c r="J558" s="34">
        <v>36.619999999999997</v>
      </c>
      <c r="L558" s="872"/>
    </row>
    <row r="559" spans="8:12" x14ac:dyDescent="0.25">
      <c r="H559" s="872">
        <v>42362</v>
      </c>
      <c r="I559" s="34">
        <v>78.485100000000003</v>
      </c>
      <c r="J559" s="34">
        <v>37.89</v>
      </c>
      <c r="L559" s="872"/>
    </row>
    <row r="560" spans="8:12" x14ac:dyDescent="0.25">
      <c r="H560" s="872">
        <v>42361</v>
      </c>
      <c r="I560" s="34">
        <v>78.105500000000006</v>
      </c>
      <c r="J560" s="34">
        <v>37.36</v>
      </c>
      <c r="L560" s="872"/>
    </row>
    <row r="561" spans="8:12" x14ac:dyDescent="0.25">
      <c r="H561" s="872">
        <v>42360</v>
      </c>
      <c r="I561" s="34">
        <v>77.168999999999997</v>
      </c>
      <c r="J561" s="34">
        <v>36.11</v>
      </c>
      <c r="L561" s="872"/>
    </row>
    <row r="562" spans="8:12" x14ac:dyDescent="0.25">
      <c r="H562" s="872">
        <v>42359</v>
      </c>
      <c r="I562" s="34">
        <v>77.698499999999996</v>
      </c>
      <c r="J562" s="34">
        <v>36.35</v>
      </c>
      <c r="L562" s="872"/>
    </row>
    <row r="563" spans="8:12" x14ac:dyDescent="0.25">
      <c r="H563" s="872">
        <v>42356</v>
      </c>
      <c r="I563" s="34">
        <v>77.452299999999994</v>
      </c>
      <c r="J563" s="34">
        <v>36.880000000000003</v>
      </c>
      <c r="L563" s="872"/>
    </row>
    <row r="564" spans="8:12" x14ac:dyDescent="0.25">
      <c r="H564" s="872">
        <v>42355</v>
      </c>
      <c r="I564" s="34">
        <v>76.604500000000002</v>
      </c>
      <c r="J564" s="34">
        <v>37.06</v>
      </c>
      <c r="L564" s="872"/>
    </row>
    <row r="565" spans="8:12" x14ac:dyDescent="0.25">
      <c r="H565" s="872">
        <v>42354</v>
      </c>
      <c r="I565" s="34">
        <v>77.080699999999993</v>
      </c>
      <c r="J565" s="34">
        <v>37.19</v>
      </c>
      <c r="L565" s="872"/>
    </row>
    <row r="566" spans="8:12" x14ac:dyDescent="0.25">
      <c r="H566" s="872">
        <v>42353</v>
      </c>
      <c r="I566" s="34">
        <v>77.578100000000006</v>
      </c>
      <c r="J566" s="34">
        <v>38.450000000000003</v>
      </c>
      <c r="L566" s="872"/>
    </row>
    <row r="567" spans="8:12" x14ac:dyDescent="0.25">
      <c r="H567" s="872">
        <v>42352</v>
      </c>
      <c r="I567" s="34">
        <v>77.960899999999995</v>
      </c>
      <c r="J567" s="34">
        <v>37.92</v>
      </c>
      <c r="L567" s="872"/>
    </row>
    <row r="568" spans="8:12" x14ac:dyDescent="0.25">
      <c r="H568" s="872">
        <v>42349</v>
      </c>
      <c r="I568" s="34">
        <v>78.422399999999996</v>
      </c>
      <c r="J568" s="34">
        <v>37.93</v>
      </c>
    </row>
    <row r="569" spans="8:12" x14ac:dyDescent="0.25">
      <c r="H569" s="872">
        <v>42348</v>
      </c>
      <c r="I569" s="34">
        <v>79.154399999999995</v>
      </c>
      <c r="J569" s="34">
        <v>39.729999999999997</v>
      </c>
    </row>
    <row r="570" spans="8:12" x14ac:dyDescent="0.25">
      <c r="H570" s="872">
        <v>42347</v>
      </c>
      <c r="I570" s="34">
        <v>79.246600000000001</v>
      </c>
      <c r="J570" s="34">
        <v>40.11</v>
      </c>
    </row>
    <row r="571" spans="8:12" x14ac:dyDescent="0.25">
      <c r="H571" s="872">
        <v>42346</v>
      </c>
      <c r="I571" s="34">
        <v>79.168999999999997</v>
      </c>
      <c r="J571" s="34">
        <v>40.26</v>
      </c>
    </row>
    <row r="572" spans="8:12" x14ac:dyDescent="0.25">
      <c r="H572" s="872">
        <v>42345</v>
      </c>
      <c r="I572" s="34">
        <v>79.506399999999999</v>
      </c>
      <c r="J572" s="34">
        <v>40.729999999999997</v>
      </c>
    </row>
    <row r="573" spans="8:12" x14ac:dyDescent="0.25">
      <c r="H573" s="872">
        <v>42342</v>
      </c>
      <c r="I573" s="34">
        <v>81.701599999999999</v>
      </c>
      <c r="J573" s="34">
        <v>43</v>
      </c>
    </row>
    <row r="574" spans="8:12" x14ac:dyDescent="0.25">
      <c r="H574" s="872">
        <v>42341</v>
      </c>
      <c r="I574" s="34">
        <v>81.297799999999995</v>
      </c>
      <c r="J574" s="34">
        <v>43.84</v>
      </c>
    </row>
    <row r="575" spans="8:12" x14ac:dyDescent="0.25">
      <c r="H575" s="872">
        <v>42340</v>
      </c>
      <c r="I575" s="34">
        <v>80.370800000000003</v>
      </c>
      <c r="J575" s="34">
        <v>42.49</v>
      </c>
    </row>
    <row r="576" spans="8:12" x14ac:dyDescent="0.25">
      <c r="H576" s="872">
        <v>42339</v>
      </c>
      <c r="I576" s="34">
        <v>81.753299999999996</v>
      </c>
      <c r="J576" s="34">
        <v>44.44</v>
      </c>
    </row>
    <row r="577" spans="8:10" x14ac:dyDescent="0.25">
      <c r="H577" s="872">
        <v>42338</v>
      </c>
      <c r="I577" s="34">
        <v>81.078100000000006</v>
      </c>
      <c r="J577" s="34">
        <v>44.61</v>
      </c>
    </row>
    <row r="578" spans="8:10" x14ac:dyDescent="0.25">
      <c r="H578" s="872">
        <v>42335</v>
      </c>
      <c r="I578" s="34">
        <v>81.096199999999996</v>
      </c>
      <c r="J578" s="34">
        <v>44.86</v>
      </c>
    </row>
    <row r="579" spans="8:10" x14ac:dyDescent="0.25">
      <c r="H579" s="872">
        <v>42333</v>
      </c>
      <c r="I579" s="34">
        <v>82.2684</v>
      </c>
      <c r="J579" s="34">
        <v>46.17</v>
      </c>
    </row>
    <row r="580" spans="8:10" x14ac:dyDescent="0.25">
      <c r="H580" s="872">
        <v>42332</v>
      </c>
      <c r="I580" s="34">
        <v>82.144599999999997</v>
      </c>
      <c r="J580" s="34">
        <v>46.12</v>
      </c>
    </row>
    <row r="581" spans="8:10" x14ac:dyDescent="0.25">
      <c r="H581" s="872">
        <v>42331</v>
      </c>
      <c r="I581" s="34">
        <v>81.499899999999997</v>
      </c>
      <c r="J581" s="34">
        <v>44.83</v>
      </c>
    </row>
    <row r="582" spans="8:10" x14ac:dyDescent="0.25">
      <c r="H582" s="872">
        <v>42328</v>
      </c>
      <c r="I582" s="34">
        <v>81.423400000000001</v>
      </c>
      <c r="J582" s="34">
        <v>44.66</v>
      </c>
    </row>
    <row r="583" spans="8:10" x14ac:dyDescent="0.25">
      <c r="H583" s="872">
        <v>42327</v>
      </c>
      <c r="I583" s="34">
        <v>81.741200000000006</v>
      </c>
      <c r="J583" s="34">
        <v>44.18</v>
      </c>
    </row>
    <row r="584" spans="8:10" x14ac:dyDescent="0.25">
      <c r="H584" s="872">
        <v>42326</v>
      </c>
      <c r="I584" s="34">
        <v>81.5672</v>
      </c>
      <c r="J584" s="34">
        <v>44.14</v>
      </c>
    </row>
    <row r="585" spans="8:10" x14ac:dyDescent="0.25">
      <c r="H585" s="872">
        <v>42325</v>
      </c>
      <c r="I585" s="34">
        <v>81.742199999999997</v>
      </c>
      <c r="J585" s="34">
        <v>43.57</v>
      </c>
    </row>
    <row r="586" spans="8:10" x14ac:dyDescent="0.25">
      <c r="H586" s="872">
        <v>42324</v>
      </c>
      <c r="I586" s="34">
        <v>82.460099999999997</v>
      </c>
      <c r="J586" s="34">
        <v>44.56</v>
      </c>
    </row>
    <row r="587" spans="8:10" x14ac:dyDescent="0.25">
      <c r="H587" s="872">
        <v>42321</v>
      </c>
      <c r="I587" s="34">
        <v>82.433199999999999</v>
      </c>
      <c r="J587" s="34">
        <v>43.61</v>
      </c>
    </row>
    <row r="588" spans="8:10" x14ac:dyDescent="0.25">
      <c r="H588" s="872">
        <v>42320</v>
      </c>
      <c r="I588" s="34">
        <v>82.869100000000003</v>
      </c>
      <c r="J588" s="34">
        <v>44.06</v>
      </c>
    </row>
    <row r="589" spans="8:10" x14ac:dyDescent="0.25">
      <c r="H589" s="872">
        <v>42319</v>
      </c>
      <c r="I589" s="34">
        <v>83.617999999999995</v>
      </c>
      <c r="J589" s="34">
        <v>45.81</v>
      </c>
    </row>
    <row r="590" spans="8:10" x14ac:dyDescent="0.25">
      <c r="H590" s="872">
        <v>42318</v>
      </c>
      <c r="I590" s="34">
        <v>84.044600000000003</v>
      </c>
      <c r="J590" s="34">
        <v>47.44</v>
      </c>
    </row>
    <row r="591" spans="8:10" x14ac:dyDescent="0.25">
      <c r="H591" s="872">
        <v>42317</v>
      </c>
      <c r="I591" s="34">
        <v>84.236900000000006</v>
      </c>
      <c r="J591" s="34">
        <v>47.19</v>
      </c>
    </row>
    <row r="592" spans="8:10" x14ac:dyDescent="0.25">
      <c r="H592" s="872">
        <v>42314</v>
      </c>
      <c r="I592" s="34">
        <v>85.2346</v>
      </c>
      <c r="J592" s="34">
        <v>47.42</v>
      </c>
    </row>
    <row r="593" spans="8:10" x14ac:dyDescent="0.25">
      <c r="H593" s="872">
        <v>42313</v>
      </c>
      <c r="I593" s="34">
        <v>85.825999999999993</v>
      </c>
      <c r="J593" s="34">
        <v>47.98</v>
      </c>
    </row>
    <row r="594" spans="8:10" x14ac:dyDescent="0.25">
      <c r="H594" s="872">
        <v>42312</v>
      </c>
      <c r="I594" s="34">
        <v>86.514799999999994</v>
      </c>
      <c r="J594" s="34">
        <v>48.58</v>
      </c>
    </row>
    <row r="595" spans="8:10" x14ac:dyDescent="0.25">
      <c r="H595" s="872">
        <v>42311</v>
      </c>
      <c r="I595" s="34">
        <v>87.692999999999998</v>
      </c>
      <c r="J595" s="34">
        <v>50.54</v>
      </c>
    </row>
    <row r="596" spans="8:10" x14ac:dyDescent="0.25">
      <c r="H596" s="872">
        <v>42310</v>
      </c>
      <c r="I596" s="34">
        <v>86.868399999999994</v>
      </c>
      <c r="J596" s="34">
        <v>48.79</v>
      </c>
    </row>
    <row r="597" spans="8:10" x14ac:dyDescent="0.25">
      <c r="H597" s="872">
        <v>42307</v>
      </c>
      <c r="I597" s="34">
        <v>87.428899999999999</v>
      </c>
      <c r="J597" s="34">
        <v>49.56</v>
      </c>
    </row>
    <row r="598" spans="8:10" x14ac:dyDescent="0.25">
      <c r="H598" s="872">
        <v>42306</v>
      </c>
      <c r="I598" s="34">
        <v>86.867199999999997</v>
      </c>
      <c r="J598" s="34">
        <v>48.8</v>
      </c>
    </row>
    <row r="599" spans="8:10" x14ac:dyDescent="0.25">
      <c r="H599" s="872">
        <v>42305</v>
      </c>
      <c r="I599" s="34">
        <v>87.641999999999996</v>
      </c>
      <c r="J599" s="34">
        <v>49.05</v>
      </c>
    </row>
    <row r="600" spans="8:10" x14ac:dyDescent="0.25">
      <c r="H600" s="872">
        <v>42304</v>
      </c>
      <c r="I600" s="34">
        <v>86.623400000000004</v>
      </c>
      <c r="J600" s="34">
        <v>46.81</v>
      </c>
    </row>
    <row r="601" spans="8:10" x14ac:dyDescent="0.25">
      <c r="H601" s="872">
        <v>42303</v>
      </c>
      <c r="I601" s="34">
        <v>86.961399999999998</v>
      </c>
      <c r="J601" s="34">
        <v>47.54</v>
      </c>
    </row>
    <row r="602" spans="8:10" x14ac:dyDescent="0.25">
      <c r="H602" s="872">
        <v>42300</v>
      </c>
      <c r="I602" s="34">
        <v>87.446399999999997</v>
      </c>
      <c r="J602" s="34">
        <v>47.99</v>
      </c>
    </row>
    <row r="603" spans="8:10" x14ac:dyDescent="0.25">
      <c r="H603" s="872">
        <v>42299</v>
      </c>
      <c r="I603" s="34">
        <v>88.174800000000005</v>
      </c>
      <c r="J603" s="34">
        <v>48.08</v>
      </c>
    </row>
    <row r="604" spans="8:10" x14ac:dyDescent="0.25">
      <c r="H604" s="872">
        <v>42298</v>
      </c>
      <c r="I604" s="34">
        <v>88.184299999999993</v>
      </c>
      <c r="J604" s="34">
        <v>47.85</v>
      </c>
    </row>
    <row r="605" spans="8:10" x14ac:dyDescent="0.25">
      <c r="H605" s="872">
        <v>42297</v>
      </c>
      <c r="I605" s="34">
        <v>88.828999999999994</v>
      </c>
      <c r="J605" s="34">
        <v>48.71</v>
      </c>
    </row>
    <row r="606" spans="8:10" x14ac:dyDescent="0.25">
      <c r="H606" s="872">
        <v>42296</v>
      </c>
      <c r="I606" s="34">
        <v>88.519199999999998</v>
      </c>
      <c r="J606" s="34">
        <v>48.61</v>
      </c>
    </row>
    <row r="607" spans="8:10" x14ac:dyDescent="0.25">
      <c r="H607" s="872">
        <v>42293</v>
      </c>
      <c r="I607" s="34">
        <v>89.783500000000004</v>
      </c>
      <c r="J607" s="34">
        <v>50.46</v>
      </c>
    </row>
    <row r="608" spans="8:10" x14ac:dyDescent="0.25">
      <c r="H608" s="872">
        <v>42292</v>
      </c>
      <c r="I608" s="34">
        <v>89.838999999999999</v>
      </c>
      <c r="J608" s="34">
        <v>48.71</v>
      </c>
    </row>
    <row r="609" spans="8:10" x14ac:dyDescent="0.25">
      <c r="H609" s="872">
        <v>42291</v>
      </c>
      <c r="I609" s="34">
        <v>90.137600000000006</v>
      </c>
      <c r="J609" s="34">
        <v>49.15</v>
      </c>
    </row>
    <row r="610" spans="8:10" x14ac:dyDescent="0.25">
      <c r="H610" s="872">
        <v>42290</v>
      </c>
      <c r="I610" s="34">
        <v>89.981899999999996</v>
      </c>
      <c r="J610" s="34">
        <v>49.24</v>
      </c>
    </row>
    <row r="611" spans="8:10" x14ac:dyDescent="0.25">
      <c r="H611" s="872">
        <v>42289</v>
      </c>
      <c r="I611" s="34">
        <v>90.052400000000006</v>
      </c>
      <c r="J611" s="34">
        <v>49.86</v>
      </c>
    </row>
    <row r="612" spans="8:10" x14ac:dyDescent="0.25">
      <c r="H612" s="872">
        <v>42286</v>
      </c>
      <c r="I612" s="34">
        <v>91.008399999999995</v>
      </c>
      <c r="J612" s="34">
        <v>52.65</v>
      </c>
    </row>
    <row r="613" spans="8:10" x14ac:dyDescent="0.25">
      <c r="H613" s="872">
        <v>42285</v>
      </c>
      <c r="I613" s="34">
        <v>90.345200000000006</v>
      </c>
      <c r="J613" s="34">
        <v>53.05</v>
      </c>
    </row>
    <row r="614" spans="8:10" x14ac:dyDescent="0.25">
      <c r="H614" s="872">
        <v>42284</v>
      </c>
      <c r="I614" s="34">
        <v>90.108900000000006</v>
      </c>
      <c r="J614" s="34">
        <v>51.33</v>
      </c>
    </row>
    <row r="615" spans="8:10" x14ac:dyDescent="0.25">
      <c r="H615" s="872">
        <v>42283</v>
      </c>
      <c r="I615" s="34">
        <v>90.267499999999998</v>
      </c>
      <c r="J615" s="34">
        <v>51.92</v>
      </c>
    </row>
    <row r="616" spans="8:10" x14ac:dyDescent="0.25">
      <c r="H616" s="872">
        <v>42282</v>
      </c>
      <c r="I616" s="34">
        <v>88.800700000000006</v>
      </c>
      <c r="J616" s="34">
        <v>49.25</v>
      </c>
    </row>
    <row r="617" spans="8:10" x14ac:dyDescent="0.25">
      <c r="H617" s="872">
        <v>42279</v>
      </c>
      <c r="I617" s="34">
        <v>87.891400000000004</v>
      </c>
      <c r="J617" s="34">
        <v>48.13</v>
      </c>
    </row>
    <row r="618" spans="8:10" x14ac:dyDescent="0.25">
      <c r="H618" s="872">
        <v>42278</v>
      </c>
      <c r="I618" s="34">
        <v>87.130499999999998</v>
      </c>
      <c r="J618" s="34">
        <v>47.69</v>
      </c>
    </row>
    <row r="619" spans="8:10" x14ac:dyDescent="0.25">
      <c r="H619" s="872">
        <v>42277</v>
      </c>
      <c r="I619" s="34">
        <v>87.821399999999997</v>
      </c>
      <c r="J619" s="34">
        <v>48.37</v>
      </c>
    </row>
    <row r="620" spans="8:10" x14ac:dyDescent="0.25">
      <c r="H620" s="872">
        <v>42276</v>
      </c>
      <c r="I620" s="34">
        <v>87.561800000000005</v>
      </c>
      <c r="J620" s="34">
        <v>48.23</v>
      </c>
    </row>
    <row r="621" spans="8:10" x14ac:dyDescent="0.25">
      <c r="H621" s="872">
        <v>42275</v>
      </c>
      <c r="I621" s="34">
        <v>87.334400000000002</v>
      </c>
      <c r="J621" s="34">
        <v>47.34</v>
      </c>
    </row>
    <row r="622" spans="8:10" x14ac:dyDescent="0.25">
      <c r="H622" s="872">
        <v>42272</v>
      </c>
      <c r="I622" s="34">
        <v>88.494200000000006</v>
      </c>
      <c r="J622" s="34">
        <v>48.6</v>
      </c>
    </row>
    <row r="623" spans="8:10" x14ac:dyDescent="0.25">
      <c r="H623" s="872">
        <v>42271</v>
      </c>
      <c r="I623" s="34">
        <v>87.870400000000004</v>
      </c>
      <c r="J623" s="34">
        <v>48.17</v>
      </c>
    </row>
    <row r="624" spans="8:10" x14ac:dyDescent="0.25">
      <c r="H624" s="872">
        <v>42270</v>
      </c>
      <c r="I624" s="34">
        <v>87.186000000000007</v>
      </c>
      <c r="J624" s="34">
        <v>47.75</v>
      </c>
    </row>
    <row r="625" spans="8:10" x14ac:dyDescent="0.25">
      <c r="H625" s="872">
        <v>42269</v>
      </c>
      <c r="I625" s="34">
        <v>87.669300000000007</v>
      </c>
      <c r="J625" s="34">
        <v>49.08</v>
      </c>
    </row>
    <row r="626" spans="8:10" x14ac:dyDescent="0.25">
      <c r="H626" s="872">
        <v>42268</v>
      </c>
      <c r="I626" s="34">
        <v>88.561499999999995</v>
      </c>
      <c r="J626" s="34">
        <v>48.92</v>
      </c>
    </row>
    <row r="627" spans="8:10" x14ac:dyDescent="0.25">
      <c r="H627" s="872">
        <v>42265</v>
      </c>
      <c r="I627" s="34">
        <v>87.727199999999996</v>
      </c>
      <c r="J627" s="34">
        <v>47.47</v>
      </c>
    </row>
    <row r="628" spans="8:10" x14ac:dyDescent="0.25">
      <c r="H628" s="872">
        <v>42264</v>
      </c>
      <c r="I628" s="34">
        <v>89.031400000000005</v>
      </c>
      <c r="J628" s="34">
        <v>49.08</v>
      </c>
    </row>
    <row r="629" spans="8:10" x14ac:dyDescent="0.25">
      <c r="H629" s="872">
        <v>42263</v>
      </c>
      <c r="I629" s="34">
        <v>89.4589</v>
      </c>
      <c r="J629" s="34">
        <v>49.75</v>
      </c>
    </row>
    <row r="630" spans="8:10" x14ac:dyDescent="0.25">
      <c r="H630" s="872">
        <v>42262</v>
      </c>
      <c r="I630" s="34">
        <v>88.570999999999998</v>
      </c>
      <c r="J630" s="34">
        <v>46.63</v>
      </c>
    </row>
    <row r="631" spans="8:10" x14ac:dyDescent="0.25">
      <c r="H631" s="872">
        <v>42261</v>
      </c>
      <c r="I631" s="34">
        <v>88.572100000000006</v>
      </c>
      <c r="J631" s="34">
        <v>46.37</v>
      </c>
    </row>
    <row r="632" spans="8:10" x14ac:dyDescent="0.25">
      <c r="H632" s="872">
        <v>42258</v>
      </c>
      <c r="I632" s="34">
        <v>88.9268</v>
      </c>
      <c r="J632" s="34">
        <v>48.14</v>
      </c>
    </row>
    <row r="633" spans="8:10" x14ac:dyDescent="0.25">
      <c r="H633" s="872">
        <v>42257</v>
      </c>
      <c r="I633" s="34">
        <v>89.146199999999993</v>
      </c>
      <c r="J633" s="34">
        <v>48.89</v>
      </c>
    </row>
    <row r="634" spans="8:10" x14ac:dyDescent="0.25">
      <c r="H634" s="872">
        <v>42256</v>
      </c>
      <c r="I634" s="34">
        <v>88.220100000000002</v>
      </c>
      <c r="J634" s="34">
        <v>47.58</v>
      </c>
    </row>
    <row r="635" spans="8:10" x14ac:dyDescent="0.25">
      <c r="H635" s="872">
        <v>42255</v>
      </c>
      <c r="I635" s="34">
        <v>89.350300000000004</v>
      </c>
      <c r="J635" s="34">
        <v>49.52</v>
      </c>
    </row>
    <row r="636" spans="8:10" x14ac:dyDescent="0.25">
      <c r="H636" s="872">
        <v>42251</v>
      </c>
      <c r="I636" s="34">
        <v>88.489400000000003</v>
      </c>
      <c r="J636" s="34">
        <v>49.61</v>
      </c>
    </row>
    <row r="637" spans="8:10" x14ac:dyDescent="0.25">
      <c r="H637" s="872">
        <v>42250</v>
      </c>
      <c r="I637" s="34">
        <v>89.419499999999999</v>
      </c>
      <c r="J637" s="34">
        <v>50.68</v>
      </c>
    </row>
    <row r="638" spans="8:10" x14ac:dyDescent="0.25">
      <c r="H638" s="872">
        <v>42249</v>
      </c>
      <c r="I638" s="34">
        <v>88.928100000000001</v>
      </c>
      <c r="J638" s="34">
        <v>50.5</v>
      </c>
    </row>
    <row r="639" spans="8:10" x14ac:dyDescent="0.25">
      <c r="H639" s="872">
        <v>42248</v>
      </c>
      <c r="I639" s="34">
        <v>88.738</v>
      </c>
      <c r="J639" s="34">
        <v>49.56</v>
      </c>
    </row>
    <row r="640" spans="8:10" x14ac:dyDescent="0.25">
      <c r="H640" s="872">
        <v>42247</v>
      </c>
      <c r="I640" s="34">
        <v>90.9328</v>
      </c>
      <c r="J640" s="34">
        <v>54.15</v>
      </c>
    </row>
    <row r="641" spans="8:10" x14ac:dyDescent="0.25">
      <c r="H641" s="872">
        <v>42244</v>
      </c>
      <c r="I641" s="34">
        <v>89.357900000000001</v>
      </c>
      <c r="J641" s="34">
        <v>50.05</v>
      </c>
    </row>
    <row r="642" spans="8:10" x14ac:dyDescent="0.25">
      <c r="H642" s="872">
        <v>42243</v>
      </c>
      <c r="I642" s="34">
        <v>87.721599999999995</v>
      </c>
      <c r="J642" s="34">
        <v>47.56</v>
      </c>
    </row>
    <row r="643" spans="8:10" x14ac:dyDescent="0.25">
      <c r="H643" s="872">
        <v>42242</v>
      </c>
      <c r="I643" s="34">
        <v>85.138300000000001</v>
      </c>
      <c r="J643" s="34">
        <v>43.14</v>
      </c>
    </row>
    <row r="644" spans="8:10" x14ac:dyDescent="0.25">
      <c r="H644" s="872">
        <v>42241</v>
      </c>
      <c r="I644" s="34">
        <v>86.275199999999998</v>
      </c>
      <c r="J644" s="34">
        <v>43.21</v>
      </c>
    </row>
    <row r="645" spans="8:10" x14ac:dyDescent="0.25">
      <c r="H645" s="872">
        <v>42240</v>
      </c>
      <c r="I645" s="34">
        <v>85.853099999999998</v>
      </c>
      <c r="J645" s="34">
        <v>42.69</v>
      </c>
    </row>
    <row r="646" spans="8:10" x14ac:dyDescent="0.25">
      <c r="H646" s="872">
        <v>42237</v>
      </c>
      <c r="I646" s="34">
        <v>87.8048</v>
      </c>
      <c r="J646" s="34">
        <v>45.46</v>
      </c>
    </row>
    <row r="647" spans="8:10" x14ac:dyDescent="0.25">
      <c r="H647" s="872">
        <v>42236</v>
      </c>
      <c r="I647" s="34">
        <v>89.229699999999994</v>
      </c>
      <c r="J647" s="34">
        <v>46.62</v>
      </c>
    </row>
    <row r="648" spans="8:10" x14ac:dyDescent="0.25">
      <c r="H648" s="872">
        <v>42235</v>
      </c>
      <c r="I648" s="34">
        <v>88.526399999999995</v>
      </c>
      <c r="J648" s="34">
        <v>47.16</v>
      </c>
    </row>
    <row r="649" spans="8:10" x14ac:dyDescent="0.25">
      <c r="H649" s="872">
        <v>42234</v>
      </c>
      <c r="I649" s="34">
        <v>89.293800000000005</v>
      </c>
      <c r="J649" s="34">
        <v>48.81</v>
      </c>
    </row>
    <row r="650" spans="8:10" x14ac:dyDescent="0.25">
      <c r="H650" s="872">
        <v>42233</v>
      </c>
      <c r="I650" s="34">
        <v>89.814700000000002</v>
      </c>
      <c r="J650" s="34">
        <v>48.74</v>
      </c>
    </row>
    <row r="651" spans="8:10" x14ac:dyDescent="0.25">
      <c r="H651" s="872">
        <v>42230</v>
      </c>
      <c r="I651" s="34">
        <v>90.3553</v>
      </c>
      <c r="J651" s="34">
        <v>49.03</v>
      </c>
    </row>
    <row r="652" spans="8:10" x14ac:dyDescent="0.25">
      <c r="H652" s="872">
        <v>42229</v>
      </c>
      <c r="I652" s="34">
        <v>90.453800000000001</v>
      </c>
      <c r="J652" s="34">
        <v>49.22</v>
      </c>
    </row>
    <row r="653" spans="8:10" x14ac:dyDescent="0.25">
      <c r="H653" s="872">
        <v>42228</v>
      </c>
      <c r="I653" s="34">
        <v>90.831500000000005</v>
      </c>
      <c r="J653" s="34">
        <v>49.66</v>
      </c>
    </row>
    <row r="654" spans="8:10" x14ac:dyDescent="0.25">
      <c r="H654" s="872">
        <v>42227</v>
      </c>
      <c r="I654" s="34">
        <v>91.117800000000003</v>
      </c>
      <c r="J654" s="34">
        <v>49.18</v>
      </c>
    </row>
    <row r="655" spans="8:10" x14ac:dyDescent="0.25">
      <c r="H655" s="872">
        <v>42226</v>
      </c>
      <c r="I655" s="34">
        <v>92.622699999999995</v>
      </c>
      <c r="J655" s="34">
        <v>50.41</v>
      </c>
    </row>
    <row r="656" spans="8:10" x14ac:dyDescent="0.25">
      <c r="H656" s="872">
        <v>42223</v>
      </c>
      <c r="I656" s="34">
        <v>90.479900000000001</v>
      </c>
      <c r="J656" s="34">
        <v>48.61</v>
      </c>
    </row>
    <row r="657" spans="8:10" x14ac:dyDescent="0.25">
      <c r="H657" s="872">
        <v>42222</v>
      </c>
      <c r="I657" s="34">
        <v>90.532300000000006</v>
      </c>
      <c r="J657" s="34">
        <v>49.52</v>
      </c>
    </row>
    <row r="658" spans="8:10" x14ac:dyDescent="0.25">
      <c r="H658" s="872">
        <v>42221</v>
      </c>
      <c r="I658" s="34">
        <v>90.827299999999994</v>
      </c>
      <c r="J658" s="34">
        <v>49.59</v>
      </c>
    </row>
    <row r="659" spans="8:10" x14ac:dyDescent="0.25">
      <c r="H659" s="872">
        <v>42220</v>
      </c>
      <c r="I659" s="34">
        <v>91.115600000000001</v>
      </c>
      <c r="J659" s="34">
        <v>49.99</v>
      </c>
    </row>
    <row r="660" spans="8:10" x14ac:dyDescent="0.25">
      <c r="H660" s="872">
        <v>42219</v>
      </c>
      <c r="I660" s="34">
        <v>90.433099999999996</v>
      </c>
      <c r="J660" s="34">
        <v>49.52</v>
      </c>
    </row>
    <row r="661" spans="8:10" x14ac:dyDescent="0.25">
      <c r="H661" s="872">
        <v>42216</v>
      </c>
      <c r="I661" s="34">
        <v>91.782700000000006</v>
      </c>
      <c r="J661" s="34">
        <v>52.21</v>
      </c>
    </row>
    <row r="662" spans="8:10" x14ac:dyDescent="0.25">
      <c r="H662" s="872">
        <v>42215</v>
      </c>
      <c r="I662" s="34">
        <v>92.624499999999998</v>
      </c>
      <c r="J662" s="34">
        <v>53.31</v>
      </c>
    </row>
    <row r="663" spans="8:10" x14ac:dyDescent="0.25">
      <c r="H663" s="872">
        <v>42214</v>
      </c>
      <c r="I663" s="34">
        <v>93.045000000000002</v>
      </c>
      <c r="J663" s="34">
        <v>53.38</v>
      </c>
    </row>
    <row r="664" spans="8:10" x14ac:dyDescent="0.25">
      <c r="H664" s="872">
        <v>42213</v>
      </c>
      <c r="I664" s="34">
        <v>92.897900000000007</v>
      </c>
      <c r="J664" s="34">
        <v>53.3</v>
      </c>
    </row>
    <row r="665" spans="8:10" x14ac:dyDescent="0.25">
      <c r="H665" s="872">
        <v>42212</v>
      </c>
      <c r="I665" s="34">
        <v>92.149299999999997</v>
      </c>
      <c r="J665" s="34">
        <v>53.47</v>
      </c>
    </row>
    <row r="666" spans="8:10" x14ac:dyDescent="0.25">
      <c r="H666" s="872">
        <v>42209</v>
      </c>
      <c r="I666" s="34">
        <v>93.287099999999995</v>
      </c>
      <c r="J666" s="34">
        <v>54.62</v>
      </c>
    </row>
    <row r="667" spans="8:10" x14ac:dyDescent="0.25">
      <c r="H667" s="872">
        <v>42208</v>
      </c>
      <c r="I667" s="34">
        <v>94.3904</v>
      </c>
      <c r="J667" s="34">
        <v>55.27</v>
      </c>
    </row>
    <row r="668" spans="8:10" x14ac:dyDescent="0.25">
      <c r="H668" s="872">
        <v>42207</v>
      </c>
      <c r="I668" s="34">
        <v>95.319900000000004</v>
      </c>
      <c r="J668" s="34">
        <v>56.13</v>
      </c>
    </row>
    <row r="669" spans="8:10" x14ac:dyDescent="0.25">
      <c r="H669" s="872">
        <v>42206</v>
      </c>
      <c r="I669" s="34">
        <v>96.359899999999996</v>
      </c>
      <c r="J669" s="34">
        <v>57.04</v>
      </c>
    </row>
    <row r="670" spans="8:10" x14ac:dyDescent="0.25">
      <c r="H670" s="872">
        <v>42205</v>
      </c>
      <c r="I670" s="34">
        <v>96.2029</v>
      </c>
      <c r="J670" s="34">
        <v>56.65</v>
      </c>
    </row>
    <row r="671" spans="8:10" x14ac:dyDescent="0.25">
      <c r="H671" s="872">
        <v>42202</v>
      </c>
      <c r="I671" s="34">
        <v>97.567700000000002</v>
      </c>
      <c r="J671" s="34">
        <v>57.1</v>
      </c>
    </row>
    <row r="672" spans="8:10" x14ac:dyDescent="0.25">
      <c r="H672" s="872">
        <v>42201</v>
      </c>
      <c r="I672" s="34">
        <v>98.079099999999997</v>
      </c>
      <c r="J672" s="34">
        <v>57.51</v>
      </c>
    </row>
    <row r="673" spans="8:10" x14ac:dyDescent="0.25">
      <c r="H673" s="872">
        <v>42200</v>
      </c>
      <c r="I673" s="34">
        <v>98.482900000000001</v>
      </c>
      <c r="J673" s="34">
        <v>57.05</v>
      </c>
    </row>
    <row r="674" spans="8:10" x14ac:dyDescent="0.25">
      <c r="H674" s="872">
        <v>42199</v>
      </c>
      <c r="I674" s="34">
        <v>99.403700000000001</v>
      </c>
      <c r="J674" s="34">
        <v>58.51</v>
      </c>
    </row>
    <row r="675" spans="8:10" x14ac:dyDescent="0.25">
      <c r="H675" s="872">
        <v>42198</v>
      </c>
      <c r="I675" s="34">
        <v>99.577600000000004</v>
      </c>
      <c r="J675" s="34">
        <v>57.85</v>
      </c>
    </row>
    <row r="676" spans="8:10" x14ac:dyDescent="0.25">
      <c r="H676" s="872">
        <v>42195</v>
      </c>
      <c r="I676" s="34">
        <v>99.334199999999996</v>
      </c>
      <c r="J676" s="34">
        <v>58.73</v>
      </c>
    </row>
    <row r="677" spans="8:10" x14ac:dyDescent="0.25">
      <c r="H677" s="872">
        <v>42194</v>
      </c>
      <c r="I677" s="34">
        <v>99.038200000000003</v>
      </c>
      <c r="J677" s="34">
        <v>58.61</v>
      </c>
    </row>
    <row r="678" spans="8:10" x14ac:dyDescent="0.25">
      <c r="H678" s="872">
        <v>42193</v>
      </c>
      <c r="I678" s="34">
        <v>97.844300000000004</v>
      </c>
      <c r="J678" s="34">
        <v>57.05</v>
      </c>
    </row>
    <row r="679" spans="8:10" x14ac:dyDescent="0.25">
      <c r="H679" s="872">
        <v>42192</v>
      </c>
      <c r="I679" s="34">
        <v>97.599400000000003</v>
      </c>
      <c r="J679" s="34">
        <v>56.85</v>
      </c>
    </row>
    <row r="680" spans="8:10" x14ac:dyDescent="0.25">
      <c r="H680" s="872">
        <v>42191</v>
      </c>
      <c r="I680" s="34">
        <v>99.107799999999997</v>
      </c>
      <c r="J680" s="34">
        <v>56.54</v>
      </c>
    </row>
    <row r="681" spans="8:10" x14ac:dyDescent="0.25">
      <c r="H681" s="872">
        <v>42187</v>
      </c>
      <c r="I681" s="34">
        <v>101.8648</v>
      </c>
      <c r="J681" s="34">
        <v>62.07</v>
      </c>
    </row>
    <row r="682" spans="8:10" x14ac:dyDescent="0.25">
      <c r="H682" s="872">
        <v>42186</v>
      </c>
      <c r="I682" s="34">
        <v>101.60290000000001</v>
      </c>
      <c r="J682" s="34">
        <v>62.01</v>
      </c>
    </row>
    <row r="683" spans="8:10" x14ac:dyDescent="0.25">
      <c r="H683" s="872">
        <v>42185</v>
      </c>
      <c r="I683" s="34">
        <v>102.6892</v>
      </c>
      <c r="J683" s="34">
        <v>63.59</v>
      </c>
    </row>
    <row r="684" spans="8:10" x14ac:dyDescent="0.25">
      <c r="H684" s="872">
        <v>42184</v>
      </c>
      <c r="I684" s="34">
        <v>100.7349</v>
      </c>
      <c r="J684" s="34">
        <v>62.01</v>
      </c>
    </row>
    <row r="685" spans="8:10" x14ac:dyDescent="0.25">
      <c r="H685" s="872">
        <v>42181</v>
      </c>
      <c r="I685" s="34">
        <v>101.1317</v>
      </c>
      <c r="J685" s="34">
        <v>63.26</v>
      </c>
    </row>
    <row r="686" spans="8:10" x14ac:dyDescent="0.25">
      <c r="H686" s="872">
        <v>42180</v>
      </c>
      <c r="I686" s="34">
        <v>100.9008</v>
      </c>
      <c r="J686" s="34">
        <v>63.2</v>
      </c>
    </row>
    <row r="687" spans="8:10" x14ac:dyDescent="0.25">
      <c r="H687" s="872">
        <v>42179</v>
      </c>
      <c r="I687" s="34">
        <v>100.468</v>
      </c>
      <c r="J687" s="34">
        <v>63.49</v>
      </c>
    </row>
    <row r="688" spans="8:10" x14ac:dyDescent="0.25">
      <c r="H688" s="872">
        <v>42178</v>
      </c>
      <c r="I688" s="34">
        <v>100.7234</v>
      </c>
      <c r="J688" s="34">
        <v>64.45</v>
      </c>
    </row>
    <row r="689" spans="8:10" x14ac:dyDescent="0.25">
      <c r="H689" s="872">
        <v>42177</v>
      </c>
      <c r="I689" s="34">
        <v>100.0458</v>
      </c>
      <c r="J689" s="34">
        <v>63.34</v>
      </c>
    </row>
    <row r="690" spans="8:10" x14ac:dyDescent="0.25">
      <c r="H690" s="872">
        <v>42174</v>
      </c>
      <c r="I690" s="34">
        <v>99.835300000000004</v>
      </c>
      <c r="J690" s="34">
        <v>63.02</v>
      </c>
    </row>
    <row r="691" spans="8:10" x14ac:dyDescent="0.25">
      <c r="H691" s="872">
        <v>42173</v>
      </c>
      <c r="I691" s="34">
        <v>100.6035</v>
      </c>
      <c r="J691" s="34">
        <v>64.260000000000005</v>
      </c>
    </row>
    <row r="692" spans="8:10" x14ac:dyDescent="0.25">
      <c r="H692" s="872">
        <v>42172</v>
      </c>
      <c r="I692" s="34">
        <v>100.523</v>
      </c>
      <c r="J692" s="34">
        <v>63.87</v>
      </c>
    </row>
    <row r="693" spans="8:10" x14ac:dyDescent="0.25">
      <c r="H693" s="872">
        <v>42171</v>
      </c>
      <c r="I693" s="34">
        <v>100.5206</v>
      </c>
      <c r="J693" s="34">
        <v>63.7</v>
      </c>
    </row>
    <row r="694" spans="8:10" x14ac:dyDescent="0.25">
      <c r="H694" s="872">
        <v>42170</v>
      </c>
      <c r="I694" s="34">
        <v>100.2693</v>
      </c>
      <c r="J694" s="34">
        <v>62.61</v>
      </c>
    </row>
    <row r="695" spans="8:10" x14ac:dyDescent="0.25">
      <c r="H695" s="872">
        <v>42167</v>
      </c>
      <c r="I695" s="34">
        <v>100.5809</v>
      </c>
      <c r="J695" s="34">
        <v>63.87</v>
      </c>
    </row>
    <row r="696" spans="8:10" x14ac:dyDescent="0.25">
      <c r="H696" s="872">
        <v>42166</v>
      </c>
      <c r="I696" s="34">
        <v>101.49420000000001</v>
      </c>
      <c r="J696" s="34">
        <v>65.11</v>
      </c>
    </row>
    <row r="697" spans="8:10" x14ac:dyDescent="0.25">
      <c r="H697" s="872">
        <v>42165</v>
      </c>
      <c r="I697" s="34">
        <v>102.712</v>
      </c>
      <c r="J697" s="34">
        <v>65.7</v>
      </c>
    </row>
    <row r="698" spans="8:10" x14ac:dyDescent="0.25">
      <c r="H698" s="872">
        <v>42164</v>
      </c>
      <c r="I698" s="34">
        <v>102.17489999999999</v>
      </c>
      <c r="J698" s="34">
        <v>64.88</v>
      </c>
    </row>
    <row r="699" spans="8:10" x14ac:dyDescent="0.25">
      <c r="H699" s="872">
        <v>42163</v>
      </c>
      <c r="I699" s="34">
        <v>100.6041</v>
      </c>
      <c r="J699" s="34">
        <v>62.69</v>
      </c>
    </row>
    <row r="700" spans="8:10" x14ac:dyDescent="0.25">
      <c r="H700" s="872">
        <v>42160</v>
      </c>
      <c r="I700" s="34">
        <v>100.2458</v>
      </c>
      <c r="J700" s="34">
        <v>63.31</v>
      </c>
    </row>
    <row r="701" spans="8:10" x14ac:dyDescent="0.25">
      <c r="H701" s="872">
        <v>42159</v>
      </c>
      <c r="I701" s="34">
        <v>100.0515</v>
      </c>
      <c r="J701" s="34">
        <v>62.03</v>
      </c>
    </row>
    <row r="702" spans="8:10" x14ac:dyDescent="0.25">
      <c r="H702" s="872">
        <v>42158</v>
      </c>
      <c r="I702" s="34">
        <v>100.9914</v>
      </c>
      <c r="J702" s="34">
        <v>63.8</v>
      </c>
    </row>
    <row r="703" spans="8:10" x14ac:dyDescent="0.25">
      <c r="H703" s="872">
        <v>42157</v>
      </c>
      <c r="I703" s="34">
        <v>102.0676</v>
      </c>
      <c r="J703" s="34">
        <v>65.489999999999995</v>
      </c>
    </row>
    <row r="704" spans="8:10" x14ac:dyDescent="0.25">
      <c r="H704" s="872">
        <v>42156</v>
      </c>
      <c r="I704" s="34">
        <v>101.0561</v>
      </c>
      <c r="J704" s="34">
        <v>64.88</v>
      </c>
    </row>
    <row r="705" spans="8:10" x14ac:dyDescent="0.25">
      <c r="H705" s="872">
        <v>42153</v>
      </c>
      <c r="I705" s="34">
        <v>100.9465</v>
      </c>
      <c r="J705" s="34">
        <v>65.56</v>
      </c>
    </row>
    <row r="706" spans="8:10" x14ac:dyDescent="0.25">
      <c r="H706" s="872">
        <v>42152</v>
      </c>
      <c r="I706" s="34">
        <v>100.1561</v>
      </c>
      <c r="J706" s="34">
        <v>62.58</v>
      </c>
    </row>
    <row r="707" spans="8:10" x14ac:dyDescent="0.25">
      <c r="H707" s="872">
        <v>42151</v>
      </c>
      <c r="I707" s="34">
        <v>100.0014</v>
      </c>
      <c r="J707" s="34">
        <v>62.06</v>
      </c>
    </row>
    <row r="708" spans="8:10" x14ac:dyDescent="0.25">
      <c r="H708" s="872">
        <v>42150</v>
      </c>
      <c r="I708" s="34">
        <v>100.77200000000001</v>
      </c>
      <c r="J708" s="34">
        <v>63.72</v>
      </c>
    </row>
    <row r="709" spans="8:10" x14ac:dyDescent="0.25">
      <c r="H709" s="872">
        <v>42146</v>
      </c>
      <c r="I709" s="34">
        <v>102.5038</v>
      </c>
      <c r="J709" s="34">
        <v>65.37</v>
      </c>
    </row>
    <row r="710" spans="8:10" x14ac:dyDescent="0.25">
      <c r="H710" s="872">
        <v>42145</v>
      </c>
      <c r="I710" s="34">
        <v>103.7503</v>
      </c>
      <c r="J710" s="34">
        <v>66.540000000000006</v>
      </c>
    </row>
    <row r="711" spans="8:10" x14ac:dyDescent="0.25">
      <c r="H711" s="872">
        <v>42144</v>
      </c>
      <c r="I711" s="34">
        <v>102.94280000000001</v>
      </c>
      <c r="J711" s="34">
        <v>65.03</v>
      </c>
    </row>
    <row r="712" spans="8:10" x14ac:dyDescent="0.25">
      <c r="H712" s="872">
        <v>42143</v>
      </c>
      <c r="I712" s="34">
        <v>102.8047</v>
      </c>
      <c r="J712" s="34">
        <v>64.02</v>
      </c>
    </row>
    <row r="713" spans="8:10" x14ac:dyDescent="0.25">
      <c r="H713" s="872">
        <v>42142</v>
      </c>
      <c r="I713" s="34">
        <v>105.08799999999999</v>
      </c>
      <c r="J713" s="34">
        <v>66.27</v>
      </c>
    </row>
    <row r="714" spans="8:10" x14ac:dyDescent="0.25">
      <c r="H714" s="872">
        <v>42139</v>
      </c>
      <c r="I714" s="34">
        <v>105.34529999999999</v>
      </c>
      <c r="J714" s="34">
        <v>66.81</v>
      </c>
    </row>
    <row r="715" spans="8:10" x14ac:dyDescent="0.25">
      <c r="H715" s="872">
        <v>42138</v>
      </c>
      <c r="I715" s="34">
        <v>105.49379999999999</v>
      </c>
      <c r="J715" s="34">
        <v>66.59</v>
      </c>
    </row>
    <row r="716" spans="8:10" x14ac:dyDescent="0.25">
      <c r="H716" s="872">
        <v>42137</v>
      </c>
      <c r="I716" s="34">
        <v>104.9837</v>
      </c>
      <c r="J716" s="34">
        <v>66.81</v>
      </c>
    </row>
    <row r="717" spans="8:10" x14ac:dyDescent="0.25">
      <c r="H717" s="872">
        <v>42136</v>
      </c>
      <c r="I717" s="34">
        <v>104.6512</v>
      </c>
      <c r="J717" s="34">
        <v>66.86</v>
      </c>
    </row>
    <row r="718" spans="8:10" x14ac:dyDescent="0.25">
      <c r="H718" s="872">
        <v>42135</v>
      </c>
      <c r="I718" s="34">
        <v>103.3951</v>
      </c>
      <c r="J718" s="34">
        <v>64.91</v>
      </c>
    </row>
    <row r="719" spans="8:10" x14ac:dyDescent="0.25">
      <c r="H719" s="872">
        <v>42132</v>
      </c>
      <c r="I719" s="34">
        <v>104.0993</v>
      </c>
      <c r="J719" s="34">
        <v>65.39</v>
      </c>
    </row>
    <row r="720" spans="8:10" x14ac:dyDescent="0.25">
      <c r="H720" s="872">
        <v>42131</v>
      </c>
      <c r="I720" s="34">
        <v>103.10429999999999</v>
      </c>
      <c r="J720" s="34">
        <v>65.540000000000006</v>
      </c>
    </row>
    <row r="721" spans="8:10" x14ac:dyDescent="0.25">
      <c r="H721" s="872">
        <v>42130</v>
      </c>
      <c r="I721" s="34">
        <v>104.562</v>
      </c>
      <c r="J721" s="34">
        <v>67.77</v>
      </c>
    </row>
    <row r="722" spans="8:10" x14ac:dyDescent="0.25">
      <c r="H722" s="872">
        <v>42129</v>
      </c>
      <c r="I722" s="34">
        <v>104.7285</v>
      </c>
      <c r="J722" s="34">
        <v>67.52</v>
      </c>
    </row>
    <row r="723" spans="8:10" x14ac:dyDescent="0.25">
      <c r="H723" s="872">
        <v>42128</v>
      </c>
      <c r="I723" s="34">
        <v>103.6961</v>
      </c>
      <c r="J723" s="34">
        <v>66.45</v>
      </c>
    </row>
    <row r="724" spans="8:10" x14ac:dyDescent="0.25">
      <c r="H724" s="872">
        <v>42125</v>
      </c>
      <c r="I724" s="34">
        <v>103.3993</v>
      </c>
      <c r="J724" s="34">
        <v>66.459999999999994</v>
      </c>
    </row>
    <row r="725" spans="8:10" x14ac:dyDescent="0.25">
      <c r="H725" s="872">
        <v>42124</v>
      </c>
      <c r="I725" s="34">
        <v>103.7471</v>
      </c>
      <c r="J725" s="34">
        <v>66.78</v>
      </c>
    </row>
    <row r="726" spans="8:10" x14ac:dyDescent="0.25">
      <c r="H726" s="872">
        <v>42123</v>
      </c>
      <c r="I726" s="34">
        <v>103.0634</v>
      </c>
      <c r="J726" s="34">
        <v>65.84</v>
      </c>
    </row>
    <row r="727" spans="8:10" x14ac:dyDescent="0.25">
      <c r="H727" s="872">
        <v>42122</v>
      </c>
      <c r="I727" s="34">
        <v>102.06100000000001</v>
      </c>
      <c r="J727" s="34">
        <v>64.64</v>
      </c>
    </row>
    <row r="728" spans="8:10" x14ac:dyDescent="0.25">
      <c r="H728" s="872">
        <v>42121</v>
      </c>
      <c r="I728" s="34">
        <v>101.765</v>
      </c>
      <c r="J728" s="34">
        <v>64.83</v>
      </c>
    </row>
    <row r="729" spans="8:10" x14ac:dyDescent="0.25">
      <c r="H729" s="872">
        <v>42118</v>
      </c>
      <c r="I729" s="34">
        <v>101.59059999999999</v>
      </c>
      <c r="J729" s="34">
        <v>65.28</v>
      </c>
    </row>
    <row r="730" spans="8:10" x14ac:dyDescent="0.25">
      <c r="H730" s="872">
        <v>42117</v>
      </c>
      <c r="I730" s="34">
        <v>101.6138</v>
      </c>
      <c r="J730" s="34">
        <v>64.849999999999994</v>
      </c>
    </row>
    <row r="731" spans="8:10" x14ac:dyDescent="0.25">
      <c r="H731" s="872">
        <v>42116</v>
      </c>
      <c r="I731" s="34">
        <v>100.64190000000001</v>
      </c>
      <c r="J731" s="34">
        <v>62.73</v>
      </c>
    </row>
    <row r="732" spans="8:10" x14ac:dyDescent="0.25">
      <c r="H732" s="872">
        <v>42115</v>
      </c>
      <c r="I732" s="34">
        <v>100.73909999999999</v>
      </c>
      <c r="J732" s="34">
        <v>62.08</v>
      </c>
    </row>
    <row r="733" spans="8:10" x14ac:dyDescent="0.25">
      <c r="H733" s="872">
        <v>42114</v>
      </c>
      <c r="I733" s="34">
        <v>101.16540000000001</v>
      </c>
      <c r="J733" s="34">
        <v>63.45</v>
      </c>
    </row>
    <row r="734" spans="8:10" x14ac:dyDescent="0.25">
      <c r="H734" s="872">
        <v>42111</v>
      </c>
      <c r="I734" s="34">
        <v>101.819</v>
      </c>
      <c r="J734" s="34">
        <v>63.45</v>
      </c>
    </row>
    <row r="735" spans="8:10" x14ac:dyDescent="0.25">
      <c r="H735" s="872">
        <v>42110</v>
      </c>
      <c r="I735" s="34">
        <v>102.31</v>
      </c>
      <c r="J735" s="34">
        <v>63.98</v>
      </c>
    </row>
    <row r="736" spans="8:10" x14ac:dyDescent="0.25">
      <c r="H736" s="872">
        <v>42109</v>
      </c>
      <c r="I736" s="34">
        <v>101.44329999999999</v>
      </c>
      <c r="J736" s="34">
        <v>60.32</v>
      </c>
    </row>
    <row r="737" spans="8:10" x14ac:dyDescent="0.25">
      <c r="H737" s="872">
        <v>42108</v>
      </c>
      <c r="I737" s="34">
        <v>99.669799999999995</v>
      </c>
      <c r="J737" s="34">
        <v>58.43</v>
      </c>
    </row>
    <row r="738" spans="8:10" x14ac:dyDescent="0.25">
      <c r="H738" s="872">
        <v>42107</v>
      </c>
      <c r="I738" s="34">
        <v>99.060500000000005</v>
      </c>
      <c r="J738" s="34">
        <v>57.93</v>
      </c>
    </row>
    <row r="739" spans="8:10" x14ac:dyDescent="0.25">
      <c r="H739" s="872">
        <v>42104</v>
      </c>
      <c r="I739" s="34">
        <v>99.471400000000003</v>
      </c>
      <c r="J739" s="34">
        <v>57.87</v>
      </c>
    </row>
    <row r="740" spans="8:10" x14ac:dyDescent="0.25">
      <c r="H740" s="872">
        <v>42103</v>
      </c>
      <c r="I740" s="34">
        <v>98.796999999999997</v>
      </c>
      <c r="J740" s="34">
        <v>56.57</v>
      </c>
    </row>
    <row r="741" spans="8:10" x14ac:dyDescent="0.25">
      <c r="H741" s="872">
        <v>42102</v>
      </c>
      <c r="I741" s="34">
        <v>99.224699999999999</v>
      </c>
      <c r="J741" s="34">
        <v>55.55</v>
      </c>
    </row>
    <row r="742" spans="8:10" x14ac:dyDescent="0.25">
      <c r="H742" s="872">
        <v>42101</v>
      </c>
      <c r="I742" s="34">
        <v>101.3824</v>
      </c>
      <c r="J742" s="34">
        <v>59.1</v>
      </c>
    </row>
    <row r="743" spans="8:10" x14ac:dyDescent="0.25">
      <c r="H743" s="872">
        <v>42100</v>
      </c>
      <c r="I743" s="34">
        <v>100.95180000000001</v>
      </c>
      <c r="J743" s="34">
        <v>58.12</v>
      </c>
    </row>
    <row r="744" spans="8:10" x14ac:dyDescent="0.25">
      <c r="H744" s="872">
        <v>42096</v>
      </c>
      <c r="I744" s="34">
        <v>99.6875</v>
      </c>
      <c r="J744" s="34">
        <v>54.95</v>
      </c>
    </row>
    <row r="745" spans="8:10" x14ac:dyDescent="0.25">
      <c r="H745" s="872">
        <v>42095</v>
      </c>
      <c r="I745" s="34">
        <v>99.896299999999997</v>
      </c>
      <c r="J745" s="34">
        <v>57.1</v>
      </c>
    </row>
    <row r="746" spans="8:10" x14ac:dyDescent="0.25">
      <c r="H746" s="872">
        <v>42094</v>
      </c>
      <c r="I746" s="34">
        <v>98.123000000000005</v>
      </c>
      <c r="J746" s="34">
        <v>55.11</v>
      </c>
    </row>
    <row r="747" spans="8:10" x14ac:dyDescent="0.25">
      <c r="H747" s="872">
        <v>42093</v>
      </c>
      <c r="I747" s="34">
        <v>99.287499999999994</v>
      </c>
      <c r="J747" s="34">
        <v>56.29</v>
      </c>
    </row>
    <row r="748" spans="8:10" x14ac:dyDescent="0.25">
      <c r="H748" s="872">
        <v>42090</v>
      </c>
      <c r="I748" s="34">
        <v>99.365200000000002</v>
      </c>
      <c r="J748" s="34">
        <v>56.41</v>
      </c>
    </row>
    <row r="749" spans="8:10" x14ac:dyDescent="0.25">
      <c r="H749" s="872">
        <v>42089</v>
      </c>
      <c r="I749" s="34">
        <v>101.0461</v>
      </c>
      <c r="J749" s="34">
        <v>59.19</v>
      </c>
    </row>
    <row r="750" spans="8:10" x14ac:dyDescent="0.25">
      <c r="H750" s="872">
        <v>42088</v>
      </c>
      <c r="I750" s="34">
        <v>100.3086</v>
      </c>
      <c r="J750" s="34">
        <v>56.48</v>
      </c>
    </row>
    <row r="751" spans="8:10" x14ac:dyDescent="0.25">
      <c r="H751" s="872">
        <v>42087</v>
      </c>
      <c r="I751" s="34">
        <v>100.0038</v>
      </c>
      <c r="J751" s="34">
        <v>55.11</v>
      </c>
    </row>
    <row r="752" spans="8:10" x14ac:dyDescent="0.25">
      <c r="H752" s="872">
        <v>42086</v>
      </c>
      <c r="I752" s="34">
        <v>100.12869999999999</v>
      </c>
      <c r="J752" s="34">
        <v>55.92</v>
      </c>
    </row>
    <row r="753" spans="8:10" x14ac:dyDescent="0.25">
      <c r="H753" s="872">
        <v>42083</v>
      </c>
      <c r="I753" s="34">
        <v>99.545500000000004</v>
      </c>
      <c r="J753" s="34">
        <v>55.32</v>
      </c>
    </row>
    <row r="754" spans="8:10" x14ac:dyDescent="0.25">
      <c r="H754" s="872">
        <v>42082</v>
      </c>
      <c r="I754" s="34">
        <v>97.988200000000006</v>
      </c>
      <c r="J754" s="34">
        <v>54.43</v>
      </c>
    </row>
    <row r="755" spans="8:10" x14ac:dyDescent="0.25">
      <c r="H755" s="872">
        <v>42081</v>
      </c>
      <c r="I755" s="34">
        <v>98.186800000000005</v>
      </c>
      <c r="J755" s="34">
        <v>55.91</v>
      </c>
    </row>
    <row r="756" spans="8:10" x14ac:dyDescent="0.25">
      <c r="H756" s="872">
        <v>42080</v>
      </c>
      <c r="I756" s="34">
        <v>96.962599999999995</v>
      </c>
      <c r="J756" s="34">
        <v>53.51</v>
      </c>
    </row>
    <row r="757" spans="8:10" x14ac:dyDescent="0.25">
      <c r="H757" s="872">
        <v>42079</v>
      </c>
      <c r="I757" s="34">
        <v>97.329899999999995</v>
      </c>
      <c r="J757" s="34">
        <v>53.44</v>
      </c>
    </row>
    <row r="758" spans="8:10" x14ac:dyDescent="0.25">
      <c r="H758" s="872">
        <v>42076</v>
      </c>
      <c r="I758" s="34">
        <v>97.577699999999993</v>
      </c>
      <c r="J758" s="34">
        <v>54.67</v>
      </c>
    </row>
    <row r="759" spans="8:10" x14ac:dyDescent="0.25">
      <c r="H759" s="872">
        <v>42075</v>
      </c>
      <c r="I759" s="34">
        <v>98.9953</v>
      </c>
      <c r="J759" s="34">
        <v>57.08</v>
      </c>
    </row>
    <row r="760" spans="8:10" x14ac:dyDescent="0.25">
      <c r="H760" s="872">
        <v>42074</v>
      </c>
      <c r="I760" s="34">
        <v>99.378100000000003</v>
      </c>
      <c r="J760" s="34">
        <v>57.54</v>
      </c>
    </row>
    <row r="761" spans="8:10" x14ac:dyDescent="0.25">
      <c r="H761" s="872">
        <v>42073</v>
      </c>
      <c r="I761" s="34">
        <v>99.135800000000003</v>
      </c>
      <c r="J761" s="34">
        <v>56.39</v>
      </c>
    </row>
    <row r="762" spans="8:10" x14ac:dyDescent="0.25">
      <c r="H762" s="872">
        <v>42072</v>
      </c>
      <c r="I762" s="34">
        <v>100.3442</v>
      </c>
      <c r="J762" s="34">
        <v>58.53</v>
      </c>
    </row>
    <row r="763" spans="8:10" x14ac:dyDescent="0.25">
      <c r="H763" s="872">
        <v>42069</v>
      </c>
      <c r="I763" s="34">
        <v>100.7694</v>
      </c>
      <c r="J763" s="34">
        <v>59.73</v>
      </c>
    </row>
    <row r="764" spans="8:10" x14ac:dyDescent="0.25">
      <c r="H764" s="872">
        <v>42068</v>
      </c>
      <c r="I764" s="34">
        <v>101.6979</v>
      </c>
      <c r="J764" s="34">
        <v>60.48</v>
      </c>
    </row>
    <row r="765" spans="8:10" x14ac:dyDescent="0.25">
      <c r="H765" s="872">
        <v>42067</v>
      </c>
      <c r="I765" s="34">
        <v>102.05419999999999</v>
      </c>
      <c r="J765" s="34">
        <v>60.55</v>
      </c>
    </row>
    <row r="766" spans="8:10" x14ac:dyDescent="0.25">
      <c r="H766" s="872">
        <v>42066</v>
      </c>
      <c r="I766" s="34">
        <v>102.09820000000001</v>
      </c>
      <c r="J766" s="34">
        <v>61.02</v>
      </c>
    </row>
    <row r="767" spans="8:10" x14ac:dyDescent="0.25">
      <c r="H767" s="872">
        <v>42065</v>
      </c>
      <c r="I767" s="34">
        <v>101.8861</v>
      </c>
      <c r="J767" s="34">
        <v>59.54</v>
      </c>
    </row>
    <row r="768" spans="8:10" x14ac:dyDescent="0.25">
      <c r="H768" s="872">
        <v>42062</v>
      </c>
      <c r="I768" s="34">
        <v>103.4379</v>
      </c>
      <c r="J768" s="34">
        <v>62.58</v>
      </c>
    </row>
    <row r="769" spans="8:10" x14ac:dyDescent="0.25">
      <c r="H769" s="872">
        <v>42061</v>
      </c>
      <c r="I769" s="34">
        <v>102.1028</v>
      </c>
      <c r="J769" s="34">
        <v>60.05</v>
      </c>
    </row>
    <row r="770" spans="8:10" x14ac:dyDescent="0.25">
      <c r="H770" s="872">
        <v>42060</v>
      </c>
      <c r="I770" s="34">
        <v>102.7864</v>
      </c>
      <c r="J770" s="34">
        <v>61.63</v>
      </c>
    </row>
    <row r="771" spans="8:10" x14ac:dyDescent="0.25">
      <c r="H771" s="872">
        <v>42059</v>
      </c>
      <c r="I771" s="34">
        <v>101.96639999999999</v>
      </c>
      <c r="J771" s="34">
        <v>58.66</v>
      </c>
    </row>
    <row r="772" spans="8:10" x14ac:dyDescent="0.25">
      <c r="H772" s="872">
        <v>42058</v>
      </c>
      <c r="I772" s="34">
        <v>101.7313</v>
      </c>
      <c r="J772" s="34">
        <v>58.9</v>
      </c>
    </row>
    <row r="773" spans="8:10" x14ac:dyDescent="0.25">
      <c r="H773" s="872">
        <v>42055</v>
      </c>
      <c r="I773" s="34">
        <v>102.7283</v>
      </c>
      <c r="J773" s="34">
        <v>60.22</v>
      </c>
    </row>
    <row r="774" spans="8:10" x14ac:dyDescent="0.25">
      <c r="H774" s="872">
        <v>42054</v>
      </c>
      <c r="I774" s="34">
        <v>103.22020000000001</v>
      </c>
      <c r="J774" s="34">
        <v>60.21</v>
      </c>
    </row>
    <row r="775" spans="8:10" x14ac:dyDescent="0.25">
      <c r="H775" s="872">
        <v>42053</v>
      </c>
      <c r="I775" s="34">
        <v>103.21</v>
      </c>
      <c r="J775" s="34">
        <v>60.53</v>
      </c>
    </row>
    <row r="776" spans="8:10" x14ac:dyDescent="0.25">
      <c r="H776" s="872">
        <v>42052</v>
      </c>
      <c r="I776" s="34">
        <v>103.9821</v>
      </c>
      <c r="J776" s="34">
        <v>62.53</v>
      </c>
    </row>
    <row r="777" spans="8:10" x14ac:dyDescent="0.25">
      <c r="H777" s="872">
        <v>42048</v>
      </c>
      <c r="I777" s="34">
        <v>104.47199999999999</v>
      </c>
      <c r="J777" s="34">
        <v>61.52</v>
      </c>
    </row>
    <row r="778" spans="8:10" x14ac:dyDescent="0.25">
      <c r="H778" s="872">
        <v>42047</v>
      </c>
      <c r="I778" s="34">
        <v>103.0098</v>
      </c>
      <c r="J778" s="34">
        <v>57.05</v>
      </c>
    </row>
    <row r="779" spans="8:10" x14ac:dyDescent="0.25">
      <c r="H779" s="872">
        <v>42046</v>
      </c>
      <c r="I779" s="34">
        <v>101.6249</v>
      </c>
      <c r="J779" s="34">
        <v>54.66</v>
      </c>
    </row>
    <row r="780" spans="8:10" x14ac:dyDescent="0.25">
      <c r="H780" s="872">
        <v>42045</v>
      </c>
      <c r="I780" s="34">
        <v>102.1225</v>
      </c>
      <c r="J780" s="34">
        <v>56.43</v>
      </c>
    </row>
    <row r="781" spans="8:10" x14ac:dyDescent="0.25">
      <c r="H781" s="872">
        <v>42044</v>
      </c>
      <c r="I781" s="34">
        <v>103.56659999999999</v>
      </c>
      <c r="J781" s="34">
        <v>58.34</v>
      </c>
    </row>
    <row r="782" spans="8:10" x14ac:dyDescent="0.25">
      <c r="H782" s="872">
        <v>42041</v>
      </c>
      <c r="I782" s="34">
        <v>102.64879999999999</v>
      </c>
      <c r="J782" s="34">
        <v>57.8</v>
      </c>
    </row>
    <row r="783" spans="8:10" x14ac:dyDescent="0.25">
      <c r="H783" s="872">
        <v>42040</v>
      </c>
      <c r="I783" s="34">
        <v>102.4819</v>
      </c>
      <c r="J783" s="34">
        <v>56.57</v>
      </c>
    </row>
    <row r="784" spans="8:10" x14ac:dyDescent="0.25">
      <c r="H784" s="872">
        <v>42039</v>
      </c>
      <c r="I784" s="34">
        <v>101.6108</v>
      </c>
      <c r="J784" s="34">
        <v>54.16</v>
      </c>
    </row>
    <row r="785" spans="8:10" x14ac:dyDescent="0.25">
      <c r="H785" s="872">
        <v>42038</v>
      </c>
      <c r="I785" s="34">
        <v>104.0163</v>
      </c>
      <c r="J785" s="34">
        <v>57.91</v>
      </c>
    </row>
    <row r="786" spans="8:10" x14ac:dyDescent="0.25">
      <c r="H786" s="872">
        <v>42037</v>
      </c>
      <c r="I786" s="34">
        <v>101.3224</v>
      </c>
      <c r="J786" s="34">
        <v>54.75</v>
      </c>
    </row>
    <row r="787" spans="8:10" x14ac:dyDescent="0.25">
      <c r="H787" s="872">
        <v>42034</v>
      </c>
      <c r="I787" s="34">
        <v>100.8413</v>
      </c>
      <c r="J787" s="34">
        <v>52.99</v>
      </c>
    </row>
    <row r="788" spans="8:10" x14ac:dyDescent="0.25">
      <c r="H788" s="872">
        <v>42033</v>
      </c>
      <c r="I788" s="34">
        <v>98.762900000000002</v>
      </c>
      <c r="J788" s="34">
        <v>49.13</v>
      </c>
    </row>
    <row r="789" spans="8:10" x14ac:dyDescent="0.25">
      <c r="H789" s="872">
        <v>42032</v>
      </c>
      <c r="I789" s="34">
        <v>100.2513</v>
      </c>
      <c r="J789" s="34">
        <v>48.47</v>
      </c>
    </row>
    <row r="790" spans="8:10" x14ac:dyDescent="0.25">
      <c r="H790" s="872">
        <v>42031</v>
      </c>
      <c r="I790" s="34">
        <v>101.3211</v>
      </c>
      <c r="J790" s="34">
        <v>49.6</v>
      </c>
    </row>
    <row r="791" spans="8:10" x14ac:dyDescent="0.25">
      <c r="H791" s="872">
        <v>42030</v>
      </c>
      <c r="I791" s="34">
        <v>100.745</v>
      </c>
      <c r="J791" s="34">
        <v>48.16</v>
      </c>
    </row>
    <row r="792" spans="8:10" x14ac:dyDescent="0.25">
      <c r="H792" s="872">
        <v>42027</v>
      </c>
      <c r="I792" s="34">
        <v>101.131</v>
      </c>
      <c r="J792" s="34">
        <v>48.79</v>
      </c>
    </row>
    <row r="793" spans="8:10" x14ac:dyDescent="0.25">
      <c r="H793" s="872">
        <v>42026</v>
      </c>
      <c r="I793" s="34">
        <v>101.5883</v>
      </c>
      <c r="J793" s="34">
        <v>48.52</v>
      </c>
    </row>
    <row r="794" spans="8:10" x14ac:dyDescent="0.25">
      <c r="H794" s="872">
        <v>42025</v>
      </c>
      <c r="I794" s="34">
        <v>102.5472</v>
      </c>
      <c r="J794" s="34">
        <v>49.03</v>
      </c>
    </row>
    <row r="795" spans="8:10" x14ac:dyDescent="0.25">
      <c r="H795" s="872">
        <v>42024</v>
      </c>
      <c r="I795" s="34">
        <v>101.49930000000001</v>
      </c>
      <c r="J795" s="34">
        <v>47.99</v>
      </c>
    </row>
    <row r="796" spans="8:10" x14ac:dyDescent="0.25">
      <c r="H796" s="872">
        <v>42020</v>
      </c>
      <c r="I796" s="34">
        <v>103.3062</v>
      </c>
      <c r="J796" s="34">
        <v>50.17</v>
      </c>
    </row>
    <row r="797" spans="8:10" x14ac:dyDescent="0.25">
      <c r="H797" s="872">
        <v>42019</v>
      </c>
      <c r="I797" s="34">
        <v>101.71769999999999</v>
      </c>
      <c r="J797" s="34">
        <v>47.67</v>
      </c>
    </row>
    <row r="798" spans="8:10" x14ac:dyDescent="0.25">
      <c r="H798" s="872">
        <v>42018</v>
      </c>
      <c r="I798" s="34">
        <v>102.3496</v>
      </c>
      <c r="J798" s="34">
        <v>48.69</v>
      </c>
    </row>
    <row r="799" spans="8:10" x14ac:dyDescent="0.25">
      <c r="H799" s="872">
        <v>42017</v>
      </c>
      <c r="I799" s="34">
        <v>101.29089999999999</v>
      </c>
      <c r="J799" s="34">
        <v>46.59</v>
      </c>
    </row>
    <row r="800" spans="8:10" x14ac:dyDescent="0.25">
      <c r="H800" s="872">
        <v>42016</v>
      </c>
      <c r="I800" s="34">
        <v>101.895</v>
      </c>
      <c r="J800" s="34">
        <v>47.43</v>
      </c>
    </row>
    <row r="801" spans="8:10" x14ac:dyDescent="0.25">
      <c r="H801" s="872">
        <v>42013</v>
      </c>
      <c r="I801" s="34">
        <v>103.6223</v>
      </c>
      <c r="J801" s="34">
        <v>50.11</v>
      </c>
    </row>
    <row r="802" spans="8:10" x14ac:dyDescent="0.25">
      <c r="H802" s="872">
        <v>42012</v>
      </c>
      <c r="I802" s="34">
        <v>103.6365</v>
      </c>
      <c r="J802" s="34">
        <v>50.96</v>
      </c>
    </row>
    <row r="803" spans="8:10" x14ac:dyDescent="0.25">
      <c r="H803" s="872">
        <v>42011</v>
      </c>
      <c r="I803" s="34">
        <v>103.5252</v>
      </c>
      <c r="J803" s="34">
        <v>51.15</v>
      </c>
    </row>
    <row r="804" spans="8:10" x14ac:dyDescent="0.25">
      <c r="H804" s="872">
        <v>42010</v>
      </c>
      <c r="I804" s="34">
        <v>104.0825</v>
      </c>
      <c r="J804" s="34">
        <v>51.1</v>
      </c>
    </row>
    <row r="805" spans="8:10" x14ac:dyDescent="0.25">
      <c r="H805" s="872">
        <v>42009</v>
      </c>
      <c r="I805" s="34">
        <v>103.873</v>
      </c>
      <c r="J805" s="34">
        <v>53.11</v>
      </c>
    </row>
    <row r="806" spans="8:10" x14ac:dyDescent="0.25">
      <c r="H806" s="872">
        <v>42006</v>
      </c>
      <c r="I806" s="34">
        <v>103.8614</v>
      </c>
      <c r="J806" s="34">
        <v>56.42</v>
      </c>
    </row>
    <row r="807" spans="8:10" x14ac:dyDescent="0.25">
      <c r="H807" s="872">
        <v>42004</v>
      </c>
      <c r="I807" s="34">
        <v>104.32850000000001</v>
      </c>
      <c r="J807" s="34">
        <v>57.33</v>
      </c>
    </row>
    <row r="808" spans="8:10" x14ac:dyDescent="0.25">
      <c r="H808" s="872">
        <v>42003</v>
      </c>
      <c r="I808" s="34">
        <v>106.1031</v>
      </c>
      <c r="J808" s="34">
        <v>57.9</v>
      </c>
    </row>
    <row r="809" spans="8:10" x14ac:dyDescent="0.25">
      <c r="H809" s="872">
        <v>42002</v>
      </c>
      <c r="I809" s="34">
        <v>106.113</v>
      </c>
      <c r="J809" s="34">
        <v>57.88</v>
      </c>
    </row>
    <row r="810" spans="8:10" x14ac:dyDescent="0.25">
      <c r="H810" s="872">
        <v>41999</v>
      </c>
      <c r="I810" s="34">
        <v>106.4859</v>
      </c>
      <c r="J810" s="34">
        <v>59.45</v>
      </c>
    </row>
    <row r="811" spans="8:10" x14ac:dyDescent="0.25">
      <c r="H811" s="872">
        <v>41997</v>
      </c>
      <c r="I811" s="34">
        <v>106.1649</v>
      </c>
      <c r="J811" s="34">
        <v>60.24</v>
      </c>
    </row>
    <row r="812" spans="8:10" x14ac:dyDescent="0.25">
      <c r="H812" s="872">
        <v>41996</v>
      </c>
      <c r="I812" s="34">
        <v>107.5993</v>
      </c>
      <c r="J812" s="34">
        <v>61.69</v>
      </c>
    </row>
    <row r="813" spans="8:10" x14ac:dyDescent="0.25">
      <c r="H813" s="872">
        <v>41995</v>
      </c>
      <c r="I813" s="34">
        <v>107.0226</v>
      </c>
      <c r="J813" s="34">
        <v>60.11</v>
      </c>
    </row>
    <row r="814" spans="8:10" x14ac:dyDescent="0.25">
      <c r="H814" s="872">
        <v>41992</v>
      </c>
      <c r="I814" s="34">
        <v>108.66</v>
      </c>
      <c r="J814" s="34">
        <v>61.38</v>
      </c>
    </row>
    <row r="815" spans="8:10" x14ac:dyDescent="0.25">
      <c r="H815" s="872">
        <v>41991</v>
      </c>
      <c r="I815" s="34">
        <v>108.52419999999999</v>
      </c>
      <c r="J815" s="34">
        <v>59.27</v>
      </c>
    </row>
    <row r="816" spans="8:10" x14ac:dyDescent="0.25">
      <c r="H816" s="872">
        <v>41990</v>
      </c>
      <c r="I816" s="34">
        <v>108.8532</v>
      </c>
      <c r="J816" s="34">
        <v>61.18</v>
      </c>
    </row>
    <row r="817" spans="8:10" x14ac:dyDescent="0.25">
      <c r="H817" s="872">
        <v>41989</v>
      </c>
      <c r="I817" s="34">
        <v>108.2629</v>
      </c>
      <c r="J817" s="34">
        <v>59.86</v>
      </c>
    </row>
    <row r="818" spans="8:10" x14ac:dyDescent="0.25">
      <c r="H818" s="872">
        <v>41988</v>
      </c>
      <c r="I818" s="34">
        <v>109.7779</v>
      </c>
      <c r="J818" s="34">
        <v>61.06</v>
      </c>
    </row>
    <row r="819" spans="8:10" x14ac:dyDescent="0.25">
      <c r="H819" s="872">
        <v>41985</v>
      </c>
      <c r="I819" s="34">
        <v>110.7697</v>
      </c>
      <c r="J819" s="34">
        <v>61.85</v>
      </c>
    </row>
    <row r="820" spans="8:10" x14ac:dyDescent="0.25">
      <c r="H820" s="872">
        <v>41984</v>
      </c>
      <c r="I820" s="34">
        <v>110.68210000000001</v>
      </c>
      <c r="J820" s="34">
        <v>63.68</v>
      </c>
    </row>
    <row r="821" spans="8:10" x14ac:dyDescent="0.25">
      <c r="H821" s="872">
        <v>41983</v>
      </c>
      <c r="I821" s="34">
        <v>110.879</v>
      </c>
      <c r="J821" s="34">
        <v>64.239999999999995</v>
      </c>
    </row>
    <row r="822" spans="8:10" x14ac:dyDescent="0.25">
      <c r="H822" s="872">
        <v>41982</v>
      </c>
      <c r="I822" s="34">
        <v>111.9937</v>
      </c>
      <c r="J822" s="34">
        <v>66.84</v>
      </c>
    </row>
    <row r="823" spans="8:10" x14ac:dyDescent="0.25">
      <c r="H823" s="872">
        <v>41981</v>
      </c>
      <c r="I823" s="34">
        <v>110.6721</v>
      </c>
      <c r="J823" s="34">
        <v>66.19</v>
      </c>
    </row>
    <row r="824" spans="8:10" x14ac:dyDescent="0.25">
      <c r="H824" s="872">
        <v>41978</v>
      </c>
      <c r="I824" s="34">
        <v>112.20059999999999</v>
      </c>
      <c r="J824" s="34">
        <v>69.069999999999993</v>
      </c>
    </row>
    <row r="825" spans="8:10" x14ac:dyDescent="0.25">
      <c r="H825" s="872">
        <v>41977</v>
      </c>
      <c r="I825" s="34">
        <v>112.19970000000001</v>
      </c>
      <c r="J825" s="34">
        <v>69.64</v>
      </c>
    </row>
    <row r="826" spans="8:10" x14ac:dyDescent="0.25">
      <c r="H826" s="872">
        <v>41976</v>
      </c>
      <c r="I826" s="34">
        <v>112.16379999999999</v>
      </c>
      <c r="J826" s="34">
        <v>69.92</v>
      </c>
    </row>
    <row r="827" spans="8:10" x14ac:dyDescent="0.25">
      <c r="H827" s="872">
        <v>41975</v>
      </c>
      <c r="I827" s="34">
        <v>112.5138</v>
      </c>
      <c r="J827" s="34">
        <v>70.540000000000006</v>
      </c>
    </row>
    <row r="828" spans="8:10" x14ac:dyDescent="0.25">
      <c r="H828" s="872">
        <v>41974</v>
      </c>
      <c r="I828" s="34">
        <v>114.797</v>
      </c>
      <c r="J828" s="34">
        <v>72.540000000000006</v>
      </c>
    </row>
    <row r="829" spans="8:10" x14ac:dyDescent="0.25">
      <c r="H829" s="872">
        <v>41971</v>
      </c>
      <c r="I829" s="34">
        <v>112.9451</v>
      </c>
      <c r="J829" s="34">
        <v>70.150000000000006</v>
      </c>
    </row>
    <row r="830" spans="8:10" x14ac:dyDescent="0.25">
      <c r="H830" s="872">
        <v>41969</v>
      </c>
      <c r="I830" s="34">
        <v>117.4897</v>
      </c>
      <c r="J830" s="34">
        <v>77.75</v>
      </c>
    </row>
    <row r="831" spans="8:10" x14ac:dyDescent="0.25">
      <c r="H831" s="872">
        <v>41968</v>
      </c>
      <c r="I831" s="34">
        <v>117.69029999999999</v>
      </c>
      <c r="J831" s="34">
        <v>78.33</v>
      </c>
    </row>
    <row r="832" spans="8:10" x14ac:dyDescent="0.25">
      <c r="H832" s="872">
        <v>41967</v>
      </c>
      <c r="I832" s="34">
        <v>117.22450000000001</v>
      </c>
      <c r="J832" s="34">
        <v>79.680000000000007</v>
      </c>
    </row>
    <row r="833" spans="8:10" x14ac:dyDescent="0.25">
      <c r="H833" s="872">
        <v>41964</v>
      </c>
      <c r="I833" s="34">
        <v>118.1138</v>
      </c>
      <c r="J833" s="34">
        <v>80.36</v>
      </c>
    </row>
    <row r="834" spans="8:10" x14ac:dyDescent="0.25">
      <c r="H834" s="872">
        <v>41963</v>
      </c>
      <c r="I834" s="34">
        <v>117.916</v>
      </c>
      <c r="J834" s="34">
        <v>79.33</v>
      </c>
    </row>
    <row r="835" spans="8:10" x14ac:dyDescent="0.25">
      <c r="H835" s="872">
        <v>41962</v>
      </c>
      <c r="I835" s="34">
        <v>117.10250000000001</v>
      </c>
      <c r="J835" s="34">
        <v>78.099999999999994</v>
      </c>
    </row>
    <row r="836" spans="8:10" x14ac:dyDescent="0.25">
      <c r="H836" s="872">
        <v>41961</v>
      </c>
      <c r="I836" s="34">
        <v>116.7847</v>
      </c>
      <c r="J836" s="34">
        <v>78.47</v>
      </c>
    </row>
    <row r="837" spans="8:10" x14ac:dyDescent="0.25">
      <c r="H837" s="872">
        <v>41960</v>
      </c>
      <c r="I837" s="34">
        <v>117.47799999999999</v>
      </c>
      <c r="J837" s="34">
        <v>79.31</v>
      </c>
    </row>
    <row r="838" spans="8:10" x14ac:dyDescent="0.25">
      <c r="H838" s="872">
        <v>41957</v>
      </c>
      <c r="I838" s="34">
        <v>116.87820000000001</v>
      </c>
      <c r="J838" s="34">
        <v>79.41</v>
      </c>
    </row>
    <row r="839" spans="8:10" x14ac:dyDescent="0.25">
      <c r="H839" s="872">
        <v>41956</v>
      </c>
      <c r="I839" s="34">
        <v>115.9414</v>
      </c>
      <c r="J839" s="34">
        <v>77.92</v>
      </c>
    </row>
    <row r="840" spans="8:10" x14ac:dyDescent="0.25">
      <c r="H840" s="872">
        <v>41955</v>
      </c>
      <c r="I840" s="34">
        <v>117.32250000000001</v>
      </c>
      <c r="J840" s="34">
        <v>80.38</v>
      </c>
    </row>
    <row r="841" spans="8:10" x14ac:dyDescent="0.25">
      <c r="H841" s="872">
        <v>41954</v>
      </c>
      <c r="I841" s="34">
        <v>117.5562</v>
      </c>
      <c r="J841" s="34">
        <v>81.67</v>
      </c>
    </row>
    <row r="842" spans="8:10" x14ac:dyDescent="0.25">
      <c r="H842" s="872">
        <v>41953</v>
      </c>
      <c r="I842" s="34">
        <v>116.5363</v>
      </c>
      <c r="J842" s="34">
        <v>82.34</v>
      </c>
    </row>
    <row r="843" spans="8:10" x14ac:dyDescent="0.25">
      <c r="H843" s="872">
        <v>41950</v>
      </c>
      <c r="I843" s="34">
        <v>117.67610000000001</v>
      </c>
      <c r="J843" s="34">
        <v>83.39</v>
      </c>
    </row>
    <row r="844" spans="8:10" x14ac:dyDescent="0.25">
      <c r="H844" s="872">
        <v>41949</v>
      </c>
      <c r="I844" s="34">
        <v>116.99379999999999</v>
      </c>
      <c r="J844" s="34">
        <v>82.86</v>
      </c>
    </row>
    <row r="845" spans="8:10" x14ac:dyDescent="0.25">
      <c r="H845" s="872">
        <v>41948</v>
      </c>
      <c r="I845" s="34">
        <v>116.3039</v>
      </c>
      <c r="J845" s="34">
        <v>82.95</v>
      </c>
    </row>
    <row r="846" spans="8:10" x14ac:dyDescent="0.25">
      <c r="H846" s="872">
        <v>41947</v>
      </c>
      <c r="I846" s="34">
        <v>116.48090000000001</v>
      </c>
      <c r="J846" s="34">
        <v>82.82</v>
      </c>
    </row>
    <row r="847" spans="8:10" x14ac:dyDescent="0.25">
      <c r="H847" s="872">
        <v>41946</v>
      </c>
      <c r="I847" s="34">
        <v>117.7226</v>
      </c>
      <c r="J847" s="34">
        <v>84.78</v>
      </c>
    </row>
    <row r="848" spans="8:10" x14ac:dyDescent="0.25">
      <c r="H848" s="872">
        <v>41943</v>
      </c>
      <c r="I848" s="34">
        <v>117.73650000000001</v>
      </c>
      <c r="J848" s="34">
        <v>85.86</v>
      </c>
    </row>
    <row r="849" spans="8:10" x14ac:dyDescent="0.25">
      <c r="H849" s="872">
        <v>41942</v>
      </c>
      <c r="I849" s="34">
        <v>117.9486</v>
      </c>
      <c r="J849" s="34">
        <v>86.24</v>
      </c>
    </row>
    <row r="850" spans="8:10" x14ac:dyDescent="0.25">
      <c r="H850" s="872">
        <v>41941</v>
      </c>
      <c r="I850" s="34">
        <v>119.0795</v>
      </c>
      <c r="J850" s="34">
        <v>87.12</v>
      </c>
    </row>
    <row r="851" spans="8:10" x14ac:dyDescent="0.25">
      <c r="H851" s="872">
        <v>41940</v>
      </c>
      <c r="I851" s="34">
        <v>117.7636</v>
      </c>
      <c r="J851" s="34">
        <v>86.03</v>
      </c>
    </row>
    <row r="852" spans="8:10" x14ac:dyDescent="0.25">
      <c r="H852" s="872">
        <v>41939</v>
      </c>
      <c r="I852" s="34">
        <v>116.8334</v>
      </c>
      <c r="J852" s="34">
        <v>85.83</v>
      </c>
    </row>
    <row r="853" spans="8:10" x14ac:dyDescent="0.25">
      <c r="H853" s="872">
        <v>41936</v>
      </c>
      <c r="I853" s="34">
        <v>116.5802</v>
      </c>
      <c r="J853" s="34">
        <v>86.13</v>
      </c>
    </row>
    <row r="854" spans="8:10" x14ac:dyDescent="0.25">
      <c r="H854" s="872">
        <v>41935</v>
      </c>
      <c r="I854" s="34">
        <v>117.24039999999999</v>
      </c>
      <c r="J854" s="34">
        <v>86.83</v>
      </c>
    </row>
    <row r="855" spans="8:10" x14ac:dyDescent="0.25">
      <c r="H855" s="872">
        <v>41934</v>
      </c>
      <c r="I855" s="34">
        <v>116.65349999999999</v>
      </c>
      <c r="J855" s="34">
        <v>84.71</v>
      </c>
    </row>
    <row r="856" spans="8:10" x14ac:dyDescent="0.25">
      <c r="H856" s="872">
        <v>41933</v>
      </c>
      <c r="I856" s="34">
        <v>117.46810000000001</v>
      </c>
      <c r="J856" s="34">
        <v>86.22</v>
      </c>
    </row>
    <row r="857" spans="8:10" x14ac:dyDescent="0.25">
      <c r="H857" s="872">
        <v>41932</v>
      </c>
      <c r="I857" s="34">
        <v>116.60590000000001</v>
      </c>
      <c r="J857" s="34">
        <v>85.4</v>
      </c>
    </row>
    <row r="858" spans="8:10" x14ac:dyDescent="0.25">
      <c r="H858" s="872">
        <v>41929</v>
      </c>
      <c r="I858" s="34">
        <v>117.4452</v>
      </c>
      <c r="J858" s="34">
        <v>86.16</v>
      </c>
    </row>
    <row r="859" spans="8:10" x14ac:dyDescent="0.25">
      <c r="H859" s="872">
        <v>41928</v>
      </c>
      <c r="I859" s="34">
        <v>117.54649999999999</v>
      </c>
      <c r="J859" s="34">
        <v>84.47</v>
      </c>
    </row>
    <row r="860" spans="8:10" x14ac:dyDescent="0.25">
      <c r="H860" s="872">
        <v>41927</v>
      </c>
      <c r="I860" s="34">
        <v>116.9992</v>
      </c>
      <c r="J860" s="34">
        <v>83.78</v>
      </c>
    </row>
    <row r="861" spans="8:10" x14ac:dyDescent="0.25">
      <c r="H861" s="872">
        <v>41926</v>
      </c>
      <c r="I861" s="34">
        <v>118.40479999999999</v>
      </c>
      <c r="J861" s="34">
        <v>85.04</v>
      </c>
    </row>
    <row r="862" spans="8:10" x14ac:dyDescent="0.25">
      <c r="H862" s="872">
        <v>41925</v>
      </c>
      <c r="I862" s="34">
        <v>119.0406</v>
      </c>
      <c r="J862" s="34">
        <v>88.89</v>
      </c>
    </row>
    <row r="863" spans="8:10" x14ac:dyDescent="0.25">
      <c r="H863" s="872">
        <v>41922</v>
      </c>
      <c r="I863" s="34">
        <v>118.2045</v>
      </c>
      <c r="J863" s="34">
        <v>90.21</v>
      </c>
    </row>
    <row r="864" spans="8:10" x14ac:dyDescent="0.25">
      <c r="H864" s="872">
        <v>41921</v>
      </c>
      <c r="I864" s="34">
        <v>118.8325</v>
      </c>
      <c r="J864" s="34">
        <v>90.05</v>
      </c>
    </row>
    <row r="865" spans="8:10" x14ac:dyDescent="0.25">
      <c r="H865" s="872">
        <v>41920</v>
      </c>
      <c r="I865" s="34">
        <v>118.8028</v>
      </c>
      <c r="J865" s="34">
        <v>91.38</v>
      </c>
    </row>
    <row r="866" spans="8:10" x14ac:dyDescent="0.25">
      <c r="H866" s="872">
        <v>41919</v>
      </c>
      <c r="I866" s="34">
        <v>119.8569</v>
      </c>
      <c r="J866" s="34">
        <v>92.11</v>
      </c>
    </row>
    <row r="867" spans="8:10" x14ac:dyDescent="0.25">
      <c r="H867" s="872">
        <v>41918</v>
      </c>
      <c r="I867" s="34">
        <v>119.5825</v>
      </c>
      <c r="J867" s="34">
        <v>92.79</v>
      </c>
    </row>
    <row r="868" spans="8:10" x14ac:dyDescent="0.25">
      <c r="H868" s="872">
        <v>41915</v>
      </c>
      <c r="I868" s="34">
        <v>118.01819999999999</v>
      </c>
      <c r="J868" s="34">
        <v>92.31</v>
      </c>
    </row>
    <row r="869" spans="8:10" x14ac:dyDescent="0.25">
      <c r="H869" s="872">
        <v>41914</v>
      </c>
      <c r="I869" s="34">
        <v>118.21729999999999</v>
      </c>
      <c r="J869" s="34">
        <v>93.42</v>
      </c>
    </row>
    <row r="870" spans="8:10" x14ac:dyDescent="0.25">
      <c r="H870" s="872">
        <v>41913</v>
      </c>
      <c r="I870" s="34">
        <v>118.5566</v>
      </c>
      <c r="J870" s="34">
        <v>94.16</v>
      </c>
    </row>
    <row r="871" spans="8:10" x14ac:dyDescent="0.25">
      <c r="H871" s="872">
        <v>41912</v>
      </c>
      <c r="I871" s="34">
        <v>118.6922</v>
      </c>
      <c r="J871" s="34">
        <v>94.67</v>
      </c>
    </row>
    <row r="872" spans="8:10" x14ac:dyDescent="0.25">
      <c r="H872" s="872">
        <v>41911</v>
      </c>
      <c r="I872" s="34">
        <v>120.42449999999999</v>
      </c>
      <c r="J872" s="34">
        <v>97.2</v>
      </c>
    </row>
    <row r="873" spans="8:10" x14ac:dyDescent="0.25">
      <c r="H873" s="872">
        <v>41908</v>
      </c>
      <c r="I873" s="34">
        <v>119.18470000000001</v>
      </c>
      <c r="J873" s="34">
        <v>97</v>
      </c>
    </row>
    <row r="874" spans="8:10" x14ac:dyDescent="0.25">
      <c r="H874" s="872">
        <v>41907</v>
      </c>
      <c r="I874" s="34">
        <v>119.08280000000001</v>
      </c>
      <c r="J874" s="34">
        <v>97</v>
      </c>
    </row>
    <row r="875" spans="8:10" x14ac:dyDescent="0.25">
      <c r="H875" s="34">
        <v>41906</v>
      </c>
      <c r="I875" s="34">
        <v>119.53060000000001</v>
      </c>
      <c r="J875" s="34">
        <v>96.95</v>
      </c>
    </row>
    <row r="876" spans="8:10" x14ac:dyDescent="0.25">
      <c r="H876" s="34">
        <v>41905</v>
      </c>
      <c r="I876" s="34">
        <v>118.6006</v>
      </c>
      <c r="J876" s="34">
        <v>96.85</v>
      </c>
    </row>
    <row r="877" spans="8:10" x14ac:dyDescent="0.25">
      <c r="H877" s="34">
        <v>41904</v>
      </c>
      <c r="I877" s="34">
        <v>118.62520000000001</v>
      </c>
      <c r="J877" s="34">
        <v>96.97</v>
      </c>
    </row>
    <row r="878" spans="8:10" x14ac:dyDescent="0.25">
      <c r="H878" s="34">
        <v>41901</v>
      </c>
      <c r="I878" s="34">
        <v>119.485</v>
      </c>
      <c r="J878" s="34">
        <v>98.39</v>
      </c>
    </row>
    <row r="879" spans="8:10" x14ac:dyDescent="0.25">
      <c r="H879" s="34">
        <v>41900</v>
      </c>
      <c r="I879" s="34">
        <v>120.4843</v>
      </c>
      <c r="J879" s="34">
        <v>97.7</v>
      </c>
    </row>
    <row r="880" spans="8:10" x14ac:dyDescent="0.25">
      <c r="H880" s="34">
        <v>41899</v>
      </c>
      <c r="I880" s="34">
        <v>122.0424</v>
      </c>
      <c r="J880" s="34">
        <v>98.97</v>
      </c>
    </row>
    <row r="881" spans="8:10" x14ac:dyDescent="0.25">
      <c r="H881" s="34">
        <v>41898</v>
      </c>
      <c r="I881" s="34">
        <v>122.2611</v>
      </c>
      <c r="J881" s="34">
        <v>99.05</v>
      </c>
    </row>
    <row r="882" spans="8:10" x14ac:dyDescent="0.25">
      <c r="H882" s="34">
        <v>41897</v>
      </c>
      <c r="I882" s="34">
        <v>121.3571</v>
      </c>
      <c r="J882" s="34">
        <v>96.65</v>
      </c>
    </row>
    <row r="883" spans="8:10" x14ac:dyDescent="0.25">
      <c r="H883" s="34">
        <v>41894</v>
      </c>
      <c r="I883" s="34">
        <v>121.2991</v>
      </c>
      <c r="J883" s="34">
        <v>97.11</v>
      </c>
    </row>
    <row r="884" spans="8:10" x14ac:dyDescent="0.25">
      <c r="H884" s="34">
        <v>41893</v>
      </c>
      <c r="I884" s="34">
        <v>121.6292</v>
      </c>
      <c r="J884" s="34">
        <v>98.08</v>
      </c>
    </row>
    <row r="885" spans="8:10" x14ac:dyDescent="0.25">
      <c r="H885" s="34">
        <v>41892</v>
      </c>
      <c r="I885" s="34">
        <v>122.6383</v>
      </c>
      <c r="J885" s="34">
        <v>98.04</v>
      </c>
    </row>
    <row r="886" spans="8:10" x14ac:dyDescent="0.25">
      <c r="H886" s="34">
        <v>41891</v>
      </c>
      <c r="I886" s="34">
        <v>123.4755</v>
      </c>
      <c r="J886" s="34">
        <v>99.16</v>
      </c>
    </row>
    <row r="887" spans="8:10" x14ac:dyDescent="0.25">
      <c r="H887" s="34">
        <v>41890</v>
      </c>
      <c r="I887" s="34">
        <v>124.2431</v>
      </c>
      <c r="J887" s="34">
        <v>100.2</v>
      </c>
    </row>
    <row r="888" spans="8:10" x14ac:dyDescent="0.25">
      <c r="H888" s="34">
        <v>41887</v>
      </c>
      <c r="I888" s="34">
        <v>124.8522</v>
      </c>
      <c r="J888" s="34">
        <v>100.82</v>
      </c>
    </row>
    <row r="889" spans="8:10" x14ac:dyDescent="0.25">
      <c r="H889" s="34">
        <v>41886</v>
      </c>
      <c r="I889" s="34">
        <v>124.6729</v>
      </c>
      <c r="J889" s="34">
        <v>101.83</v>
      </c>
    </row>
    <row r="890" spans="8:10" x14ac:dyDescent="0.25">
      <c r="H890" s="34">
        <v>41885</v>
      </c>
      <c r="I890" s="34">
        <v>125.1742</v>
      </c>
      <c r="J890" s="34">
        <v>102.77</v>
      </c>
    </row>
    <row r="891" spans="8:10" x14ac:dyDescent="0.25">
      <c r="H891" s="34">
        <v>41884</v>
      </c>
      <c r="I891" s="34">
        <v>125.3004</v>
      </c>
      <c r="J891" s="34">
        <v>100.34</v>
      </c>
    </row>
    <row r="892" spans="8:10" x14ac:dyDescent="0.25">
      <c r="H892" s="34">
        <v>41880</v>
      </c>
      <c r="I892" s="34">
        <v>126.5745</v>
      </c>
      <c r="J892" s="34">
        <v>103.19</v>
      </c>
    </row>
    <row r="893" spans="8:10" x14ac:dyDescent="0.25">
      <c r="H893" s="34">
        <v>41879</v>
      </c>
      <c r="I893" s="34">
        <v>126.3261</v>
      </c>
      <c r="J893" s="34">
        <v>102.46</v>
      </c>
    </row>
    <row r="894" spans="8:10" x14ac:dyDescent="0.25">
      <c r="H894" s="34">
        <v>41878</v>
      </c>
      <c r="I894" s="34">
        <v>126.0103</v>
      </c>
      <c r="J894" s="34">
        <v>102.72</v>
      </c>
    </row>
    <row r="895" spans="8:10" x14ac:dyDescent="0.25">
      <c r="H895" s="34">
        <v>41877</v>
      </c>
      <c r="I895" s="34">
        <v>125.8897</v>
      </c>
      <c r="J895" s="34">
        <v>102.5</v>
      </c>
    </row>
    <row r="896" spans="8:10" x14ac:dyDescent="0.25">
      <c r="H896" s="34">
        <v>41876</v>
      </c>
      <c r="I896" s="34">
        <v>125.4041</v>
      </c>
      <c r="J896" s="34">
        <v>102.65</v>
      </c>
    </row>
    <row r="897" spans="8:10" x14ac:dyDescent="0.25">
      <c r="H897" s="34">
        <v>41873</v>
      </c>
      <c r="I897" s="34">
        <v>125.4217</v>
      </c>
      <c r="J897" s="34">
        <v>102.29</v>
      </c>
    </row>
    <row r="898" spans="8:10" x14ac:dyDescent="0.25">
      <c r="H898" s="34">
        <v>41872</v>
      </c>
      <c r="I898" s="34">
        <v>125.4898</v>
      </c>
      <c r="J898" s="34">
        <v>102.63</v>
      </c>
    </row>
    <row r="899" spans="8:10" x14ac:dyDescent="0.25">
      <c r="H899" s="34">
        <v>41871</v>
      </c>
      <c r="I899" s="34">
        <v>125.2677</v>
      </c>
      <c r="J899" s="34">
        <v>102.28</v>
      </c>
    </row>
    <row r="900" spans="8:10" x14ac:dyDescent="0.25">
      <c r="H900" s="34">
        <v>41870</v>
      </c>
      <c r="I900" s="34">
        <v>124.9821</v>
      </c>
      <c r="J900" s="34">
        <v>101.56</v>
      </c>
    </row>
    <row r="901" spans="8:10" x14ac:dyDescent="0.25">
      <c r="H901" s="34">
        <v>41869</v>
      </c>
      <c r="I901" s="34">
        <v>125.134</v>
      </c>
      <c r="J901" s="34">
        <v>101.6</v>
      </c>
    </row>
    <row r="902" spans="8:10" x14ac:dyDescent="0.25">
      <c r="H902" s="34">
        <v>41866</v>
      </c>
      <c r="I902" s="34">
        <v>125.7131</v>
      </c>
      <c r="J902" s="34">
        <v>103.53</v>
      </c>
    </row>
    <row r="903" spans="8:10" x14ac:dyDescent="0.25">
      <c r="H903" s="34">
        <v>41865</v>
      </c>
      <c r="I903" s="34">
        <v>125.6506</v>
      </c>
      <c r="J903" s="34">
        <v>102.01</v>
      </c>
    </row>
    <row r="904" spans="8:10" x14ac:dyDescent="0.25">
      <c r="H904" s="34">
        <v>41864</v>
      </c>
      <c r="I904" s="34">
        <v>126.2692</v>
      </c>
      <c r="J904" s="34">
        <v>104.28</v>
      </c>
    </row>
    <row r="905" spans="8:10" x14ac:dyDescent="0.25">
      <c r="H905" s="34">
        <v>41863</v>
      </c>
      <c r="I905" s="34">
        <v>126.8747</v>
      </c>
      <c r="J905" s="34">
        <v>103.02</v>
      </c>
    </row>
    <row r="906" spans="8:10" x14ac:dyDescent="0.25">
      <c r="H906" s="34">
        <v>41862</v>
      </c>
      <c r="I906" s="34">
        <v>127.6818</v>
      </c>
      <c r="J906" s="34">
        <v>104.68</v>
      </c>
    </row>
    <row r="907" spans="8:10" x14ac:dyDescent="0.25">
      <c r="H907" s="34">
        <v>41859</v>
      </c>
      <c r="I907" s="34">
        <v>127.3322</v>
      </c>
      <c r="J907" s="34">
        <v>105.02</v>
      </c>
    </row>
    <row r="908" spans="8:10" x14ac:dyDescent="0.25">
      <c r="H908" s="34">
        <v>41858</v>
      </c>
      <c r="I908" s="34">
        <v>127.7319</v>
      </c>
      <c r="J908" s="34">
        <v>105.44</v>
      </c>
    </row>
    <row r="909" spans="8:10" x14ac:dyDescent="0.25">
      <c r="H909" s="34">
        <v>41857</v>
      </c>
      <c r="I909" s="34">
        <v>128.21549999999999</v>
      </c>
      <c r="J909" s="34">
        <v>104.59</v>
      </c>
    </row>
    <row r="910" spans="8:10" x14ac:dyDescent="0.25">
      <c r="H910" s="34">
        <v>41856</v>
      </c>
      <c r="I910" s="34">
        <v>127.2269</v>
      </c>
      <c r="J910" s="34">
        <v>104.61</v>
      </c>
    </row>
    <row r="911" spans="8:10" x14ac:dyDescent="0.25">
      <c r="H911" s="34">
        <v>41855</v>
      </c>
      <c r="I911" s="34">
        <v>127.9139</v>
      </c>
      <c r="J911" s="34">
        <v>105.41</v>
      </c>
    </row>
    <row r="912" spans="8:10" x14ac:dyDescent="0.25">
      <c r="H912" s="34">
        <v>41852</v>
      </c>
      <c r="I912" s="34">
        <v>127.089</v>
      </c>
      <c r="J912" s="34">
        <v>104.84</v>
      </c>
    </row>
    <row r="913" spans="8:10" x14ac:dyDescent="0.25">
      <c r="H913" s="34">
        <v>41851</v>
      </c>
      <c r="I913" s="34">
        <v>127.9143</v>
      </c>
      <c r="J913" s="34">
        <v>106.02</v>
      </c>
    </row>
    <row r="914" spans="8:10" x14ac:dyDescent="0.25">
      <c r="H914" s="34">
        <v>41850</v>
      </c>
      <c r="I914" s="34">
        <v>128.45240000000001</v>
      </c>
      <c r="J914" s="34">
        <v>106.51</v>
      </c>
    </row>
    <row r="915" spans="8:10" x14ac:dyDescent="0.25">
      <c r="H915" s="34">
        <v>41849</v>
      </c>
      <c r="I915" s="34">
        <v>128.62989999999999</v>
      </c>
      <c r="J915" s="34">
        <v>107.72</v>
      </c>
    </row>
    <row r="916" spans="8:10" x14ac:dyDescent="0.25">
      <c r="H916" s="34">
        <v>41848</v>
      </c>
      <c r="I916" s="34">
        <v>129.33860000000001</v>
      </c>
      <c r="J916" s="34">
        <v>107.57</v>
      </c>
    </row>
    <row r="917" spans="8:10" x14ac:dyDescent="0.25">
      <c r="H917" s="34">
        <v>41845</v>
      </c>
      <c r="I917" s="34">
        <v>129.30449999999999</v>
      </c>
      <c r="J917" s="34">
        <v>108.39</v>
      </c>
    </row>
    <row r="918" spans="8:10" x14ac:dyDescent="0.25">
      <c r="H918" s="34">
        <v>41844</v>
      </c>
      <c r="I918" s="34">
        <v>129.04939999999999</v>
      </c>
      <c r="J918" s="34">
        <v>107.07</v>
      </c>
    </row>
    <row r="919" spans="8:10" x14ac:dyDescent="0.25">
      <c r="H919" s="34">
        <v>41843</v>
      </c>
      <c r="I919" s="34">
        <v>129.1567</v>
      </c>
      <c r="J919" s="34">
        <v>108.03</v>
      </c>
    </row>
    <row r="920" spans="8:10" x14ac:dyDescent="0.25">
      <c r="H920" s="34">
        <v>41842</v>
      </c>
      <c r="I920" s="34">
        <v>128.80950000000001</v>
      </c>
      <c r="J920" s="34">
        <v>107.33</v>
      </c>
    </row>
    <row r="921" spans="8:10" x14ac:dyDescent="0.25">
      <c r="H921" s="34">
        <v>41841</v>
      </c>
      <c r="I921" s="34">
        <v>129.37209999999999</v>
      </c>
      <c r="J921" s="34">
        <v>107.68</v>
      </c>
    </row>
    <row r="922" spans="8:10" x14ac:dyDescent="0.25">
      <c r="H922" s="34">
        <v>41838</v>
      </c>
      <c r="I922" s="34">
        <v>129.29159999999999</v>
      </c>
      <c r="J922" s="34">
        <v>107.24</v>
      </c>
    </row>
    <row r="923" spans="8:10" x14ac:dyDescent="0.25">
      <c r="H923" s="34">
        <v>41837</v>
      </c>
      <c r="I923" s="34">
        <v>129.982</v>
      </c>
      <c r="J923" s="34">
        <v>107.89</v>
      </c>
    </row>
    <row r="924" spans="8:10" x14ac:dyDescent="0.25">
      <c r="H924" s="34">
        <v>41836</v>
      </c>
      <c r="I924" s="34">
        <v>129.77099999999999</v>
      </c>
      <c r="J924" s="34">
        <v>105.85</v>
      </c>
    </row>
    <row r="925" spans="8:10" x14ac:dyDescent="0.25">
      <c r="H925" s="34">
        <v>41835</v>
      </c>
      <c r="I925" s="34">
        <v>129.48089999999999</v>
      </c>
      <c r="J925" s="34">
        <v>106.02</v>
      </c>
    </row>
    <row r="926" spans="8:10" x14ac:dyDescent="0.25">
      <c r="H926" s="34">
        <v>41834</v>
      </c>
      <c r="I926" s="34">
        <v>130.167</v>
      </c>
      <c r="J926" s="34">
        <v>106.98</v>
      </c>
    </row>
    <row r="927" spans="8:10" x14ac:dyDescent="0.25">
      <c r="H927" s="34">
        <v>41831</v>
      </c>
      <c r="I927" s="34">
        <v>130.18819999999999</v>
      </c>
      <c r="J927" s="34">
        <v>106.66</v>
      </c>
    </row>
    <row r="928" spans="8:10" x14ac:dyDescent="0.25">
      <c r="H928" s="34">
        <v>41830</v>
      </c>
      <c r="I928" s="34">
        <v>131.1412</v>
      </c>
      <c r="J928" s="34">
        <v>108.67</v>
      </c>
    </row>
    <row r="929" spans="8:10" x14ac:dyDescent="0.25">
      <c r="H929" s="34">
        <v>41829</v>
      </c>
      <c r="I929" s="34">
        <v>131.5479</v>
      </c>
      <c r="J929" s="34">
        <v>108.28</v>
      </c>
    </row>
    <row r="930" spans="8:10" x14ac:dyDescent="0.25">
      <c r="H930" s="34">
        <v>41828</v>
      </c>
      <c r="I930" s="34">
        <v>132.3622</v>
      </c>
      <c r="J930" s="34">
        <v>108.94</v>
      </c>
    </row>
    <row r="931" spans="8:10" x14ac:dyDescent="0.25">
      <c r="H931" s="34">
        <v>41827</v>
      </c>
      <c r="I931" s="34">
        <v>132.66</v>
      </c>
      <c r="J931" s="34">
        <v>110.24</v>
      </c>
    </row>
    <row r="932" spans="8:10" x14ac:dyDescent="0.25">
      <c r="H932" s="34">
        <v>41823</v>
      </c>
      <c r="I932" s="34">
        <v>134.2159</v>
      </c>
      <c r="J932" s="34">
        <v>111</v>
      </c>
    </row>
    <row r="933" spans="8:10" x14ac:dyDescent="0.25">
      <c r="H933" s="34">
        <v>41822</v>
      </c>
      <c r="I933" s="34">
        <v>134.28749999999999</v>
      </c>
      <c r="J933" s="34">
        <v>111.24</v>
      </c>
    </row>
    <row r="934" spans="8:10" x14ac:dyDescent="0.25">
      <c r="H934" s="34">
        <v>41821</v>
      </c>
      <c r="I934" s="34">
        <v>134.23220000000001</v>
      </c>
      <c r="J934" s="34">
        <v>112.29</v>
      </c>
    </row>
    <row r="935" spans="8:10" x14ac:dyDescent="0.25">
      <c r="H935" s="34">
        <v>41820</v>
      </c>
      <c r="I935" s="34">
        <v>134.6268</v>
      </c>
      <c r="J935" s="34">
        <v>112.36</v>
      </c>
    </row>
    <row r="936" spans="8:10" x14ac:dyDescent="0.25">
      <c r="H936" s="34">
        <v>41817</v>
      </c>
      <c r="I936" s="34">
        <v>135.88669999999999</v>
      </c>
      <c r="J936" s="34">
        <v>113.3</v>
      </c>
    </row>
    <row r="937" spans="8:10" x14ac:dyDescent="0.25">
      <c r="H937" s="34">
        <v>41816</v>
      </c>
      <c r="I937" s="34">
        <v>136.3613</v>
      </c>
      <c r="J937" s="34">
        <v>113.21</v>
      </c>
    </row>
    <row r="938" spans="8:10" x14ac:dyDescent="0.25">
      <c r="H938" s="34">
        <v>41815</v>
      </c>
      <c r="I938" s="34">
        <v>136.6259</v>
      </c>
      <c r="J938" s="34">
        <v>114</v>
      </c>
    </row>
    <row r="939" spans="8:10" x14ac:dyDescent="0.25">
      <c r="H939" s="34">
        <v>41814</v>
      </c>
      <c r="I939" s="34">
        <v>136.33930000000001</v>
      </c>
      <c r="J939" s="34">
        <v>114.46</v>
      </c>
    </row>
    <row r="940" spans="8:10" x14ac:dyDescent="0.25">
      <c r="H940" s="34">
        <v>41813</v>
      </c>
      <c r="I940" s="34">
        <v>136.15129999999999</v>
      </c>
      <c r="J940" s="34">
        <v>114.12</v>
      </c>
    </row>
    <row r="941" spans="8:10" x14ac:dyDescent="0.25">
      <c r="H941" s="34">
        <v>41810</v>
      </c>
      <c r="I941" s="34">
        <v>136.55459999999999</v>
      </c>
      <c r="J941" s="34">
        <v>114.81</v>
      </c>
    </row>
    <row r="942" spans="8:10" x14ac:dyDescent="0.25">
      <c r="H942" s="34">
        <v>41809</v>
      </c>
      <c r="I942" s="34">
        <v>136.268</v>
      </c>
      <c r="J942" s="34">
        <v>115.06</v>
      </c>
    </row>
    <row r="943" spans="8:10" x14ac:dyDescent="0.25">
      <c r="H943" s="34">
        <v>41808</v>
      </c>
      <c r="I943" s="34">
        <v>134.8681</v>
      </c>
      <c r="J943" s="34">
        <v>114.26</v>
      </c>
    </row>
    <row r="944" spans="8:10" x14ac:dyDescent="0.25">
      <c r="H944" s="34">
        <v>41807</v>
      </c>
      <c r="I944" s="34">
        <v>134.6609</v>
      </c>
      <c r="J944" s="34">
        <v>113.45</v>
      </c>
    </row>
    <row r="945" spans="8:10" x14ac:dyDescent="0.25">
      <c r="H945" s="34">
        <v>41806</v>
      </c>
      <c r="I945" s="34">
        <v>134.71019999999999</v>
      </c>
      <c r="J945" s="34">
        <v>112.94</v>
      </c>
    </row>
    <row r="946" spans="8:10" x14ac:dyDescent="0.25">
      <c r="H946" s="34">
        <v>41803</v>
      </c>
      <c r="I946" s="34">
        <v>134.77279999999999</v>
      </c>
      <c r="J946" s="34">
        <v>113.41</v>
      </c>
    </row>
    <row r="947" spans="8:10" x14ac:dyDescent="0.25">
      <c r="H947" s="34">
        <v>41802</v>
      </c>
      <c r="I947" s="34">
        <v>134.27680000000001</v>
      </c>
      <c r="J947" s="34">
        <v>113.02</v>
      </c>
    </row>
    <row r="948" spans="8:10" x14ac:dyDescent="0.25">
      <c r="H948" s="34">
        <v>41801</v>
      </c>
      <c r="I948" s="34">
        <v>132.83750000000001</v>
      </c>
      <c r="J948" s="34">
        <v>109.95</v>
      </c>
    </row>
    <row r="949" spans="8:10" x14ac:dyDescent="0.25">
      <c r="H949" s="34">
        <v>41800</v>
      </c>
      <c r="I949" s="34">
        <v>133.2885</v>
      </c>
      <c r="J949" s="34">
        <v>109.52</v>
      </c>
    </row>
    <row r="950" spans="8:10" x14ac:dyDescent="0.25">
      <c r="H950" s="34">
        <v>41799</v>
      </c>
      <c r="I950" s="34">
        <v>133.797</v>
      </c>
      <c r="J950" s="34">
        <v>109.99</v>
      </c>
    </row>
    <row r="951" spans="8:10" x14ac:dyDescent="0.25">
      <c r="H951" s="34">
        <v>41796</v>
      </c>
      <c r="I951" s="34">
        <v>133.7139</v>
      </c>
      <c r="J951" s="34">
        <v>108.61</v>
      </c>
    </row>
    <row r="952" spans="8:10" x14ac:dyDescent="0.25">
      <c r="H952" s="34">
        <v>41795</v>
      </c>
      <c r="I952" s="34">
        <v>133.28649999999999</v>
      </c>
      <c r="J952" s="34">
        <v>108.79</v>
      </c>
    </row>
    <row r="953" spans="8:10" x14ac:dyDescent="0.25">
      <c r="H953" s="34">
        <v>41794</v>
      </c>
      <c r="I953" s="34">
        <v>133.2861</v>
      </c>
      <c r="J953" s="34">
        <v>108.4</v>
      </c>
    </row>
    <row r="954" spans="8:10" x14ac:dyDescent="0.25">
      <c r="H954" s="34">
        <v>41793</v>
      </c>
      <c r="I954" s="34">
        <v>133.58789999999999</v>
      </c>
      <c r="J954" s="34">
        <v>108.82</v>
      </c>
    </row>
    <row r="955" spans="8:10" x14ac:dyDescent="0.25">
      <c r="H955" s="34">
        <v>41792</v>
      </c>
      <c r="I955" s="34">
        <v>133.9812</v>
      </c>
      <c r="J955" s="34">
        <v>108.83</v>
      </c>
    </row>
    <row r="956" spans="8:10" x14ac:dyDescent="0.25">
      <c r="H956" s="34">
        <v>41789</v>
      </c>
      <c r="I956" s="34">
        <v>133.83240000000001</v>
      </c>
      <c r="J956" s="34">
        <v>109.41</v>
      </c>
    </row>
    <row r="957" spans="8:10" x14ac:dyDescent="0.25">
      <c r="H957" s="34">
        <v>41788</v>
      </c>
      <c r="I957" s="34">
        <v>134.74090000000001</v>
      </c>
      <c r="J957" s="34">
        <v>109.97</v>
      </c>
    </row>
    <row r="958" spans="8:10" x14ac:dyDescent="0.25">
      <c r="H958" s="34">
        <v>41787</v>
      </c>
      <c r="I958" s="34">
        <v>134.79490000000001</v>
      </c>
      <c r="J958" s="34">
        <v>109.81</v>
      </c>
    </row>
    <row r="959" spans="8:10" x14ac:dyDescent="0.25">
      <c r="H959" s="34">
        <v>41786</v>
      </c>
      <c r="I959" s="34">
        <v>134.7938</v>
      </c>
      <c r="J959" s="34">
        <v>110.02</v>
      </c>
    </row>
    <row r="960" spans="8:10" x14ac:dyDescent="0.25">
      <c r="H960" s="34">
        <v>41782</v>
      </c>
      <c r="I960" s="34">
        <v>135.71299999999999</v>
      </c>
      <c r="J960" s="34">
        <v>110.54</v>
      </c>
    </row>
    <row r="961" spans="8:10" x14ac:dyDescent="0.25">
      <c r="H961" s="34">
        <v>41781</v>
      </c>
      <c r="I961" s="34">
        <v>135.60120000000001</v>
      </c>
      <c r="J961" s="34">
        <v>110.36</v>
      </c>
    </row>
    <row r="962" spans="8:10" x14ac:dyDescent="0.25">
      <c r="H962" s="34">
        <v>41780</v>
      </c>
      <c r="I962" s="34">
        <v>135.6405</v>
      </c>
      <c r="J962" s="34">
        <v>110.55</v>
      </c>
    </row>
    <row r="963" spans="8:10" x14ac:dyDescent="0.25">
      <c r="H963" s="34">
        <v>41779</v>
      </c>
      <c r="I963" s="34">
        <v>135.60079999999999</v>
      </c>
      <c r="J963" s="34">
        <v>109.69</v>
      </c>
    </row>
    <row r="964" spans="8:10" x14ac:dyDescent="0.25">
      <c r="H964" s="34">
        <v>41778</v>
      </c>
      <c r="I964" s="34">
        <v>135.7201</v>
      </c>
      <c r="J964" s="34">
        <v>109.37</v>
      </c>
    </row>
    <row r="965" spans="8:10" x14ac:dyDescent="0.25">
      <c r="H965" s="34">
        <v>41775</v>
      </c>
      <c r="I965" s="34">
        <v>135.23480000000001</v>
      </c>
      <c r="J965" s="34">
        <v>109.75</v>
      </c>
    </row>
    <row r="966" spans="8:10" x14ac:dyDescent="0.25">
      <c r="H966" s="34">
        <v>41774</v>
      </c>
      <c r="I966" s="34">
        <v>135.79079999999999</v>
      </c>
      <c r="J966" s="34">
        <v>110.44</v>
      </c>
    </row>
    <row r="967" spans="8:10" x14ac:dyDescent="0.25">
      <c r="H967" s="34">
        <v>41773</v>
      </c>
      <c r="I967" s="34">
        <v>136.60919999999999</v>
      </c>
      <c r="J967" s="34">
        <v>110.19</v>
      </c>
    </row>
    <row r="968" spans="8:10" x14ac:dyDescent="0.25">
      <c r="H968" s="34">
        <v>41772</v>
      </c>
      <c r="I968" s="34">
        <v>136.3039</v>
      </c>
      <c r="J968" s="34">
        <v>109.24</v>
      </c>
    </row>
    <row r="969" spans="8:10" x14ac:dyDescent="0.25">
      <c r="H969" s="34">
        <v>41771</v>
      </c>
      <c r="I969" s="34">
        <v>136.0531</v>
      </c>
      <c r="J969" s="34">
        <v>108.41</v>
      </c>
    </row>
    <row r="970" spans="8:10" x14ac:dyDescent="0.25">
      <c r="H970" s="34">
        <v>41768</v>
      </c>
      <c r="I970" s="34">
        <v>135.76179999999999</v>
      </c>
      <c r="J970" s="34">
        <v>107.89</v>
      </c>
    </row>
    <row r="971" spans="8:10" x14ac:dyDescent="0.25">
      <c r="H971" s="34">
        <v>41767</v>
      </c>
      <c r="I971" s="34">
        <v>136.2816</v>
      </c>
      <c r="J971" s="34">
        <v>108.04</v>
      </c>
    </row>
    <row r="972" spans="8:10" x14ac:dyDescent="0.25">
      <c r="H972" s="34">
        <v>41766</v>
      </c>
      <c r="I972" s="34">
        <v>136.58410000000001</v>
      </c>
      <c r="J972" s="34">
        <v>108.13</v>
      </c>
    </row>
    <row r="973" spans="8:10" x14ac:dyDescent="0.25">
      <c r="H973" s="34">
        <v>41765</v>
      </c>
      <c r="I973" s="34">
        <v>137.197</v>
      </c>
      <c r="J973" s="34">
        <v>107.06</v>
      </c>
    </row>
    <row r="974" spans="8:10" x14ac:dyDescent="0.25">
      <c r="H974" s="34">
        <v>41764</v>
      </c>
      <c r="I974" s="34">
        <v>136.8194</v>
      </c>
      <c r="J974" s="34">
        <v>107.72</v>
      </c>
    </row>
    <row r="975" spans="8:10" x14ac:dyDescent="0.25">
      <c r="H975" s="34">
        <v>41761</v>
      </c>
      <c r="I975" s="34">
        <v>136.67500000000001</v>
      </c>
      <c r="J975" s="34">
        <v>108.59</v>
      </c>
    </row>
    <row r="976" spans="8:10" x14ac:dyDescent="0.25">
      <c r="H976" s="34">
        <v>41760</v>
      </c>
      <c r="I976" s="34">
        <v>136.27709999999999</v>
      </c>
      <c r="J976" s="34">
        <v>107.76</v>
      </c>
    </row>
    <row r="977" spans="8:10" x14ac:dyDescent="0.25">
      <c r="H977" s="34">
        <v>41759</v>
      </c>
      <c r="I977" s="34">
        <v>137.79640000000001</v>
      </c>
      <c r="J977" s="34">
        <v>108.07</v>
      </c>
    </row>
    <row r="978" spans="8:10" x14ac:dyDescent="0.25">
      <c r="H978" s="34">
        <v>41758</v>
      </c>
      <c r="I978" s="34">
        <v>138.6677</v>
      </c>
      <c r="J978" s="34">
        <v>108.98</v>
      </c>
    </row>
    <row r="979" spans="8:10" x14ac:dyDescent="0.25">
      <c r="H979" s="34">
        <v>41757</v>
      </c>
      <c r="I979" s="34">
        <v>137.81489999999999</v>
      </c>
      <c r="J979" s="34">
        <v>108.12</v>
      </c>
    </row>
    <row r="980" spans="8:10" x14ac:dyDescent="0.25">
      <c r="H980" s="34">
        <v>41754</v>
      </c>
      <c r="I980" s="34">
        <v>138.04580000000001</v>
      </c>
      <c r="J980" s="34">
        <v>109.58</v>
      </c>
    </row>
    <row r="981" spans="8:10" x14ac:dyDescent="0.25">
      <c r="H981" s="34">
        <v>41753</v>
      </c>
      <c r="I981" s="34">
        <v>138.15190000000001</v>
      </c>
      <c r="J981" s="34">
        <v>110.33</v>
      </c>
    </row>
    <row r="982" spans="8:10" x14ac:dyDescent="0.25">
      <c r="H982" s="34">
        <v>41752</v>
      </c>
      <c r="I982" s="34">
        <v>137.61689999999999</v>
      </c>
      <c r="J982" s="34">
        <v>109.11</v>
      </c>
    </row>
    <row r="983" spans="8:10" x14ac:dyDescent="0.25">
      <c r="H983" s="34">
        <v>41751</v>
      </c>
      <c r="I983" s="34">
        <v>137.3954</v>
      </c>
      <c r="J983" s="34">
        <v>109.27</v>
      </c>
    </row>
    <row r="984" spans="8:10" x14ac:dyDescent="0.25">
      <c r="H984" s="34">
        <v>41750</v>
      </c>
      <c r="I984" s="34">
        <v>136.91210000000001</v>
      </c>
      <c r="J984" s="34">
        <v>109.95</v>
      </c>
    </row>
    <row r="985" spans="8:10" x14ac:dyDescent="0.25">
      <c r="H985" s="34">
        <v>41746</v>
      </c>
      <c r="I985" s="34">
        <v>137.6799</v>
      </c>
      <c r="J985" s="34">
        <v>109.53</v>
      </c>
    </row>
    <row r="986" spans="8:10" x14ac:dyDescent="0.25">
      <c r="H986" s="34">
        <v>41745</v>
      </c>
      <c r="I986" s="34">
        <v>137.06370000000001</v>
      </c>
      <c r="J986" s="34">
        <v>109.6</v>
      </c>
    </row>
    <row r="987" spans="8:10" x14ac:dyDescent="0.25">
      <c r="H987" s="34">
        <v>41744</v>
      </c>
      <c r="I987" s="34">
        <v>136.82140000000001</v>
      </c>
      <c r="J987" s="34">
        <v>108.74</v>
      </c>
    </row>
    <row r="988" spans="8:10" x14ac:dyDescent="0.25">
      <c r="H988" s="34">
        <v>41743</v>
      </c>
      <c r="I988" s="34">
        <v>137.36959999999999</v>
      </c>
      <c r="J988" s="34">
        <v>109.07</v>
      </c>
    </row>
    <row r="989" spans="8:10" x14ac:dyDescent="0.25">
      <c r="H989" s="34">
        <v>41740</v>
      </c>
      <c r="I989" s="34">
        <v>136.4015</v>
      </c>
      <c r="J989" s="34">
        <v>107.33</v>
      </c>
    </row>
    <row r="990" spans="8:10" x14ac:dyDescent="0.25">
      <c r="H990" s="34">
        <v>41739</v>
      </c>
      <c r="I990" s="34">
        <v>136.98410000000001</v>
      </c>
      <c r="J990" s="34">
        <v>107.46</v>
      </c>
    </row>
    <row r="991" spans="8:10" x14ac:dyDescent="0.25">
      <c r="H991" s="34">
        <v>41738</v>
      </c>
      <c r="I991" s="34">
        <v>136.47380000000001</v>
      </c>
      <c r="J991" s="34">
        <v>107.98</v>
      </c>
    </row>
    <row r="992" spans="8:10" x14ac:dyDescent="0.25">
      <c r="H992" s="34">
        <v>41737</v>
      </c>
      <c r="I992" s="34">
        <v>136.03809999999999</v>
      </c>
      <c r="J992" s="34">
        <v>107.67</v>
      </c>
    </row>
    <row r="993" spans="8:10" x14ac:dyDescent="0.25">
      <c r="H993" s="34">
        <v>41736</v>
      </c>
      <c r="I993" s="34">
        <v>134.61340000000001</v>
      </c>
      <c r="J993" s="34">
        <v>105.82</v>
      </c>
    </row>
    <row r="994" spans="8:10" x14ac:dyDescent="0.25">
      <c r="H994" s="34">
        <v>41733</v>
      </c>
      <c r="I994" s="34">
        <v>134.74600000000001</v>
      </c>
      <c r="J994" s="34">
        <v>106.72</v>
      </c>
    </row>
    <row r="995" spans="8:10" x14ac:dyDescent="0.25">
      <c r="H995" s="34">
        <v>41732</v>
      </c>
      <c r="I995" s="34">
        <v>134.28100000000001</v>
      </c>
      <c r="J995" s="34">
        <v>106.15</v>
      </c>
    </row>
    <row r="996" spans="8:10" x14ac:dyDescent="0.25">
      <c r="H996" s="34">
        <v>41731</v>
      </c>
      <c r="I996" s="34">
        <v>133.39619999999999</v>
      </c>
      <c r="J996" s="34">
        <v>104.79</v>
      </c>
    </row>
    <row r="997" spans="8:10" x14ac:dyDescent="0.25">
      <c r="H997" s="34">
        <v>41730</v>
      </c>
      <c r="I997" s="34">
        <v>133.68940000000001</v>
      </c>
      <c r="J997" s="34">
        <v>105.62</v>
      </c>
    </row>
    <row r="998" spans="8:10" x14ac:dyDescent="0.25">
      <c r="H998" s="34">
        <v>41729</v>
      </c>
      <c r="I998" s="34">
        <v>134.52340000000001</v>
      </c>
      <c r="J998" s="34">
        <v>107.76</v>
      </c>
    </row>
    <row r="999" spans="8:10" x14ac:dyDescent="0.25">
      <c r="H999" s="34">
        <v>41726</v>
      </c>
      <c r="I999" s="34">
        <v>134.74520000000001</v>
      </c>
      <c r="J999" s="34">
        <v>108.07</v>
      </c>
    </row>
    <row r="1000" spans="8:10" x14ac:dyDescent="0.25">
      <c r="H1000" s="34">
        <v>41725</v>
      </c>
      <c r="I1000" s="34">
        <v>134.60249999999999</v>
      </c>
      <c r="J1000" s="34">
        <v>107.83</v>
      </c>
    </row>
    <row r="1001" spans="8:10" x14ac:dyDescent="0.25">
      <c r="H1001" s="34">
        <v>41724</v>
      </c>
      <c r="I1001" s="34">
        <v>133.44280000000001</v>
      </c>
      <c r="J1001" s="34">
        <v>107.03</v>
      </c>
    </row>
    <row r="1002" spans="8:10" x14ac:dyDescent="0.25">
      <c r="H1002" s="34">
        <v>41723</v>
      </c>
      <c r="I1002" s="34">
        <v>133.66329999999999</v>
      </c>
      <c r="J1002" s="34">
        <v>106.99</v>
      </c>
    </row>
    <row r="1003" spans="8:10" x14ac:dyDescent="0.25">
      <c r="H1003" s="34">
        <v>41722</v>
      </c>
      <c r="I1003" s="34">
        <v>133.0806</v>
      </c>
      <c r="J1003" s="34">
        <v>106.81</v>
      </c>
    </row>
    <row r="1004" spans="8:10" x14ac:dyDescent="0.25">
      <c r="H1004" s="34">
        <v>41719</v>
      </c>
      <c r="I1004" s="34">
        <v>132.94399999999999</v>
      </c>
      <c r="J1004" s="34">
        <v>106.92</v>
      </c>
    </row>
    <row r="1005" spans="8:10" x14ac:dyDescent="0.25">
      <c r="H1005" s="34">
        <v>41718</v>
      </c>
      <c r="I1005" s="34">
        <v>133.26769999999999</v>
      </c>
      <c r="J1005" s="34">
        <v>106.45</v>
      </c>
    </row>
    <row r="1006" spans="8:10" x14ac:dyDescent="0.25">
      <c r="H1006" s="34">
        <v>41717</v>
      </c>
      <c r="I1006" s="34">
        <v>134.88929999999999</v>
      </c>
      <c r="J1006" s="34">
        <v>105.85</v>
      </c>
    </row>
    <row r="1007" spans="8:10" x14ac:dyDescent="0.25">
      <c r="H1007" s="34">
        <v>41716</v>
      </c>
      <c r="I1007" s="34">
        <v>134.74969999999999</v>
      </c>
      <c r="J1007" s="34">
        <v>106.79</v>
      </c>
    </row>
    <row r="1008" spans="8:10" x14ac:dyDescent="0.25">
      <c r="H1008" s="34">
        <v>41715</v>
      </c>
      <c r="I1008" s="34">
        <v>134.12469999999999</v>
      </c>
      <c r="J1008" s="34">
        <v>106.24</v>
      </c>
    </row>
    <row r="1009" spans="8:10" x14ac:dyDescent="0.25">
      <c r="H1009" s="34">
        <v>41712</v>
      </c>
      <c r="I1009" s="34">
        <v>134.8972</v>
      </c>
      <c r="J1009" s="34">
        <v>108.57</v>
      </c>
    </row>
    <row r="1010" spans="8:10" x14ac:dyDescent="0.25">
      <c r="H1010" s="34">
        <v>41711</v>
      </c>
      <c r="I1010" s="34">
        <v>134.5822</v>
      </c>
      <c r="J1010" s="34">
        <v>107.39</v>
      </c>
    </row>
    <row r="1011" spans="8:10" x14ac:dyDescent="0.25">
      <c r="H1011" s="34">
        <v>41710</v>
      </c>
      <c r="I1011" s="34">
        <v>135.03229999999999</v>
      </c>
      <c r="J1011" s="34">
        <v>108.02</v>
      </c>
    </row>
    <row r="1012" spans="8:10" x14ac:dyDescent="0.25">
      <c r="H1012" s="34">
        <v>41709</v>
      </c>
      <c r="I1012" s="34">
        <v>135.17580000000001</v>
      </c>
      <c r="J1012" s="34">
        <v>108.55</v>
      </c>
    </row>
    <row r="1013" spans="8:10" x14ac:dyDescent="0.25">
      <c r="H1013" s="34">
        <v>41708</v>
      </c>
      <c r="I1013" s="34">
        <v>135.37440000000001</v>
      </c>
      <c r="J1013" s="34">
        <v>108.08</v>
      </c>
    </row>
    <row r="1014" spans="8:10" x14ac:dyDescent="0.25">
      <c r="H1014" s="34">
        <v>41705</v>
      </c>
      <c r="I1014" s="34">
        <v>136.14250000000001</v>
      </c>
      <c r="J1014" s="34">
        <v>109</v>
      </c>
    </row>
    <row r="1015" spans="8:10" x14ac:dyDescent="0.25">
      <c r="H1015" s="34">
        <v>41704</v>
      </c>
      <c r="I1015" s="34">
        <v>136.7646</v>
      </c>
      <c r="J1015" s="34">
        <v>108.1</v>
      </c>
    </row>
    <row r="1016" spans="8:10" x14ac:dyDescent="0.25">
      <c r="H1016" s="34">
        <v>41703</v>
      </c>
      <c r="I1016" s="34">
        <v>135.65029999999999</v>
      </c>
      <c r="J1016" s="34">
        <v>107.76</v>
      </c>
    </row>
    <row r="1017" spans="8:10" x14ac:dyDescent="0.25">
      <c r="H1017" s="34">
        <v>41702</v>
      </c>
      <c r="I1017" s="34">
        <v>135.97720000000001</v>
      </c>
      <c r="J1017" s="34">
        <v>109.3</v>
      </c>
    </row>
    <row r="1018" spans="8:10" x14ac:dyDescent="0.25">
      <c r="H1018" s="34">
        <v>41701</v>
      </c>
      <c r="I1018" s="34">
        <v>135.34450000000001</v>
      </c>
      <c r="J1018" s="34">
        <v>111.2</v>
      </c>
    </row>
    <row r="1019" spans="8:10" x14ac:dyDescent="0.25">
      <c r="H1019" s="34">
        <v>41698</v>
      </c>
      <c r="I1019" s="34">
        <v>133.97829999999999</v>
      </c>
      <c r="J1019" s="34">
        <v>109.07</v>
      </c>
    </row>
    <row r="1020" spans="8:10" x14ac:dyDescent="0.25">
      <c r="H1020" s="34">
        <v>41697</v>
      </c>
      <c r="I1020" s="34">
        <v>133.33160000000001</v>
      </c>
      <c r="J1020" s="34">
        <v>108.96</v>
      </c>
    </row>
    <row r="1021" spans="8:10" x14ac:dyDescent="0.25">
      <c r="H1021" s="34">
        <v>41696</v>
      </c>
      <c r="I1021" s="34">
        <v>133.48140000000001</v>
      </c>
      <c r="J1021" s="34">
        <v>109.52</v>
      </c>
    </row>
    <row r="1022" spans="8:10" x14ac:dyDescent="0.25">
      <c r="H1022" s="34">
        <v>41695</v>
      </c>
      <c r="I1022" s="34">
        <v>133.96420000000001</v>
      </c>
      <c r="J1022" s="34">
        <v>109.51</v>
      </c>
    </row>
    <row r="1023" spans="8:10" x14ac:dyDescent="0.25">
      <c r="H1023" s="34">
        <v>41694</v>
      </c>
      <c r="I1023" s="34">
        <v>133.89279999999999</v>
      </c>
      <c r="J1023" s="34">
        <v>110.64</v>
      </c>
    </row>
    <row r="1024" spans="8:10" x14ac:dyDescent="0.25">
      <c r="H1024" s="34">
        <v>41691</v>
      </c>
      <c r="I1024" s="34">
        <v>133.6884</v>
      </c>
      <c r="J1024" s="34">
        <v>109.85</v>
      </c>
    </row>
    <row r="1025" spans="8:10" x14ac:dyDescent="0.25">
      <c r="H1025" s="34">
        <v>41690</v>
      </c>
      <c r="I1025" s="34">
        <v>133.35390000000001</v>
      </c>
      <c r="J1025" s="34">
        <v>110.3</v>
      </c>
    </row>
    <row r="1026" spans="8:10" x14ac:dyDescent="0.25">
      <c r="H1026" s="34">
        <v>41689</v>
      </c>
      <c r="I1026" s="34">
        <v>133.71100000000001</v>
      </c>
      <c r="J1026" s="34">
        <v>110.47</v>
      </c>
    </row>
    <row r="1027" spans="8:10" x14ac:dyDescent="0.25">
      <c r="H1027" s="34">
        <v>41688</v>
      </c>
      <c r="I1027" s="34">
        <v>132.83539999999999</v>
      </c>
      <c r="J1027" s="34">
        <v>110.46</v>
      </c>
    </row>
    <row r="1028" spans="8:10" x14ac:dyDescent="0.25">
      <c r="H1028" s="34">
        <v>41684</v>
      </c>
      <c r="I1028" s="34">
        <v>130.6566</v>
      </c>
      <c r="J1028" s="34">
        <v>109.08</v>
      </c>
    </row>
    <row r="1029" spans="8:10" x14ac:dyDescent="0.25">
      <c r="H1029" s="34">
        <v>41683</v>
      </c>
      <c r="I1029" s="34">
        <v>130.08609999999999</v>
      </c>
      <c r="J1029" s="34">
        <v>108.73</v>
      </c>
    </row>
    <row r="1030" spans="8:10" x14ac:dyDescent="0.25">
      <c r="H1030" s="34">
        <v>41682</v>
      </c>
      <c r="I1030" s="34">
        <v>129.32859999999999</v>
      </c>
      <c r="J1030" s="34">
        <v>108.79</v>
      </c>
    </row>
    <row r="1031" spans="8:10" x14ac:dyDescent="0.25">
      <c r="H1031" s="34">
        <v>41681</v>
      </c>
      <c r="I1031" s="34">
        <v>128.84829999999999</v>
      </c>
      <c r="J1031" s="34">
        <v>108.68</v>
      </c>
    </row>
    <row r="1032" spans="8:10" x14ac:dyDescent="0.25">
      <c r="H1032" s="34">
        <v>41680</v>
      </c>
      <c r="I1032" s="34">
        <v>127.90900000000001</v>
      </c>
      <c r="J1032" s="34">
        <v>108.63</v>
      </c>
    </row>
    <row r="1033" spans="8:10" x14ac:dyDescent="0.25">
      <c r="H1033" s="34">
        <v>41677</v>
      </c>
      <c r="I1033" s="34">
        <v>128.47970000000001</v>
      </c>
      <c r="J1033" s="34">
        <v>109.57</v>
      </c>
    </row>
    <row r="1034" spans="8:10" x14ac:dyDescent="0.25">
      <c r="H1034" s="34">
        <v>41676</v>
      </c>
      <c r="I1034" s="34">
        <v>128.08070000000001</v>
      </c>
      <c r="J1034" s="34">
        <v>107.19</v>
      </c>
    </row>
    <row r="1035" spans="8:10" x14ac:dyDescent="0.25">
      <c r="H1035" s="34">
        <v>41675</v>
      </c>
      <c r="I1035" s="34">
        <v>128.0728</v>
      </c>
      <c r="J1035" s="34">
        <v>106.25</v>
      </c>
    </row>
    <row r="1036" spans="8:10" x14ac:dyDescent="0.25">
      <c r="H1036" s="34">
        <v>41674</v>
      </c>
      <c r="I1036" s="34">
        <v>128.33949999999999</v>
      </c>
      <c r="J1036" s="34">
        <v>105.78</v>
      </c>
    </row>
    <row r="1037" spans="8:10" x14ac:dyDescent="0.25">
      <c r="H1037" s="34">
        <v>41673</v>
      </c>
      <c r="I1037" s="34">
        <v>126.402</v>
      </c>
      <c r="J1037" s="34">
        <v>106.04</v>
      </c>
    </row>
    <row r="1038" spans="8:10" x14ac:dyDescent="0.25">
      <c r="H1038" s="34">
        <v>41670</v>
      </c>
      <c r="I1038" s="34">
        <v>126.1206</v>
      </c>
      <c r="J1038" s="34">
        <v>106.4</v>
      </c>
    </row>
    <row r="1039" spans="8:10" x14ac:dyDescent="0.25">
      <c r="H1039" s="34">
        <v>41669</v>
      </c>
      <c r="I1039" s="34">
        <v>126.3308</v>
      </c>
      <c r="J1039" s="34">
        <v>107.95</v>
      </c>
    </row>
    <row r="1040" spans="8:10" x14ac:dyDescent="0.25">
      <c r="H1040" s="34">
        <v>41668</v>
      </c>
      <c r="I1040" s="34">
        <v>127.5899</v>
      </c>
      <c r="J1040" s="34">
        <v>107.85</v>
      </c>
    </row>
    <row r="1041" spans="8:10" x14ac:dyDescent="0.25">
      <c r="H1041" s="34">
        <v>41667</v>
      </c>
      <c r="I1041" s="34">
        <v>126.38379999999999</v>
      </c>
      <c r="J1041" s="34">
        <v>107.41</v>
      </c>
    </row>
    <row r="1042" spans="8:10" x14ac:dyDescent="0.25">
      <c r="H1042" s="34">
        <v>41666</v>
      </c>
      <c r="I1042" s="34">
        <v>125.51390000000001</v>
      </c>
      <c r="J1042" s="34">
        <v>106.69</v>
      </c>
    </row>
    <row r="1043" spans="8:10" x14ac:dyDescent="0.25">
      <c r="H1043" s="34">
        <v>41663</v>
      </c>
      <c r="I1043" s="34">
        <v>127.00149999999999</v>
      </c>
      <c r="J1043" s="34">
        <v>107.88</v>
      </c>
    </row>
    <row r="1044" spans="8:10" x14ac:dyDescent="0.25">
      <c r="H1044" s="34">
        <v>41662</v>
      </c>
      <c r="I1044" s="34">
        <v>125.9735</v>
      </c>
      <c r="J1044" s="34">
        <v>107.58</v>
      </c>
    </row>
    <row r="1045" spans="8:10" x14ac:dyDescent="0.25">
      <c r="H1045" s="34">
        <v>41661</v>
      </c>
      <c r="I1045" s="34">
        <v>125.7739</v>
      </c>
      <c r="J1045" s="34">
        <v>108.27</v>
      </c>
    </row>
    <row r="1046" spans="8:10" x14ac:dyDescent="0.25">
      <c r="H1046" s="34">
        <v>41660</v>
      </c>
      <c r="I1046" s="34">
        <v>124.95099999999999</v>
      </c>
      <c r="J1046" s="34">
        <v>106.73</v>
      </c>
    </row>
    <row r="1047" spans="8:10" x14ac:dyDescent="0.25">
      <c r="H1047" s="34">
        <v>41656</v>
      </c>
      <c r="I1047" s="34">
        <v>125.1627</v>
      </c>
      <c r="J1047" s="34">
        <v>106.48</v>
      </c>
    </row>
    <row r="1048" spans="8:10" x14ac:dyDescent="0.25">
      <c r="H1048" s="34">
        <v>41655</v>
      </c>
      <c r="I1048" s="34">
        <v>125.1452</v>
      </c>
      <c r="J1048" s="34">
        <v>107.09</v>
      </c>
    </row>
    <row r="1049" spans="8:10" x14ac:dyDescent="0.25">
      <c r="H1049" s="34">
        <v>41654</v>
      </c>
      <c r="I1049" s="34">
        <v>124.908</v>
      </c>
      <c r="J1049" s="34">
        <v>107.13</v>
      </c>
    </row>
    <row r="1050" spans="8:10" x14ac:dyDescent="0.25">
      <c r="H1050" s="34">
        <v>41653</v>
      </c>
      <c r="I1050" s="34">
        <v>124.7998</v>
      </c>
      <c r="J1050" s="34">
        <v>106.39</v>
      </c>
    </row>
    <row r="1051" spans="8:10" x14ac:dyDescent="0.25">
      <c r="H1051" s="34">
        <v>41652</v>
      </c>
      <c r="I1051" s="34">
        <v>124.51609999999999</v>
      </c>
      <c r="J1051" s="34">
        <v>106.75</v>
      </c>
    </row>
    <row r="1052" spans="8:10" x14ac:dyDescent="0.25">
      <c r="H1052" s="34">
        <v>41649</v>
      </c>
      <c r="I1052" s="34">
        <v>123.6354</v>
      </c>
      <c r="J1052" s="34">
        <v>107.25</v>
      </c>
    </row>
    <row r="1053" spans="8:10" x14ac:dyDescent="0.25">
      <c r="H1053" s="34">
        <v>41648</v>
      </c>
      <c r="I1053" s="34">
        <v>122.32680000000001</v>
      </c>
      <c r="J1053" s="34">
        <v>106.39</v>
      </c>
    </row>
    <row r="1054" spans="8:10" x14ac:dyDescent="0.25">
      <c r="H1054" s="34">
        <v>41647</v>
      </c>
      <c r="I1054" s="34">
        <v>123.68049999999999</v>
      </c>
      <c r="J1054" s="34">
        <v>107.15</v>
      </c>
    </row>
    <row r="1055" spans="8:10" x14ac:dyDescent="0.25">
      <c r="H1055" s="34">
        <v>41646</v>
      </c>
      <c r="I1055" s="34">
        <v>124.8693</v>
      </c>
      <c r="J1055" s="34">
        <v>107.35</v>
      </c>
    </row>
    <row r="1056" spans="8:10" x14ac:dyDescent="0.25">
      <c r="H1056" s="34">
        <v>41645</v>
      </c>
      <c r="I1056" s="34">
        <v>125.05500000000001</v>
      </c>
      <c r="J1056" s="34">
        <v>106.73</v>
      </c>
    </row>
    <row r="1057" spans="8:10" x14ac:dyDescent="0.25">
      <c r="H1057" s="34">
        <v>41642</v>
      </c>
      <c r="I1057" s="34">
        <v>124.9074</v>
      </c>
      <c r="J1057" s="34">
        <v>106.89</v>
      </c>
    </row>
    <row r="1058" spans="8:10" x14ac:dyDescent="0.25">
      <c r="H1058" s="34">
        <v>41641</v>
      </c>
      <c r="I1058" s="34">
        <v>125.4024</v>
      </c>
      <c r="J1058" s="34">
        <v>107.78</v>
      </c>
    </row>
    <row r="1059" spans="8:10" x14ac:dyDescent="0.25">
      <c r="H1059" s="34">
        <v>41639</v>
      </c>
      <c r="I1059" s="34">
        <v>125.75149999999999</v>
      </c>
      <c r="J1059" s="34">
        <v>110.8</v>
      </c>
    </row>
  </sheetData>
  <mergeCells count="8">
    <mergeCell ref="B36:C36"/>
    <mergeCell ref="E36:F36"/>
    <mergeCell ref="E3:F3"/>
    <mergeCell ref="A3:C3"/>
    <mergeCell ref="A22:C22"/>
    <mergeCell ref="E22:F22"/>
    <mergeCell ref="B17:C17"/>
    <mergeCell ref="E17:F17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/>
  <dimension ref="A3:P34"/>
  <sheetViews>
    <sheetView showGridLines="0" topLeftCell="D1" zoomScale="90" zoomScaleNormal="90" workbookViewId="0">
      <selection activeCell="J3" sqref="J3"/>
    </sheetView>
  </sheetViews>
  <sheetFormatPr defaultColWidth="9.140625" defaultRowHeight="13.5" x14ac:dyDescent="0.25"/>
  <cols>
    <col min="1" max="1" width="41.85546875" style="34" bestFit="1" customWidth="1"/>
    <col min="2" max="9" width="9.140625" style="34"/>
    <col min="10" max="10" width="30" style="34" bestFit="1" customWidth="1"/>
    <col min="11" max="16384" width="9.140625" style="34"/>
  </cols>
  <sheetData>
    <row r="3" spans="1:14" ht="14.25" thickBot="1" x14ac:dyDescent="0.3">
      <c r="A3" s="449" t="s">
        <v>1280</v>
      </c>
      <c r="B3" s="46"/>
      <c r="C3" s="46"/>
      <c r="D3" s="46"/>
      <c r="J3" s="449" t="s">
        <v>1281</v>
      </c>
      <c r="K3" s="46"/>
      <c r="L3" s="46"/>
      <c r="M3" s="46"/>
      <c r="N3" s="449"/>
    </row>
    <row r="20" spans="1:16" ht="15.75" customHeight="1" thickBot="1" x14ac:dyDescent="0.3">
      <c r="A20" s="920" t="s">
        <v>893</v>
      </c>
      <c r="B20" s="920"/>
      <c r="C20" s="920"/>
      <c r="D20" s="920"/>
      <c r="E20" s="920"/>
      <c r="F20" s="920"/>
      <c r="G20" s="920"/>
      <c r="J20" s="920" t="s">
        <v>398</v>
      </c>
      <c r="K20" s="920"/>
      <c r="L20" s="920"/>
      <c r="M20" s="920"/>
      <c r="N20" s="920"/>
      <c r="O20" s="920"/>
      <c r="P20" s="920"/>
    </row>
    <row r="21" spans="1:16" ht="14.25" thickBot="1" x14ac:dyDescent="0.3">
      <c r="A21" s="16"/>
      <c r="B21" s="11">
        <v>2016</v>
      </c>
      <c r="C21" s="11">
        <v>2017</v>
      </c>
      <c r="D21" s="11">
        <v>2018</v>
      </c>
      <c r="E21" s="11">
        <v>2019</v>
      </c>
      <c r="F21" s="11">
        <v>2020</v>
      </c>
      <c r="G21" s="11">
        <v>2021</v>
      </c>
      <c r="J21" s="16"/>
      <c r="K21" s="11">
        <f>B21</f>
        <v>2016</v>
      </c>
      <c r="L21" s="11">
        <f t="shared" ref="L21:P21" si="0">C21</f>
        <v>2017</v>
      </c>
      <c r="M21" s="11">
        <f t="shared" si="0"/>
        <v>2018</v>
      </c>
      <c r="N21" s="11">
        <f t="shared" si="0"/>
        <v>2019</v>
      </c>
      <c r="O21" s="11">
        <f t="shared" si="0"/>
        <v>2020</v>
      </c>
      <c r="P21" s="11">
        <f t="shared" si="0"/>
        <v>2021</v>
      </c>
    </row>
    <row r="22" spans="1:16" x14ac:dyDescent="0.25">
      <c r="A22" s="14" t="s">
        <v>79</v>
      </c>
      <c r="B22" s="32">
        <f>'Tab 20'!B18</f>
        <v>51.818676551160578</v>
      </c>
      <c r="C22" s="32">
        <f>'Tab 20'!C18</f>
        <v>50.863185134979958</v>
      </c>
      <c r="D22" s="32">
        <f>'Tab 20'!D18</f>
        <v>49.268297393928535</v>
      </c>
      <c r="E22" s="32">
        <f>'Tab 20'!E18</f>
        <v>46.52418892070849</v>
      </c>
      <c r="F22" s="32">
        <f>'Tab 20'!F18</f>
        <v>44.857696769539444</v>
      </c>
      <c r="G22" s="32">
        <f>'Tab 20'!G18</f>
        <v>43.295313130032255</v>
      </c>
      <c r="J22" s="14" t="s">
        <v>399</v>
      </c>
      <c r="K22" s="32">
        <f t="shared" ref="K22:K31" si="1">B22</f>
        <v>51.818676551160578</v>
      </c>
      <c r="L22" s="32">
        <f t="shared" ref="L22:L31" si="2">C22</f>
        <v>50.863185134979958</v>
      </c>
      <c r="M22" s="32">
        <f t="shared" ref="M22:M31" si="3">D22</f>
        <v>49.268297393928535</v>
      </c>
      <c r="N22" s="32">
        <f t="shared" ref="N22:N31" si="4">E22</f>
        <v>46.52418892070849</v>
      </c>
      <c r="O22" s="32">
        <f t="shared" ref="O22:O31" si="5">F22</f>
        <v>44.857696769539444</v>
      </c>
      <c r="P22" s="32">
        <f t="shared" ref="P22:P31" si="6">G22</f>
        <v>43.295313130032255</v>
      </c>
    </row>
    <row r="23" spans="1:16" x14ac:dyDescent="0.25">
      <c r="A23" s="17" t="s">
        <v>80</v>
      </c>
      <c r="B23" s="32">
        <v>47.022534432221136</v>
      </c>
      <c r="C23" s="32">
        <v>46.373201456629097</v>
      </c>
      <c r="D23" s="32">
        <v>45.077743002412426</v>
      </c>
      <c r="E23" s="32">
        <v>42.697984972972719</v>
      </c>
      <c r="F23" s="32">
        <v>41.357551763572459</v>
      </c>
      <c r="G23" s="32">
        <v>40.080418311692036</v>
      </c>
      <c r="J23" s="17" t="s">
        <v>325</v>
      </c>
      <c r="K23" s="32">
        <f t="shared" si="1"/>
        <v>47.022534432221136</v>
      </c>
      <c r="L23" s="32">
        <f t="shared" si="2"/>
        <v>46.373201456629097</v>
      </c>
      <c r="M23" s="32">
        <f t="shared" si="3"/>
        <v>45.077743002412426</v>
      </c>
      <c r="N23" s="32">
        <f t="shared" si="4"/>
        <v>42.697984972972719</v>
      </c>
      <c r="O23" s="32">
        <f t="shared" si="5"/>
        <v>41.357551763572459</v>
      </c>
      <c r="P23" s="32">
        <f t="shared" si="6"/>
        <v>40.080418311692036</v>
      </c>
    </row>
    <row r="24" spans="1:16" x14ac:dyDescent="0.25">
      <c r="A24" s="17" t="s">
        <v>81</v>
      </c>
      <c r="B24" s="32">
        <v>2.3173727511197368</v>
      </c>
      <c r="C24" s="32">
        <v>2.2129030367278291</v>
      </c>
      <c r="D24" s="32">
        <v>2.0858611644017402</v>
      </c>
      <c r="E24" s="32">
        <v>1.9571216019773661</v>
      </c>
      <c r="F24" s="32">
        <v>1.8435749365758431</v>
      </c>
      <c r="G24" s="32">
        <v>1.7428647258885321</v>
      </c>
      <c r="J24" s="17" t="s">
        <v>380</v>
      </c>
      <c r="K24" s="32">
        <f t="shared" si="1"/>
        <v>2.3173727511197368</v>
      </c>
      <c r="L24" s="32">
        <f t="shared" si="2"/>
        <v>2.2129030367278291</v>
      </c>
      <c r="M24" s="32">
        <f t="shared" si="3"/>
        <v>2.0858611644017402</v>
      </c>
      <c r="N24" s="32">
        <f t="shared" si="4"/>
        <v>1.9571216019773661</v>
      </c>
      <c r="O24" s="32">
        <f t="shared" si="5"/>
        <v>1.8435749365758431</v>
      </c>
      <c r="P24" s="32">
        <f t="shared" si="6"/>
        <v>1.7428647258885321</v>
      </c>
    </row>
    <row r="25" spans="1:16" x14ac:dyDescent="0.25">
      <c r="A25" s="17" t="s">
        <v>82</v>
      </c>
      <c r="B25" s="32">
        <v>0.81228316062828043</v>
      </c>
      <c r="C25" s="32">
        <v>0.77566454165332721</v>
      </c>
      <c r="D25" s="32">
        <v>0.73113395263379755</v>
      </c>
      <c r="E25" s="32">
        <v>0.68600829099242211</v>
      </c>
      <c r="F25" s="32">
        <v>0.64620802829986002</v>
      </c>
      <c r="G25" s="32">
        <v>0.61090718677356637</v>
      </c>
      <c r="J25" s="17" t="s">
        <v>381</v>
      </c>
      <c r="K25" s="32">
        <f t="shared" si="1"/>
        <v>0.81228316062828043</v>
      </c>
      <c r="L25" s="32">
        <f t="shared" si="2"/>
        <v>0.77566454165332721</v>
      </c>
      <c r="M25" s="32">
        <f t="shared" si="3"/>
        <v>0.73113395263379755</v>
      </c>
      <c r="N25" s="32">
        <f t="shared" si="4"/>
        <v>0.68600829099242211</v>
      </c>
      <c r="O25" s="32">
        <f t="shared" si="5"/>
        <v>0.64620802829986002</v>
      </c>
      <c r="P25" s="32">
        <f t="shared" si="6"/>
        <v>0.61090718677356637</v>
      </c>
    </row>
    <row r="26" spans="1:16" ht="14.25" thickBot="1" x14ac:dyDescent="0.3">
      <c r="A26" s="18" t="s">
        <v>83</v>
      </c>
      <c r="B26" s="33">
        <v>1.6668951213055936</v>
      </c>
      <c r="C26" s="33">
        <v>1.5017955257428848</v>
      </c>
      <c r="D26" s="33">
        <v>1.3739169175728749</v>
      </c>
      <c r="E26" s="33">
        <v>1.1834096240903884</v>
      </c>
      <c r="F26" s="33">
        <v>1.0106781416316573</v>
      </c>
      <c r="G26" s="33">
        <v>0.8614217383812165</v>
      </c>
      <c r="J26" s="18" t="s">
        <v>382</v>
      </c>
      <c r="K26" s="33">
        <f t="shared" si="1"/>
        <v>1.6668951213055936</v>
      </c>
      <c r="L26" s="33">
        <f t="shared" si="2"/>
        <v>1.5017955257428848</v>
      </c>
      <c r="M26" s="33">
        <f t="shared" si="3"/>
        <v>1.3739169175728749</v>
      </c>
      <c r="N26" s="33">
        <f t="shared" si="4"/>
        <v>1.1834096240903884</v>
      </c>
      <c r="O26" s="33">
        <f t="shared" si="5"/>
        <v>1.0106781416316573</v>
      </c>
      <c r="P26" s="33">
        <f t="shared" si="6"/>
        <v>0.8614217383812165</v>
      </c>
    </row>
    <row r="27" spans="1:16" x14ac:dyDescent="0.25">
      <c r="A27" s="17" t="s">
        <v>84</v>
      </c>
      <c r="B27" s="32">
        <v>-0.52165187316268913</v>
      </c>
      <c r="C27" s="32">
        <v>-0.95552090452161309</v>
      </c>
      <c r="D27" s="32">
        <v>-1.5949095237322908</v>
      </c>
      <c r="E27" s="32">
        <v>-2.7441305469879467</v>
      </c>
      <c r="F27" s="32">
        <v>-1.6665116199530701</v>
      </c>
      <c r="G27" s="32">
        <v>-1.5624009073444753</v>
      </c>
      <c r="J27" s="17" t="s">
        <v>327</v>
      </c>
      <c r="K27" s="32">
        <f t="shared" si="1"/>
        <v>-0.52165187316268913</v>
      </c>
      <c r="L27" s="32">
        <f t="shared" si="2"/>
        <v>-0.95552090452161309</v>
      </c>
      <c r="M27" s="32">
        <f t="shared" si="3"/>
        <v>-1.5949095237322908</v>
      </c>
      <c r="N27" s="32">
        <f t="shared" si="4"/>
        <v>-2.7441305469879467</v>
      </c>
      <c r="O27" s="32">
        <f t="shared" si="5"/>
        <v>-1.6665116199530701</v>
      </c>
      <c r="P27" s="32">
        <f t="shared" si="6"/>
        <v>-1.5624009073444753</v>
      </c>
    </row>
    <row r="28" spans="1:16" ht="14.25" thickBot="1" x14ac:dyDescent="0.3">
      <c r="A28" s="18" t="s">
        <v>85</v>
      </c>
      <c r="B28" s="33">
        <v>46.895851029634215</v>
      </c>
      <c r="C28" s="33">
        <v>45.507185534157529</v>
      </c>
      <c r="D28" s="33">
        <v>43.93145552362536</v>
      </c>
      <c r="E28" s="33">
        <v>42.031399329379951</v>
      </c>
      <c r="F28" s="33">
        <v>40.088206545299599</v>
      </c>
      <c r="G28" s="33">
        <v>38.493411658087027</v>
      </c>
      <c r="H28" s="43"/>
      <c r="I28" s="43"/>
      <c r="J28" s="18" t="s">
        <v>328</v>
      </c>
      <c r="K28" s="33">
        <f t="shared" si="1"/>
        <v>46.895851029634215</v>
      </c>
      <c r="L28" s="33">
        <f t="shared" si="2"/>
        <v>45.507185534157529</v>
      </c>
      <c r="M28" s="33">
        <f t="shared" si="3"/>
        <v>43.93145552362536</v>
      </c>
      <c r="N28" s="33">
        <f t="shared" si="4"/>
        <v>42.031399329379951</v>
      </c>
      <c r="O28" s="33">
        <f t="shared" si="5"/>
        <v>40.088206545299599</v>
      </c>
      <c r="P28" s="33">
        <f t="shared" si="6"/>
        <v>38.493411658087027</v>
      </c>
    </row>
    <row r="29" spans="1:16" x14ac:dyDescent="0.25">
      <c r="A29" s="17" t="s">
        <v>1130</v>
      </c>
      <c r="B29" s="32">
        <f>B22-B24-B25</f>
        <v>48.689020639412561</v>
      </c>
      <c r="C29" s="32">
        <f t="shared" ref="C29:G29" si="7">C22-C24-C25</f>
        <v>47.8746175565988</v>
      </c>
      <c r="D29" s="32">
        <f t="shared" si="7"/>
        <v>46.451302276892996</v>
      </c>
      <c r="E29" s="32">
        <f t="shared" si="7"/>
        <v>43.881059027738708</v>
      </c>
      <c r="F29" s="32">
        <f t="shared" si="7"/>
        <v>42.367913804663743</v>
      </c>
      <c r="G29" s="32">
        <f t="shared" si="7"/>
        <v>40.941541217370158</v>
      </c>
      <c r="J29" s="17" t="s">
        <v>329</v>
      </c>
      <c r="K29" s="32">
        <f t="shared" si="1"/>
        <v>48.689020639412561</v>
      </c>
      <c r="L29" s="32">
        <f t="shared" si="2"/>
        <v>47.8746175565988</v>
      </c>
      <c r="M29" s="32">
        <f t="shared" si="3"/>
        <v>46.451302276892996</v>
      </c>
      <c r="N29" s="32">
        <f t="shared" si="4"/>
        <v>43.881059027738708</v>
      </c>
      <c r="O29" s="32">
        <f t="shared" si="5"/>
        <v>42.367913804663743</v>
      </c>
      <c r="P29" s="32">
        <f t="shared" si="6"/>
        <v>40.941541217370158</v>
      </c>
    </row>
    <row r="30" spans="1:16" x14ac:dyDescent="0.25">
      <c r="A30" s="17" t="s">
        <v>124</v>
      </c>
      <c r="B30" s="450">
        <f>B24+B25</f>
        <v>3.1296559117480172</v>
      </c>
      <c r="C30" s="450">
        <f t="shared" ref="C30:G30" si="8">C24+C25</f>
        <v>2.9885675783811561</v>
      </c>
      <c r="D30" s="450">
        <f t="shared" si="8"/>
        <v>2.8169951170355376</v>
      </c>
      <c r="E30" s="450">
        <f t="shared" si="8"/>
        <v>2.643129892969788</v>
      </c>
      <c r="F30" s="450">
        <f t="shared" si="8"/>
        <v>2.4897829648757033</v>
      </c>
      <c r="G30" s="450">
        <f t="shared" si="8"/>
        <v>2.3537719126620984</v>
      </c>
      <c r="J30" s="17" t="s">
        <v>330</v>
      </c>
      <c r="K30" s="450">
        <f t="shared" si="1"/>
        <v>3.1296559117480172</v>
      </c>
      <c r="L30" s="32">
        <f t="shared" si="2"/>
        <v>2.9885675783811561</v>
      </c>
      <c r="M30" s="32">
        <f t="shared" si="3"/>
        <v>2.8169951170355376</v>
      </c>
      <c r="N30" s="32">
        <f t="shared" si="4"/>
        <v>2.643129892969788</v>
      </c>
      <c r="O30" s="32">
        <f t="shared" si="5"/>
        <v>2.4897829648757033</v>
      </c>
      <c r="P30" s="32">
        <f t="shared" si="6"/>
        <v>2.3537719126620984</v>
      </c>
    </row>
    <row r="31" spans="1:16" ht="14.25" thickBot="1" x14ac:dyDescent="0.3">
      <c r="A31" s="451" t="s">
        <v>1279</v>
      </c>
      <c r="B31" s="452">
        <v>4.9232344356405209</v>
      </c>
      <c r="C31" s="452">
        <v>5.3563790265955982</v>
      </c>
      <c r="D31" s="452">
        <v>5.3371995133954835</v>
      </c>
      <c r="E31" s="452">
        <v>4.4931251606529363</v>
      </c>
      <c r="F31" s="452">
        <v>4.7698063247802205</v>
      </c>
      <c r="G31" s="452">
        <v>4.8022003046483084</v>
      </c>
      <c r="J31" s="451" t="s">
        <v>400</v>
      </c>
      <c r="K31" s="452">
        <f t="shared" si="1"/>
        <v>4.9232344356405209</v>
      </c>
      <c r="L31" s="452">
        <f t="shared" si="2"/>
        <v>5.3563790265955982</v>
      </c>
      <c r="M31" s="452">
        <f t="shared" si="3"/>
        <v>5.3371995133954835</v>
      </c>
      <c r="N31" s="452">
        <f t="shared" si="4"/>
        <v>4.4931251606529363</v>
      </c>
      <c r="O31" s="452">
        <f t="shared" si="5"/>
        <v>4.7698063247802205</v>
      </c>
      <c r="P31" s="452">
        <f t="shared" si="6"/>
        <v>4.8022003046483084</v>
      </c>
    </row>
    <row r="32" spans="1:16" x14ac:dyDescent="0.25">
      <c r="A32" s="17"/>
      <c r="B32" s="450"/>
      <c r="C32" s="32"/>
      <c r="D32" s="32"/>
      <c r="E32" s="32"/>
      <c r="F32" s="1002" t="s">
        <v>19</v>
      </c>
      <c r="G32" s="1002"/>
      <c r="O32" s="1002" t="s">
        <v>397</v>
      </c>
      <c r="P32" s="1002"/>
    </row>
    <row r="34" spans="1:7" x14ac:dyDescent="0.25">
      <c r="A34" s="110"/>
      <c r="B34" s="43"/>
      <c r="C34" s="43"/>
      <c r="D34" s="43"/>
      <c r="E34" s="43"/>
      <c r="F34" s="43"/>
      <c r="G34" s="43"/>
    </row>
  </sheetData>
  <mergeCells count="4">
    <mergeCell ref="A20:G20"/>
    <mergeCell ref="J20:P20"/>
    <mergeCell ref="F32:G32"/>
    <mergeCell ref="O32:P32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6"/>
  <dimension ref="A1:O193"/>
  <sheetViews>
    <sheetView showGridLines="0" zoomScale="90" zoomScaleNormal="90" workbookViewId="0">
      <selection activeCell="A25" sqref="A25"/>
    </sheetView>
  </sheetViews>
  <sheetFormatPr defaultColWidth="9.140625" defaultRowHeight="13.5" x14ac:dyDescent="0.25"/>
  <cols>
    <col min="1" max="1" width="9.140625" style="34"/>
    <col min="2" max="2" width="9.85546875" style="34" bestFit="1" customWidth="1"/>
    <col min="3" max="3" width="14.42578125" style="34" customWidth="1"/>
    <col min="4" max="11" width="9.140625" style="34"/>
    <col min="12" max="12" width="13.28515625" style="34" customWidth="1"/>
    <col min="13" max="13" width="13.28515625" style="300" customWidth="1"/>
    <col min="14" max="14" width="9.140625" style="34"/>
    <col min="15" max="15" width="13.28515625" style="34" bestFit="1" customWidth="1"/>
    <col min="16" max="16384" width="9.140625" style="34"/>
  </cols>
  <sheetData>
    <row r="1" spans="1:15" ht="14.25" thickBot="1" x14ac:dyDescent="0.3">
      <c r="K1" s="122" t="s">
        <v>404</v>
      </c>
      <c r="L1" s="338" t="s">
        <v>226</v>
      </c>
      <c r="M1" s="444"/>
      <c r="N1" s="122" t="s">
        <v>401</v>
      </c>
      <c r="O1" s="338" t="s">
        <v>402</v>
      </c>
    </row>
    <row r="2" spans="1:15" x14ac:dyDescent="0.25">
      <c r="K2" s="339">
        <v>38748</v>
      </c>
      <c r="L2" s="340">
        <v>1</v>
      </c>
      <c r="M2" s="340"/>
      <c r="N2" s="339">
        <v>38748</v>
      </c>
      <c r="O2" s="340">
        <v>1</v>
      </c>
    </row>
    <row r="3" spans="1:15" ht="14.25" thickBot="1" x14ac:dyDescent="0.3">
      <c r="A3" s="443" t="s">
        <v>690</v>
      </c>
      <c r="B3" s="46"/>
      <c r="C3" s="46"/>
      <c r="D3" s="46"/>
      <c r="E3" s="46"/>
      <c r="F3" s="46"/>
      <c r="G3" s="46"/>
      <c r="H3" s="46"/>
      <c r="I3" s="46"/>
      <c r="K3" s="339">
        <v>38776</v>
      </c>
      <c r="L3" s="340">
        <v>1</v>
      </c>
      <c r="M3" s="340"/>
      <c r="N3" s="339">
        <v>38776</v>
      </c>
      <c r="O3" s="340">
        <v>1</v>
      </c>
    </row>
    <row r="4" spans="1:15" x14ac:dyDescent="0.25">
      <c r="K4" s="339">
        <v>38807</v>
      </c>
      <c r="L4" s="340">
        <v>8</v>
      </c>
      <c r="M4" s="340"/>
      <c r="N4" s="339">
        <v>38807</v>
      </c>
      <c r="O4" s="340">
        <v>8</v>
      </c>
    </row>
    <row r="5" spans="1:15" x14ac:dyDescent="0.25">
      <c r="K5" s="339">
        <v>38837</v>
      </c>
      <c r="L5" s="340">
        <v>8</v>
      </c>
      <c r="M5" s="340"/>
      <c r="N5" s="339">
        <v>38837</v>
      </c>
      <c r="O5" s="340">
        <v>8</v>
      </c>
    </row>
    <row r="6" spans="1:15" x14ac:dyDescent="0.25">
      <c r="K6" s="339">
        <v>38868</v>
      </c>
      <c r="L6" s="340">
        <v>8</v>
      </c>
      <c r="M6" s="340"/>
      <c r="N6" s="339">
        <v>38868</v>
      </c>
      <c r="O6" s="340">
        <v>8</v>
      </c>
    </row>
    <row r="7" spans="1:15" x14ac:dyDescent="0.25">
      <c r="K7" s="339">
        <v>38898</v>
      </c>
      <c r="L7" s="340">
        <v>7</v>
      </c>
      <c r="M7" s="340"/>
      <c r="N7" s="339">
        <v>38898</v>
      </c>
      <c r="O7" s="340">
        <v>7</v>
      </c>
    </row>
    <row r="8" spans="1:15" x14ac:dyDescent="0.25">
      <c r="K8" s="339">
        <v>38929</v>
      </c>
      <c r="L8" s="340">
        <v>6</v>
      </c>
      <c r="M8" s="340"/>
      <c r="N8" s="339">
        <v>38929</v>
      </c>
      <c r="O8" s="340">
        <v>6</v>
      </c>
    </row>
    <row r="9" spans="1:15" x14ac:dyDescent="0.25">
      <c r="K9" s="339">
        <v>38960</v>
      </c>
      <c r="L9" s="340">
        <v>5</v>
      </c>
      <c r="M9" s="340"/>
      <c r="N9" s="339">
        <v>38960</v>
      </c>
      <c r="O9" s="340">
        <v>5</v>
      </c>
    </row>
    <row r="10" spans="1:15" x14ac:dyDescent="0.25">
      <c r="K10" s="339">
        <v>38990</v>
      </c>
      <c r="L10" s="340">
        <v>4</v>
      </c>
      <c r="M10" s="340"/>
      <c r="N10" s="339">
        <v>38990</v>
      </c>
      <c r="O10" s="340">
        <v>4</v>
      </c>
    </row>
    <row r="11" spans="1:15" x14ac:dyDescent="0.25">
      <c r="K11" s="339">
        <v>39021</v>
      </c>
      <c r="L11" s="340">
        <v>3</v>
      </c>
      <c r="M11" s="340"/>
      <c r="N11" s="339">
        <v>39021</v>
      </c>
      <c r="O11" s="340">
        <v>3</v>
      </c>
    </row>
    <row r="12" spans="1:15" x14ac:dyDescent="0.25">
      <c r="K12" s="339">
        <v>39051</v>
      </c>
      <c r="L12" s="340">
        <v>2</v>
      </c>
      <c r="M12" s="340"/>
      <c r="N12" s="339">
        <v>39051</v>
      </c>
      <c r="O12" s="340">
        <v>2</v>
      </c>
    </row>
    <row r="13" spans="1:15" x14ac:dyDescent="0.25">
      <c r="K13" s="339">
        <v>39082</v>
      </c>
      <c r="L13" s="340">
        <v>1</v>
      </c>
      <c r="M13" s="340"/>
      <c r="N13" s="339">
        <v>39082</v>
      </c>
      <c r="O13" s="340">
        <v>1</v>
      </c>
    </row>
    <row r="14" spans="1:15" x14ac:dyDescent="0.25">
      <c r="K14" s="339">
        <v>39113</v>
      </c>
      <c r="L14" s="340">
        <v>2</v>
      </c>
      <c r="M14" s="340"/>
      <c r="N14" s="339">
        <v>39113</v>
      </c>
      <c r="O14" s="340">
        <v>2</v>
      </c>
    </row>
    <row r="15" spans="1:15" x14ac:dyDescent="0.25">
      <c r="K15" s="339">
        <v>39141</v>
      </c>
      <c r="L15" s="340">
        <v>8</v>
      </c>
      <c r="M15" s="340"/>
      <c r="N15" s="339">
        <v>39141</v>
      </c>
      <c r="O15" s="340">
        <v>8</v>
      </c>
    </row>
    <row r="16" spans="1:15" x14ac:dyDescent="0.25">
      <c r="K16" s="339">
        <v>39172</v>
      </c>
      <c r="L16" s="340">
        <v>8</v>
      </c>
      <c r="M16" s="340"/>
      <c r="N16" s="339">
        <v>39172</v>
      </c>
      <c r="O16" s="340">
        <v>8</v>
      </c>
    </row>
    <row r="17" spans="1:15" x14ac:dyDescent="0.25">
      <c r="K17" s="339">
        <v>39202</v>
      </c>
      <c r="L17" s="340">
        <v>8</v>
      </c>
      <c r="M17" s="340"/>
      <c r="N17" s="339">
        <v>39202</v>
      </c>
      <c r="O17" s="340">
        <v>8</v>
      </c>
    </row>
    <row r="18" spans="1:15" x14ac:dyDescent="0.25">
      <c r="K18" s="339">
        <v>39233</v>
      </c>
      <c r="L18" s="340">
        <v>8</v>
      </c>
      <c r="M18" s="340"/>
      <c r="N18" s="339">
        <v>39233</v>
      </c>
      <c r="O18" s="340">
        <v>8</v>
      </c>
    </row>
    <row r="19" spans="1:15" x14ac:dyDescent="0.25">
      <c r="K19" s="339">
        <v>39263</v>
      </c>
      <c r="L19" s="340">
        <v>8</v>
      </c>
      <c r="M19" s="340"/>
      <c r="N19" s="339">
        <v>39263</v>
      </c>
      <c r="O19" s="340">
        <v>8</v>
      </c>
    </row>
    <row r="20" spans="1:15" x14ac:dyDescent="0.25">
      <c r="K20" s="339">
        <v>39294</v>
      </c>
      <c r="L20" s="340">
        <v>8</v>
      </c>
      <c r="M20" s="340"/>
      <c r="N20" s="339">
        <v>39294</v>
      </c>
      <c r="O20" s="340">
        <v>8</v>
      </c>
    </row>
    <row r="21" spans="1:15" x14ac:dyDescent="0.25">
      <c r="K21" s="339">
        <v>39325</v>
      </c>
      <c r="L21" s="340">
        <v>8</v>
      </c>
      <c r="M21" s="340"/>
      <c r="N21" s="339">
        <v>39325</v>
      </c>
      <c r="O21" s="340">
        <v>8</v>
      </c>
    </row>
    <row r="22" spans="1:15" x14ac:dyDescent="0.25">
      <c r="H22" s="1002" t="s">
        <v>19</v>
      </c>
      <c r="I22" s="1002"/>
      <c r="K22" s="339">
        <v>39355</v>
      </c>
      <c r="L22" s="340">
        <v>6</v>
      </c>
      <c r="M22" s="340"/>
      <c r="N22" s="339">
        <v>39355</v>
      </c>
      <c r="O22" s="340">
        <v>6</v>
      </c>
    </row>
    <row r="23" spans="1:15" x14ac:dyDescent="0.25">
      <c r="K23" s="339">
        <v>39386</v>
      </c>
      <c r="L23" s="340">
        <v>5</v>
      </c>
      <c r="M23" s="340"/>
      <c r="N23" s="339">
        <v>39386</v>
      </c>
      <c r="O23" s="340">
        <v>5</v>
      </c>
    </row>
    <row r="24" spans="1:15" x14ac:dyDescent="0.25">
      <c r="K24" s="339">
        <v>39416</v>
      </c>
      <c r="L24" s="340">
        <v>6</v>
      </c>
      <c r="M24" s="340"/>
      <c r="N24" s="339">
        <v>39416</v>
      </c>
      <c r="O24" s="340">
        <v>6</v>
      </c>
    </row>
    <row r="25" spans="1:15" ht="14.25" thickBot="1" x14ac:dyDescent="0.3">
      <c r="A25" s="443" t="s">
        <v>691</v>
      </c>
      <c r="B25" s="46"/>
      <c r="C25" s="46"/>
      <c r="D25" s="46"/>
      <c r="E25" s="46"/>
      <c r="F25" s="46"/>
      <c r="G25" s="46"/>
      <c r="H25" s="46"/>
      <c r="I25" s="46"/>
      <c r="K25" s="339">
        <v>39447</v>
      </c>
      <c r="L25" s="340">
        <v>5</v>
      </c>
      <c r="M25" s="340"/>
      <c r="N25" s="339">
        <v>39447</v>
      </c>
      <c r="O25" s="340">
        <v>5</v>
      </c>
    </row>
    <row r="26" spans="1:15" x14ac:dyDescent="0.25">
      <c r="K26" s="339">
        <v>39478</v>
      </c>
      <c r="L26" s="340">
        <v>8</v>
      </c>
      <c r="M26" s="340"/>
      <c r="N26" s="339">
        <v>39478</v>
      </c>
      <c r="O26" s="340">
        <v>8</v>
      </c>
    </row>
    <row r="27" spans="1:15" x14ac:dyDescent="0.25">
      <c r="K27" s="339">
        <v>39507</v>
      </c>
      <c r="L27" s="340">
        <v>8</v>
      </c>
      <c r="M27" s="340"/>
      <c r="N27" s="339">
        <v>39507</v>
      </c>
      <c r="O27" s="340">
        <v>8</v>
      </c>
    </row>
    <row r="28" spans="1:15" x14ac:dyDescent="0.25">
      <c r="K28" s="339">
        <v>39538</v>
      </c>
      <c r="L28" s="340">
        <v>8</v>
      </c>
      <c r="M28" s="340"/>
      <c r="N28" s="339">
        <v>39538</v>
      </c>
      <c r="O28" s="340">
        <v>8</v>
      </c>
    </row>
    <row r="29" spans="1:15" x14ac:dyDescent="0.25">
      <c r="K29" s="339">
        <v>39568</v>
      </c>
      <c r="L29" s="340">
        <v>8</v>
      </c>
      <c r="M29" s="340"/>
      <c r="N29" s="339">
        <v>39568</v>
      </c>
      <c r="O29" s="340">
        <v>8</v>
      </c>
    </row>
    <row r="30" spans="1:15" x14ac:dyDescent="0.25">
      <c r="K30" s="339">
        <v>39599</v>
      </c>
      <c r="L30" s="340">
        <v>7</v>
      </c>
      <c r="M30" s="340"/>
      <c r="N30" s="339">
        <v>39599</v>
      </c>
      <c r="O30" s="340">
        <v>7</v>
      </c>
    </row>
    <row r="31" spans="1:15" x14ac:dyDescent="0.25">
      <c r="K31" s="339">
        <v>39629</v>
      </c>
      <c r="L31" s="340">
        <v>7</v>
      </c>
      <c r="M31" s="340"/>
      <c r="N31" s="339">
        <v>39629</v>
      </c>
      <c r="O31" s="340">
        <v>7</v>
      </c>
    </row>
    <row r="32" spans="1:15" x14ac:dyDescent="0.25">
      <c r="K32" s="339">
        <v>39660</v>
      </c>
      <c r="L32" s="340">
        <v>6</v>
      </c>
      <c r="M32" s="340"/>
      <c r="N32" s="339">
        <v>39660</v>
      </c>
      <c r="O32" s="340">
        <v>6</v>
      </c>
    </row>
    <row r="33" spans="8:15" x14ac:dyDescent="0.25">
      <c r="K33" s="339">
        <v>39691</v>
      </c>
      <c r="L33" s="340">
        <v>5</v>
      </c>
      <c r="M33" s="340"/>
      <c r="N33" s="339">
        <v>39691</v>
      </c>
      <c r="O33" s="340">
        <v>5</v>
      </c>
    </row>
    <row r="34" spans="8:15" x14ac:dyDescent="0.25">
      <c r="K34" s="339">
        <v>39721</v>
      </c>
      <c r="L34" s="340">
        <v>4</v>
      </c>
      <c r="M34" s="340"/>
      <c r="N34" s="339">
        <v>39721</v>
      </c>
      <c r="O34" s="340">
        <v>4</v>
      </c>
    </row>
    <row r="35" spans="8:15" x14ac:dyDescent="0.25">
      <c r="K35" s="339">
        <v>39752</v>
      </c>
      <c r="L35" s="340">
        <v>4</v>
      </c>
      <c r="M35" s="340"/>
      <c r="N35" s="339">
        <v>39752</v>
      </c>
      <c r="O35" s="340">
        <v>4</v>
      </c>
    </row>
    <row r="36" spans="8:15" x14ac:dyDescent="0.25">
      <c r="K36" s="339">
        <v>39782</v>
      </c>
      <c r="L36" s="340">
        <v>3</v>
      </c>
      <c r="M36" s="340"/>
      <c r="N36" s="339">
        <v>39782</v>
      </c>
      <c r="O36" s="340">
        <v>3</v>
      </c>
    </row>
    <row r="37" spans="8:15" x14ac:dyDescent="0.25">
      <c r="K37" s="339">
        <v>39813</v>
      </c>
      <c r="L37" s="340">
        <v>4</v>
      </c>
      <c r="M37" s="340"/>
      <c r="N37" s="339">
        <v>39813</v>
      </c>
      <c r="O37" s="340">
        <v>4</v>
      </c>
    </row>
    <row r="38" spans="8:15" x14ac:dyDescent="0.25">
      <c r="K38" s="339">
        <v>39844</v>
      </c>
      <c r="L38" s="340">
        <v>3</v>
      </c>
      <c r="M38" s="340"/>
      <c r="N38" s="339">
        <v>39844</v>
      </c>
      <c r="O38" s="340">
        <v>3</v>
      </c>
    </row>
    <row r="39" spans="8:15" x14ac:dyDescent="0.25">
      <c r="K39" s="339">
        <v>39872</v>
      </c>
      <c r="L39" s="340">
        <v>2</v>
      </c>
      <c r="M39" s="340"/>
      <c r="N39" s="339">
        <v>39872</v>
      </c>
      <c r="O39" s="340">
        <v>2</v>
      </c>
    </row>
    <row r="40" spans="8:15" x14ac:dyDescent="0.25">
      <c r="K40" s="339">
        <v>39903</v>
      </c>
      <c r="L40" s="340">
        <v>2</v>
      </c>
      <c r="M40" s="340"/>
      <c r="N40" s="339">
        <v>39903</v>
      </c>
      <c r="O40" s="340">
        <v>2</v>
      </c>
    </row>
    <row r="41" spans="8:15" x14ac:dyDescent="0.25">
      <c r="K41" s="339">
        <v>39933</v>
      </c>
      <c r="L41" s="340">
        <v>1</v>
      </c>
      <c r="M41" s="340"/>
      <c r="N41" s="339">
        <v>39933</v>
      </c>
      <c r="O41" s="340">
        <v>1</v>
      </c>
    </row>
    <row r="42" spans="8:15" x14ac:dyDescent="0.25">
      <c r="K42" s="339">
        <v>39964</v>
      </c>
      <c r="L42" s="340">
        <v>7</v>
      </c>
      <c r="M42" s="340"/>
      <c r="N42" s="339">
        <v>39964</v>
      </c>
      <c r="O42" s="340">
        <v>7</v>
      </c>
    </row>
    <row r="43" spans="8:15" x14ac:dyDescent="0.25">
      <c r="K43" s="339">
        <v>39994</v>
      </c>
      <c r="L43" s="340">
        <v>6</v>
      </c>
      <c r="M43" s="340"/>
      <c r="N43" s="339">
        <v>39994</v>
      </c>
      <c r="O43" s="340">
        <v>6</v>
      </c>
    </row>
    <row r="44" spans="8:15" x14ac:dyDescent="0.25">
      <c r="H44" s="1002" t="s">
        <v>397</v>
      </c>
      <c r="I44" s="1002"/>
      <c r="K44" s="339">
        <v>40025</v>
      </c>
      <c r="L44" s="340">
        <v>5</v>
      </c>
      <c r="M44" s="340"/>
      <c r="N44" s="339">
        <v>40025</v>
      </c>
      <c r="O44" s="340">
        <v>5</v>
      </c>
    </row>
    <row r="45" spans="8:15" x14ac:dyDescent="0.25">
      <c r="K45" s="339">
        <v>40056</v>
      </c>
      <c r="L45" s="340">
        <v>4</v>
      </c>
      <c r="M45" s="340"/>
      <c r="N45" s="339">
        <v>40056</v>
      </c>
      <c r="O45" s="340">
        <v>4</v>
      </c>
    </row>
    <row r="46" spans="8:15" x14ac:dyDescent="0.25">
      <c r="K46" s="339">
        <v>40086</v>
      </c>
      <c r="L46" s="340">
        <v>4</v>
      </c>
      <c r="M46" s="340"/>
      <c r="N46" s="339">
        <v>40086</v>
      </c>
      <c r="O46" s="340">
        <v>4</v>
      </c>
    </row>
    <row r="47" spans="8:15" x14ac:dyDescent="0.25">
      <c r="K47" s="339">
        <v>40117</v>
      </c>
      <c r="L47" s="340">
        <v>3</v>
      </c>
      <c r="M47" s="340"/>
      <c r="N47" s="339">
        <v>40117</v>
      </c>
      <c r="O47" s="340">
        <v>3</v>
      </c>
    </row>
    <row r="48" spans="8:15" x14ac:dyDescent="0.25">
      <c r="K48" s="339">
        <v>40147</v>
      </c>
      <c r="L48" s="340">
        <v>3</v>
      </c>
      <c r="M48" s="340"/>
      <c r="N48" s="339">
        <v>40147</v>
      </c>
      <c r="O48" s="340">
        <v>3</v>
      </c>
    </row>
    <row r="49" spans="11:15" x14ac:dyDescent="0.25">
      <c r="K49" s="339">
        <v>40178</v>
      </c>
      <c r="L49" s="340">
        <v>2</v>
      </c>
      <c r="M49" s="340"/>
      <c r="N49" s="339">
        <v>40178</v>
      </c>
      <c r="O49" s="340">
        <v>2</v>
      </c>
    </row>
    <row r="50" spans="11:15" x14ac:dyDescent="0.25">
      <c r="K50" s="339">
        <v>40209</v>
      </c>
      <c r="L50" s="340">
        <v>1</v>
      </c>
      <c r="M50" s="340"/>
      <c r="N50" s="339">
        <v>40209</v>
      </c>
      <c r="O50" s="340">
        <v>1</v>
      </c>
    </row>
    <row r="51" spans="11:15" x14ac:dyDescent="0.25">
      <c r="K51" s="339">
        <v>40237</v>
      </c>
      <c r="L51" s="340">
        <v>1</v>
      </c>
      <c r="M51" s="340"/>
      <c r="N51" s="339">
        <v>40237</v>
      </c>
      <c r="O51" s="340">
        <v>1</v>
      </c>
    </row>
    <row r="52" spans="11:15" x14ac:dyDescent="0.25">
      <c r="K52" s="339">
        <v>40268</v>
      </c>
      <c r="L52" s="340">
        <v>1</v>
      </c>
      <c r="M52" s="340"/>
      <c r="N52" s="339">
        <v>40268</v>
      </c>
      <c r="O52" s="340">
        <v>1</v>
      </c>
    </row>
    <row r="53" spans="11:15" x14ac:dyDescent="0.25">
      <c r="K53" s="339">
        <v>40298</v>
      </c>
      <c r="L53" s="340">
        <v>2</v>
      </c>
      <c r="M53" s="340"/>
      <c r="N53" s="339">
        <v>40298</v>
      </c>
      <c r="O53" s="340">
        <v>2</v>
      </c>
    </row>
    <row r="54" spans="11:15" x14ac:dyDescent="0.25">
      <c r="K54" s="339">
        <v>40329</v>
      </c>
      <c r="L54" s="340">
        <v>2</v>
      </c>
      <c r="M54" s="340"/>
      <c r="N54" s="339">
        <v>40329</v>
      </c>
      <c r="O54" s="340">
        <v>2</v>
      </c>
    </row>
    <row r="55" spans="11:15" x14ac:dyDescent="0.25">
      <c r="K55" s="339">
        <v>40359</v>
      </c>
      <c r="L55" s="340">
        <v>1</v>
      </c>
      <c r="M55" s="340"/>
      <c r="N55" s="339">
        <v>40359</v>
      </c>
      <c r="O55" s="340">
        <v>1</v>
      </c>
    </row>
    <row r="56" spans="11:15" x14ac:dyDescent="0.25">
      <c r="K56" s="339">
        <v>40390</v>
      </c>
      <c r="L56" s="340">
        <v>1</v>
      </c>
      <c r="M56" s="340"/>
      <c r="N56" s="339">
        <v>40390</v>
      </c>
      <c r="O56" s="340">
        <v>1</v>
      </c>
    </row>
    <row r="57" spans="11:15" x14ac:dyDescent="0.25">
      <c r="K57" s="339">
        <v>40421</v>
      </c>
      <c r="L57" s="340">
        <v>4</v>
      </c>
      <c r="M57" s="340"/>
      <c r="N57" s="339">
        <v>40421</v>
      </c>
      <c r="O57" s="340">
        <v>4</v>
      </c>
    </row>
    <row r="58" spans="11:15" x14ac:dyDescent="0.25">
      <c r="K58" s="339">
        <v>40451</v>
      </c>
      <c r="L58" s="340">
        <v>3</v>
      </c>
      <c r="M58" s="340"/>
      <c r="N58" s="339">
        <v>40451</v>
      </c>
      <c r="O58" s="340">
        <v>3</v>
      </c>
    </row>
    <row r="59" spans="11:15" x14ac:dyDescent="0.25">
      <c r="K59" s="339">
        <v>40482</v>
      </c>
      <c r="L59" s="340">
        <v>4</v>
      </c>
      <c r="M59" s="340"/>
      <c r="N59" s="339">
        <v>40482</v>
      </c>
      <c r="O59" s="340">
        <v>4</v>
      </c>
    </row>
    <row r="60" spans="11:15" x14ac:dyDescent="0.25">
      <c r="K60" s="339">
        <v>40512</v>
      </c>
      <c r="L60" s="340">
        <v>3</v>
      </c>
      <c r="M60" s="340"/>
      <c r="N60" s="339">
        <v>40512</v>
      </c>
      <c r="O60" s="340">
        <v>3</v>
      </c>
    </row>
    <row r="61" spans="11:15" x14ac:dyDescent="0.25">
      <c r="K61" s="339">
        <v>40543</v>
      </c>
      <c r="L61" s="340">
        <v>1</v>
      </c>
      <c r="M61" s="340"/>
      <c r="N61" s="339">
        <v>40543</v>
      </c>
      <c r="O61" s="340">
        <v>1</v>
      </c>
    </row>
    <row r="62" spans="11:15" x14ac:dyDescent="0.25">
      <c r="K62" s="339">
        <v>40574</v>
      </c>
      <c r="L62" s="340">
        <v>3</v>
      </c>
      <c r="M62" s="340"/>
      <c r="N62" s="339">
        <v>40574</v>
      </c>
      <c r="O62" s="340">
        <v>3</v>
      </c>
    </row>
    <row r="63" spans="11:15" x14ac:dyDescent="0.25">
      <c r="K63" s="339">
        <v>40602</v>
      </c>
      <c r="L63" s="340">
        <v>2</v>
      </c>
      <c r="M63" s="340"/>
      <c r="N63" s="339">
        <v>40602</v>
      </c>
      <c r="O63" s="340">
        <v>2</v>
      </c>
    </row>
    <row r="64" spans="11:15" x14ac:dyDescent="0.25">
      <c r="K64" s="339">
        <v>40633</v>
      </c>
      <c r="L64" s="340">
        <v>2</v>
      </c>
      <c r="M64" s="340"/>
      <c r="N64" s="339">
        <v>40633</v>
      </c>
      <c r="O64" s="340">
        <v>2</v>
      </c>
    </row>
    <row r="65" spans="11:15" x14ac:dyDescent="0.25">
      <c r="K65" s="339">
        <v>40663</v>
      </c>
      <c r="L65" s="340">
        <v>3</v>
      </c>
      <c r="M65" s="340"/>
      <c r="N65" s="339">
        <v>40663</v>
      </c>
      <c r="O65" s="340">
        <v>3</v>
      </c>
    </row>
    <row r="66" spans="11:15" x14ac:dyDescent="0.25">
      <c r="K66" s="339">
        <v>40694</v>
      </c>
      <c r="L66" s="340">
        <v>4</v>
      </c>
      <c r="M66" s="340"/>
      <c r="N66" s="339">
        <v>40694</v>
      </c>
      <c r="O66" s="340">
        <v>4</v>
      </c>
    </row>
    <row r="67" spans="11:15" x14ac:dyDescent="0.25">
      <c r="K67" s="339">
        <v>40724</v>
      </c>
      <c r="L67" s="340">
        <v>5</v>
      </c>
      <c r="M67" s="340"/>
      <c r="N67" s="339">
        <v>40724</v>
      </c>
      <c r="O67" s="340">
        <v>5</v>
      </c>
    </row>
    <row r="68" spans="11:15" x14ac:dyDescent="0.25">
      <c r="K68" s="339">
        <v>40755</v>
      </c>
      <c r="L68" s="340">
        <v>5</v>
      </c>
      <c r="M68" s="340"/>
      <c r="N68" s="339">
        <v>40755</v>
      </c>
      <c r="O68" s="340">
        <v>5</v>
      </c>
    </row>
    <row r="69" spans="11:15" x14ac:dyDescent="0.25">
      <c r="K69" s="341">
        <v>40786</v>
      </c>
      <c r="L69" s="340">
        <v>4</v>
      </c>
      <c r="M69" s="340"/>
      <c r="N69" s="341">
        <v>40786</v>
      </c>
      <c r="O69" s="340">
        <v>4</v>
      </c>
    </row>
    <row r="70" spans="11:15" x14ac:dyDescent="0.25">
      <c r="K70" s="339">
        <v>40816</v>
      </c>
      <c r="L70" s="340">
        <v>4</v>
      </c>
      <c r="M70" s="340"/>
      <c r="N70" s="339">
        <v>40816</v>
      </c>
      <c r="O70" s="340">
        <v>4</v>
      </c>
    </row>
    <row r="71" spans="11:15" x14ac:dyDescent="0.25">
      <c r="K71" s="339">
        <v>40847</v>
      </c>
      <c r="L71" s="340">
        <v>3</v>
      </c>
      <c r="M71" s="340"/>
      <c r="N71" s="339">
        <v>40847</v>
      </c>
      <c r="O71" s="340">
        <v>3</v>
      </c>
    </row>
    <row r="72" spans="11:15" x14ac:dyDescent="0.25">
      <c r="K72" s="339">
        <v>40877</v>
      </c>
      <c r="L72" s="340">
        <v>2</v>
      </c>
      <c r="M72" s="340"/>
      <c r="N72" s="339">
        <v>40877</v>
      </c>
      <c r="O72" s="340">
        <v>2</v>
      </c>
    </row>
    <row r="73" spans="11:15" x14ac:dyDescent="0.25">
      <c r="K73" s="339">
        <v>40908</v>
      </c>
      <c r="L73" s="340">
        <v>1</v>
      </c>
      <c r="M73" s="340"/>
      <c r="N73" s="339">
        <v>40908</v>
      </c>
      <c r="O73" s="340">
        <v>1</v>
      </c>
    </row>
    <row r="74" spans="11:15" x14ac:dyDescent="0.25">
      <c r="K74" s="339">
        <v>40939</v>
      </c>
      <c r="L74" s="340">
        <v>2</v>
      </c>
      <c r="M74" s="340"/>
      <c r="N74" s="339">
        <v>40939</v>
      </c>
      <c r="O74" s="340">
        <v>2</v>
      </c>
    </row>
    <row r="75" spans="11:15" x14ac:dyDescent="0.25">
      <c r="K75" s="339">
        <v>40968</v>
      </c>
      <c r="L75" s="340">
        <v>3</v>
      </c>
      <c r="M75" s="340"/>
      <c r="N75" s="339">
        <v>40968</v>
      </c>
      <c r="O75" s="340">
        <v>3</v>
      </c>
    </row>
    <row r="76" spans="11:15" x14ac:dyDescent="0.25">
      <c r="K76" s="339">
        <v>40999</v>
      </c>
      <c r="L76" s="340">
        <v>2</v>
      </c>
      <c r="M76" s="340"/>
      <c r="N76" s="339">
        <v>40999</v>
      </c>
      <c r="O76" s="340">
        <v>2</v>
      </c>
    </row>
    <row r="77" spans="11:15" x14ac:dyDescent="0.25">
      <c r="K77" s="339">
        <v>41029</v>
      </c>
      <c r="L77" s="340">
        <v>3</v>
      </c>
      <c r="M77" s="340"/>
      <c r="N77" s="339">
        <v>41029</v>
      </c>
      <c r="O77" s="340">
        <v>3</v>
      </c>
    </row>
    <row r="78" spans="11:15" x14ac:dyDescent="0.25">
      <c r="K78" s="339">
        <v>41060</v>
      </c>
      <c r="L78" s="340">
        <v>9</v>
      </c>
      <c r="M78" s="340"/>
      <c r="N78" s="339">
        <v>41060</v>
      </c>
      <c r="O78" s="340">
        <v>9</v>
      </c>
    </row>
    <row r="79" spans="11:15" x14ac:dyDescent="0.25">
      <c r="K79" s="339">
        <v>41090</v>
      </c>
      <c r="L79" s="340">
        <v>7</v>
      </c>
      <c r="M79" s="340"/>
      <c r="N79" s="339">
        <v>41090</v>
      </c>
      <c r="O79" s="340">
        <v>7</v>
      </c>
    </row>
    <row r="80" spans="11:15" x14ac:dyDescent="0.25">
      <c r="K80" s="339">
        <v>41121</v>
      </c>
      <c r="L80" s="340">
        <v>7</v>
      </c>
      <c r="M80" s="340"/>
      <c r="N80" s="339">
        <v>41121</v>
      </c>
      <c r="O80" s="340">
        <v>7</v>
      </c>
    </row>
    <row r="81" spans="11:15" x14ac:dyDescent="0.25">
      <c r="K81" s="339">
        <v>41152</v>
      </c>
      <c r="L81" s="340">
        <v>7</v>
      </c>
      <c r="M81" s="340"/>
      <c r="N81" s="339">
        <v>41152</v>
      </c>
      <c r="O81" s="340">
        <v>7</v>
      </c>
    </row>
    <row r="82" spans="11:15" x14ac:dyDescent="0.25">
      <c r="K82" s="339">
        <v>41182</v>
      </c>
      <c r="L82" s="340">
        <v>6</v>
      </c>
      <c r="M82" s="340"/>
      <c r="N82" s="339">
        <v>41182</v>
      </c>
      <c r="O82" s="340">
        <v>6</v>
      </c>
    </row>
    <row r="83" spans="11:15" x14ac:dyDescent="0.25">
      <c r="K83" s="339">
        <v>41213</v>
      </c>
      <c r="L83" s="340">
        <v>5</v>
      </c>
      <c r="M83" s="340"/>
      <c r="N83" s="339">
        <v>41213</v>
      </c>
      <c r="O83" s="340">
        <v>5</v>
      </c>
    </row>
    <row r="84" spans="11:15" x14ac:dyDescent="0.25">
      <c r="K84" s="339">
        <v>41243</v>
      </c>
      <c r="L84" s="340">
        <v>4</v>
      </c>
      <c r="M84" s="340"/>
      <c r="N84" s="339">
        <v>41243</v>
      </c>
      <c r="O84" s="340">
        <v>4</v>
      </c>
    </row>
    <row r="85" spans="11:15" x14ac:dyDescent="0.25">
      <c r="K85" s="339">
        <v>41274</v>
      </c>
      <c r="L85" s="340">
        <v>3</v>
      </c>
      <c r="M85" s="340"/>
      <c r="N85" s="339">
        <v>41274</v>
      </c>
      <c r="O85" s="340">
        <v>3</v>
      </c>
    </row>
    <row r="86" spans="11:15" x14ac:dyDescent="0.25">
      <c r="K86" s="339">
        <v>41305</v>
      </c>
      <c r="L86" s="340">
        <v>3</v>
      </c>
      <c r="M86" s="340"/>
      <c r="N86" s="339">
        <v>41305</v>
      </c>
      <c r="O86" s="340">
        <v>3</v>
      </c>
    </row>
    <row r="87" spans="11:15" x14ac:dyDescent="0.25">
      <c r="K87" s="339">
        <v>41333</v>
      </c>
      <c r="L87" s="340">
        <v>9</v>
      </c>
      <c r="M87" s="340"/>
      <c r="N87" s="339">
        <v>41333</v>
      </c>
      <c r="O87" s="340">
        <v>9</v>
      </c>
    </row>
    <row r="88" spans="11:15" x14ac:dyDescent="0.25">
      <c r="K88" s="339">
        <v>41364</v>
      </c>
      <c r="L88" s="340">
        <v>10</v>
      </c>
      <c r="M88" s="340"/>
      <c r="N88" s="339">
        <v>41364</v>
      </c>
      <c r="O88" s="340">
        <v>10</v>
      </c>
    </row>
    <row r="89" spans="11:15" x14ac:dyDescent="0.25">
      <c r="K89" s="339">
        <v>41394</v>
      </c>
      <c r="L89" s="340">
        <v>9</v>
      </c>
      <c r="M89" s="340"/>
      <c r="N89" s="339">
        <v>41394</v>
      </c>
      <c r="O89" s="340">
        <v>9</v>
      </c>
    </row>
    <row r="90" spans="11:15" x14ac:dyDescent="0.25">
      <c r="K90" s="339">
        <v>41425</v>
      </c>
      <c r="L90" s="340">
        <v>10</v>
      </c>
      <c r="M90" s="340"/>
      <c r="N90" s="339">
        <v>41425</v>
      </c>
      <c r="O90" s="340">
        <v>10</v>
      </c>
    </row>
    <row r="91" spans="11:15" x14ac:dyDescent="0.25">
      <c r="K91" s="339">
        <v>41455</v>
      </c>
      <c r="L91" s="340">
        <v>9</v>
      </c>
      <c r="M91" s="340"/>
      <c r="N91" s="339">
        <v>41455</v>
      </c>
      <c r="O91" s="340">
        <v>9</v>
      </c>
    </row>
    <row r="92" spans="11:15" x14ac:dyDescent="0.25">
      <c r="K92" s="339">
        <v>41486</v>
      </c>
      <c r="L92" s="340">
        <v>8</v>
      </c>
      <c r="M92" s="340"/>
      <c r="N92" s="339">
        <v>41486</v>
      </c>
      <c r="O92" s="340">
        <v>8</v>
      </c>
    </row>
    <row r="93" spans="11:15" x14ac:dyDescent="0.25">
      <c r="K93" s="339">
        <v>41517</v>
      </c>
      <c r="L93" s="340">
        <v>7</v>
      </c>
      <c r="M93" s="340"/>
      <c r="N93" s="339">
        <v>41517</v>
      </c>
      <c r="O93" s="340">
        <v>7</v>
      </c>
    </row>
    <row r="94" spans="11:15" x14ac:dyDescent="0.25">
      <c r="K94" s="339">
        <v>41547</v>
      </c>
      <c r="L94" s="340">
        <v>6</v>
      </c>
      <c r="M94" s="340"/>
      <c r="N94" s="339">
        <v>41547</v>
      </c>
      <c r="O94" s="340">
        <v>6</v>
      </c>
    </row>
    <row r="95" spans="11:15" x14ac:dyDescent="0.25">
      <c r="K95" s="339">
        <v>41578</v>
      </c>
      <c r="L95" s="340">
        <v>6</v>
      </c>
      <c r="M95" s="340"/>
      <c r="N95" s="339">
        <v>41578</v>
      </c>
      <c r="O95" s="340">
        <v>6</v>
      </c>
    </row>
    <row r="96" spans="11:15" x14ac:dyDescent="0.25">
      <c r="K96" s="339">
        <v>41608</v>
      </c>
      <c r="L96" s="340">
        <v>6</v>
      </c>
      <c r="M96" s="340"/>
      <c r="N96" s="339">
        <v>41608</v>
      </c>
      <c r="O96" s="340">
        <v>6</v>
      </c>
    </row>
    <row r="97" spans="11:15" x14ac:dyDescent="0.25">
      <c r="K97" s="339">
        <v>41639</v>
      </c>
      <c r="L97" s="340">
        <v>4</v>
      </c>
      <c r="M97" s="340"/>
      <c r="N97" s="339">
        <v>41639</v>
      </c>
      <c r="O97" s="340">
        <v>4</v>
      </c>
    </row>
    <row r="98" spans="11:15" x14ac:dyDescent="0.25">
      <c r="K98" s="339">
        <v>41670</v>
      </c>
      <c r="L98" s="340">
        <v>9</v>
      </c>
      <c r="M98" s="340"/>
      <c r="N98" s="339">
        <v>41670</v>
      </c>
      <c r="O98" s="340">
        <v>9</v>
      </c>
    </row>
    <row r="99" spans="11:15" x14ac:dyDescent="0.25">
      <c r="K99" s="339">
        <v>41698</v>
      </c>
      <c r="L99" s="340">
        <v>10</v>
      </c>
      <c r="M99" s="340"/>
      <c r="N99" s="339">
        <v>41698</v>
      </c>
      <c r="O99" s="340">
        <v>10</v>
      </c>
    </row>
    <row r="100" spans="11:15" x14ac:dyDescent="0.25">
      <c r="K100" s="339">
        <v>41729</v>
      </c>
      <c r="L100" s="340">
        <v>9</v>
      </c>
      <c r="M100" s="340"/>
      <c r="N100" s="339">
        <v>41729</v>
      </c>
      <c r="O100" s="340">
        <v>9</v>
      </c>
    </row>
    <row r="101" spans="11:15" x14ac:dyDescent="0.25">
      <c r="K101" s="339">
        <v>41759</v>
      </c>
      <c r="L101" s="340">
        <v>10</v>
      </c>
      <c r="M101" s="340"/>
      <c r="N101" s="339">
        <v>41759</v>
      </c>
      <c r="O101" s="340">
        <v>10</v>
      </c>
    </row>
    <row r="102" spans="11:15" x14ac:dyDescent="0.25">
      <c r="K102" s="339">
        <v>41790</v>
      </c>
      <c r="L102" s="340">
        <v>8</v>
      </c>
      <c r="M102" s="340"/>
      <c r="N102" s="339">
        <v>41790</v>
      </c>
      <c r="O102" s="340">
        <v>8</v>
      </c>
    </row>
    <row r="103" spans="11:15" x14ac:dyDescent="0.25">
      <c r="K103" s="339">
        <v>41820</v>
      </c>
      <c r="L103" s="340">
        <v>7</v>
      </c>
      <c r="M103" s="340"/>
      <c r="N103" s="339">
        <v>41820</v>
      </c>
      <c r="O103" s="340">
        <v>7</v>
      </c>
    </row>
    <row r="104" spans="11:15" x14ac:dyDescent="0.25">
      <c r="K104" s="339">
        <v>41851</v>
      </c>
      <c r="L104" s="340">
        <v>6</v>
      </c>
      <c r="M104" s="340"/>
      <c r="N104" s="339">
        <v>41851</v>
      </c>
      <c r="O104" s="340">
        <v>6</v>
      </c>
    </row>
    <row r="105" spans="11:15" x14ac:dyDescent="0.25">
      <c r="K105" s="339">
        <v>41882</v>
      </c>
      <c r="L105" s="340">
        <v>5</v>
      </c>
      <c r="M105" s="340"/>
      <c r="N105" s="339">
        <v>41882</v>
      </c>
      <c r="O105" s="340">
        <v>5</v>
      </c>
    </row>
    <row r="106" spans="11:15" x14ac:dyDescent="0.25">
      <c r="K106" s="339">
        <v>41912</v>
      </c>
      <c r="L106" s="340">
        <v>7</v>
      </c>
      <c r="M106" s="340"/>
      <c r="N106" s="339">
        <v>41912</v>
      </c>
      <c r="O106" s="340">
        <v>7</v>
      </c>
    </row>
    <row r="107" spans="11:15" x14ac:dyDescent="0.25">
      <c r="K107" s="339">
        <v>41943</v>
      </c>
      <c r="L107" s="340">
        <v>4</v>
      </c>
      <c r="M107" s="340"/>
      <c r="N107" s="339">
        <v>41943</v>
      </c>
      <c r="O107" s="340">
        <v>4</v>
      </c>
    </row>
    <row r="108" spans="11:15" x14ac:dyDescent="0.25">
      <c r="K108" s="339">
        <v>41973</v>
      </c>
      <c r="L108" s="340">
        <v>6</v>
      </c>
      <c r="M108" s="340"/>
      <c r="N108" s="339">
        <v>41973</v>
      </c>
      <c r="O108" s="340">
        <v>6</v>
      </c>
    </row>
    <row r="109" spans="11:15" x14ac:dyDescent="0.25">
      <c r="K109" s="339">
        <v>42004</v>
      </c>
      <c r="L109" s="340">
        <v>1</v>
      </c>
      <c r="M109" s="340"/>
      <c r="N109" s="339">
        <v>42004</v>
      </c>
      <c r="O109" s="340">
        <v>1</v>
      </c>
    </row>
    <row r="110" spans="11:15" x14ac:dyDescent="0.25">
      <c r="K110" s="339">
        <v>42035</v>
      </c>
      <c r="L110" s="340">
        <v>1</v>
      </c>
      <c r="M110" s="340"/>
      <c r="N110" s="339">
        <v>42035</v>
      </c>
      <c r="O110" s="340">
        <v>1</v>
      </c>
    </row>
    <row r="111" spans="11:15" x14ac:dyDescent="0.25">
      <c r="K111" s="339">
        <v>42063</v>
      </c>
      <c r="L111" s="340">
        <v>8</v>
      </c>
      <c r="M111" s="340"/>
      <c r="N111" s="339">
        <v>42063</v>
      </c>
      <c r="O111" s="340">
        <v>8</v>
      </c>
    </row>
    <row r="112" spans="11:15" x14ac:dyDescent="0.25">
      <c r="K112" s="339">
        <v>42094</v>
      </c>
      <c r="L112" s="340">
        <v>7</v>
      </c>
      <c r="M112" s="340"/>
      <c r="N112" s="339">
        <v>42094</v>
      </c>
      <c r="O112" s="340">
        <v>7</v>
      </c>
    </row>
    <row r="113" spans="11:15" x14ac:dyDescent="0.25">
      <c r="K113" s="339">
        <v>42124</v>
      </c>
      <c r="L113" s="340">
        <v>7</v>
      </c>
      <c r="M113" s="340"/>
      <c r="N113" s="339">
        <v>42124</v>
      </c>
      <c r="O113" s="340">
        <v>7</v>
      </c>
    </row>
    <row r="114" spans="11:15" x14ac:dyDescent="0.25">
      <c r="K114" s="339">
        <v>42155</v>
      </c>
      <c r="L114" s="340">
        <v>6</v>
      </c>
      <c r="M114" s="340"/>
      <c r="N114" s="339">
        <v>42155</v>
      </c>
      <c r="O114" s="340">
        <v>6</v>
      </c>
    </row>
    <row r="115" spans="11:15" x14ac:dyDescent="0.25">
      <c r="K115" s="339">
        <v>42185</v>
      </c>
      <c r="L115" s="340">
        <v>8</v>
      </c>
      <c r="M115" s="340"/>
      <c r="N115" s="339">
        <v>42185</v>
      </c>
      <c r="O115" s="340">
        <v>8</v>
      </c>
    </row>
    <row r="116" spans="11:15" x14ac:dyDescent="0.25">
      <c r="K116" s="339">
        <v>42216</v>
      </c>
      <c r="L116" s="340">
        <v>7</v>
      </c>
      <c r="M116" s="340"/>
      <c r="N116" s="339">
        <v>42216</v>
      </c>
      <c r="O116" s="340">
        <v>7</v>
      </c>
    </row>
    <row r="117" spans="11:15" x14ac:dyDescent="0.25">
      <c r="K117" s="339">
        <v>42247</v>
      </c>
      <c r="L117" s="340">
        <v>6</v>
      </c>
      <c r="M117" s="340"/>
      <c r="N117" s="339">
        <v>42247</v>
      </c>
      <c r="O117" s="340">
        <v>6</v>
      </c>
    </row>
    <row r="118" spans="11:15" x14ac:dyDescent="0.25">
      <c r="K118" s="339">
        <v>42277</v>
      </c>
      <c r="L118" s="340">
        <v>5</v>
      </c>
      <c r="M118" s="340"/>
      <c r="N118" s="339">
        <v>42277</v>
      </c>
      <c r="O118" s="340">
        <v>5</v>
      </c>
    </row>
    <row r="119" spans="11:15" x14ac:dyDescent="0.25">
      <c r="K119" s="339">
        <v>42308</v>
      </c>
      <c r="L119" s="340">
        <v>4</v>
      </c>
      <c r="M119" s="340"/>
      <c r="N119" s="339">
        <v>42308</v>
      </c>
      <c r="O119" s="340">
        <v>4</v>
      </c>
    </row>
    <row r="120" spans="11:15" x14ac:dyDescent="0.25">
      <c r="K120" s="339">
        <v>42338</v>
      </c>
      <c r="L120" s="340">
        <v>5</v>
      </c>
      <c r="M120" s="340"/>
      <c r="N120" s="339">
        <v>42338</v>
      </c>
      <c r="O120" s="340">
        <v>5</v>
      </c>
    </row>
    <row r="121" spans="11:15" x14ac:dyDescent="0.25">
      <c r="K121" s="339">
        <v>42369</v>
      </c>
      <c r="L121" s="340">
        <v>2</v>
      </c>
      <c r="M121" s="340"/>
      <c r="N121" s="339">
        <v>42369</v>
      </c>
      <c r="O121" s="340">
        <v>2</v>
      </c>
    </row>
    <row r="122" spans="11:15" x14ac:dyDescent="0.25">
      <c r="K122" s="339">
        <v>42400</v>
      </c>
      <c r="L122" s="340">
        <v>3</v>
      </c>
      <c r="M122" s="340"/>
      <c r="N122" s="339">
        <v>42400</v>
      </c>
      <c r="O122" s="340">
        <v>3</v>
      </c>
    </row>
    <row r="123" spans="11:15" x14ac:dyDescent="0.25">
      <c r="K123" s="339">
        <v>42429</v>
      </c>
      <c r="L123" s="340">
        <v>4</v>
      </c>
      <c r="M123" s="340"/>
      <c r="N123" s="339">
        <v>42429</v>
      </c>
      <c r="O123" s="340">
        <v>4</v>
      </c>
    </row>
    <row r="124" spans="11:15" x14ac:dyDescent="0.25">
      <c r="K124" s="341">
        <v>42460</v>
      </c>
      <c r="L124" s="342">
        <v>4</v>
      </c>
      <c r="M124" s="342"/>
      <c r="N124" s="341">
        <v>42460</v>
      </c>
      <c r="O124" s="342">
        <v>4</v>
      </c>
    </row>
    <row r="125" spans="11:15" x14ac:dyDescent="0.25">
      <c r="K125" s="339">
        <v>42490</v>
      </c>
      <c r="L125" s="340">
        <v>6</v>
      </c>
      <c r="M125" s="340"/>
      <c r="N125" s="339">
        <v>42490</v>
      </c>
      <c r="O125" s="340">
        <v>6</v>
      </c>
    </row>
    <row r="126" spans="11:15" x14ac:dyDescent="0.25">
      <c r="K126" s="339">
        <v>42521</v>
      </c>
      <c r="L126" s="340">
        <v>6</v>
      </c>
      <c r="M126" s="340"/>
      <c r="N126" s="339">
        <v>42521</v>
      </c>
      <c r="O126" s="340">
        <v>6</v>
      </c>
    </row>
    <row r="127" spans="11:15" x14ac:dyDescent="0.25">
      <c r="K127" s="339">
        <v>42551</v>
      </c>
      <c r="L127" s="340">
        <v>7</v>
      </c>
      <c r="M127" s="340"/>
      <c r="N127" s="339">
        <v>42551</v>
      </c>
      <c r="O127" s="340">
        <v>7</v>
      </c>
    </row>
    <row r="128" spans="11:15" x14ac:dyDescent="0.25">
      <c r="K128" s="339">
        <v>42582</v>
      </c>
      <c r="L128" s="340">
        <v>6</v>
      </c>
      <c r="M128" s="340"/>
      <c r="N128" s="339">
        <v>42582</v>
      </c>
      <c r="O128" s="340">
        <v>6</v>
      </c>
    </row>
    <row r="129" spans="11:15" x14ac:dyDescent="0.25">
      <c r="K129" s="343">
        <v>42613</v>
      </c>
      <c r="L129" s="344">
        <v>5</v>
      </c>
      <c r="M129" s="344"/>
      <c r="N129" s="343">
        <v>42613</v>
      </c>
      <c r="O129" s="344">
        <v>5</v>
      </c>
    </row>
    <row r="130" spans="11:15" x14ac:dyDescent="0.25">
      <c r="K130" s="339">
        <v>42643</v>
      </c>
      <c r="L130" s="340">
        <v>3</v>
      </c>
      <c r="M130" s="340"/>
      <c r="N130" s="339">
        <v>42643</v>
      </c>
      <c r="O130" s="340">
        <v>3</v>
      </c>
    </row>
    <row r="131" spans="11:15" x14ac:dyDescent="0.25">
      <c r="K131" s="339">
        <v>42674</v>
      </c>
      <c r="L131" s="340">
        <v>2</v>
      </c>
      <c r="M131" s="340"/>
      <c r="N131" s="339">
        <v>42674</v>
      </c>
      <c r="O131" s="340">
        <v>2</v>
      </c>
    </row>
    <row r="132" spans="11:15" x14ac:dyDescent="0.25">
      <c r="K132" s="339">
        <v>42704</v>
      </c>
      <c r="L132" s="340">
        <v>2</v>
      </c>
      <c r="M132" s="340"/>
      <c r="N132" s="339">
        <v>42704</v>
      </c>
      <c r="O132" s="340">
        <v>2</v>
      </c>
    </row>
    <row r="133" spans="11:15" x14ac:dyDescent="0.25">
      <c r="K133" s="339">
        <v>42735</v>
      </c>
      <c r="L133" s="340">
        <v>1</v>
      </c>
      <c r="M133" s="340"/>
      <c r="N133" s="339">
        <v>42735</v>
      </c>
      <c r="O133" s="340">
        <v>1</v>
      </c>
    </row>
    <row r="134" spans="11:15" x14ac:dyDescent="0.25">
      <c r="K134" s="339">
        <v>42766</v>
      </c>
      <c r="L134" s="340">
        <v>2</v>
      </c>
      <c r="M134" s="340"/>
      <c r="N134" s="339">
        <v>42766</v>
      </c>
      <c r="O134" s="340">
        <v>2</v>
      </c>
    </row>
    <row r="135" spans="11:15" x14ac:dyDescent="0.25">
      <c r="K135" s="339">
        <v>42794</v>
      </c>
      <c r="L135" s="340">
        <v>3</v>
      </c>
      <c r="M135" s="340"/>
      <c r="N135" s="339">
        <v>42794</v>
      </c>
      <c r="O135" s="340">
        <v>3</v>
      </c>
    </row>
    <row r="136" spans="11:15" x14ac:dyDescent="0.25">
      <c r="K136" s="339">
        <v>42825</v>
      </c>
      <c r="L136" s="340">
        <v>8</v>
      </c>
      <c r="M136" s="340"/>
      <c r="N136" s="339">
        <v>42825</v>
      </c>
      <c r="O136" s="340">
        <v>8</v>
      </c>
    </row>
    <row r="137" spans="11:15" x14ac:dyDescent="0.25">
      <c r="K137" s="339">
        <v>42855</v>
      </c>
      <c r="L137" s="340">
        <v>6</v>
      </c>
      <c r="M137" s="340"/>
      <c r="N137" s="339">
        <v>42855</v>
      </c>
      <c r="O137" s="340">
        <v>6</v>
      </c>
    </row>
    <row r="138" spans="11:15" x14ac:dyDescent="0.25">
      <c r="K138" s="339">
        <v>42886</v>
      </c>
      <c r="L138" s="340">
        <v>6</v>
      </c>
      <c r="M138" s="340"/>
      <c r="N138" s="339">
        <v>42886</v>
      </c>
      <c r="O138" s="340">
        <v>6</v>
      </c>
    </row>
    <row r="139" spans="11:15" x14ac:dyDescent="0.25">
      <c r="K139" s="339">
        <v>42916</v>
      </c>
      <c r="L139" s="340">
        <v>5</v>
      </c>
      <c r="M139" s="340"/>
      <c r="N139" s="339">
        <v>42916</v>
      </c>
      <c r="O139" s="340">
        <v>5</v>
      </c>
    </row>
    <row r="140" spans="11:15" x14ac:dyDescent="0.25">
      <c r="K140" s="339">
        <v>42947</v>
      </c>
      <c r="L140" s="340">
        <v>6</v>
      </c>
      <c r="M140" s="340"/>
      <c r="N140" s="339">
        <v>42947</v>
      </c>
      <c r="O140" s="340">
        <v>6</v>
      </c>
    </row>
    <row r="141" spans="11:15" x14ac:dyDescent="0.25">
      <c r="K141" s="339">
        <v>42978</v>
      </c>
      <c r="L141" s="340">
        <v>5</v>
      </c>
      <c r="M141" s="340"/>
      <c r="N141" s="339">
        <v>42978</v>
      </c>
      <c r="O141" s="340">
        <v>5</v>
      </c>
    </row>
    <row r="142" spans="11:15" x14ac:dyDescent="0.25">
      <c r="K142" s="339">
        <v>43008</v>
      </c>
      <c r="L142" s="340">
        <v>6</v>
      </c>
      <c r="M142" s="340"/>
      <c r="N142" s="339">
        <v>43008</v>
      </c>
      <c r="O142" s="340">
        <v>6</v>
      </c>
    </row>
    <row r="143" spans="11:15" x14ac:dyDescent="0.25">
      <c r="K143" s="339">
        <v>43039</v>
      </c>
      <c r="L143" s="340">
        <v>7</v>
      </c>
      <c r="M143" s="340"/>
      <c r="N143" s="339">
        <v>43039</v>
      </c>
      <c r="O143" s="340">
        <v>7</v>
      </c>
    </row>
    <row r="144" spans="11:15" x14ac:dyDescent="0.25">
      <c r="K144" s="339">
        <v>43069</v>
      </c>
      <c r="L144" s="340">
        <v>12</v>
      </c>
      <c r="M144" s="340"/>
      <c r="N144" s="339">
        <v>43069</v>
      </c>
      <c r="O144" s="340">
        <v>12</v>
      </c>
    </row>
    <row r="145" spans="11:15" x14ac:dyDescent="0.25">
      <c r="K145" s="339">
        <v>43100</v>
      </c>
      <c r="L145" s="340">
        <v>11</v>
      </c>
      <c r="M145" s="340"/>
      <c r="N145" s="339">
        <v>43100</v>
      </c>
      <c r="O145" s="340">
        <v>11</v>
      </c>
    </row>
    <row r="146" spans="11:15" x14ac:dyDescent="0.25">
      <c r="K146" s="339">
        <v>43131</v>
      </c>
      <c r="L146" s="340">
        <v>9</v>
      </c>
      <c r="M146" s="340"/>
      <c r="N146" s="339">
        <v>43131</v>
      </c>
      <c r="O146" s="340">
        <v>9</v>
      </c>
    </row>
    <row r="147" spans="11:15" x14ac:dyDescent="0.25">
      <c r="K147" s="339">
        <v>43159</v>
      </c>
      <c r="L147" s="340">
        <v>8</v>
      </c>
      <c r="M147" s="340"/>
      <c r="N147" s="339">
        <v>43159</v>
      </c>
      <c r="O147" s="340">
        <v>8</v>
      </c>
    </row>
    <row r="148" spans="11:15" x14ac:dyDescent="0.25">
      <c r="K148" s="339">
        <v>43190</v>
      </c>
      <c r="L148" s="340">
        <v>7</v>
      </c>
      <c r="M148" s="340"/>
      <c r="N148" s="339">
        <v>43190</v>
      </c>
      <c r="O148" s="340">
        <v>7</v>
      </c>
    </row>
    <row r="149" spans="11:15" x14ac:dyDescent="0.25">
      <c r="K149" s="339">
        <v>43220</v>
      </c>
      <c r="L149" s="340">
        <v>6</v>
      </c>
      <c r="M149" s="340"/>
      <c r="N149" s="339">
        <v>43220</v>
      </c>
      <c r="O149" s="340">
        <v>6</v>
      </c>
    </row>
    <row r="150" spans="11:15" x14ac:dyDescent="0.25">
      <c r="K150" s="339">
        <v>43251</v>
      </c>
      <c r="L150" s="340">
        <v>5</v>
      </c>
      <c r="M150" s="340"/>
      <c r="N150" s="339">
        <v>43251</v>
      </c>
      <c r="O150" s="340">
        <v>5</v>
      </c>
    </row>
    <row r="151" spans="11:15" x14ac:dyDescent="0.25">
      <c r="K151" s="339">
        <v>43281</v>
      </c>
      <c r="L151" s="340">
        <v>6</v>
      </c>
      <c r="M151" s="340"/>
      <c r="N151" s="339">
        <v>43281</v>
      </c>
      <c r="O151" s="340">
        <v>6</v>
      </c>
    </row>
    <row r="152" spans="11:15" x14ac:dyDescent="0.25">
      <c r="K152" s="339">
        <v>43312</v>
      </c>
      <c r="L152" s="340">
        <v>4</v>
      </c>
      <c r="M152" s="340"/>
      <c r="N152" s="339">
        <v>43312</v>
      </c>
      <c r="O152" s="340">
        <v>4</v>
      </c>
    </row>
    <row r="153" spans="11:15" x14ac:dyDescent="0.25">
      <c r="K153" s="339">
        <v>43343</v>
      </c>
      <c r="L153" s="340">
        <v>6</v>
      </c>
      <c r="M153" s="340"/>
      <c r="N153" s="339">
        <v>43343</v>
      </c>
      <c r="O153" s="340">
        <v>6</v>
      </c>
    </row>
    <row r="154" spans="11:15" x14ac:dyDescent="0.25">
      <c r="K154" s="339">
        <v>43373</v>
      </c>
      <c r="L154" s="340">
        <v>7</v>
      </c>
      <c r="M154" s="340"/>
      <c r="N154" s="339">
        <v>43373</v>
      </c>
      <c r="O154" s="340">
        <v>7</v>
      </c>
    </row>
    <row r="155" spans="11:15" x14ac:dyDescent="0.25">
      <c r="K155" s="339">
        <v>43404</v>
      </c>
      <c r="L155" s="340">
        <v>6</v>
      </c>
      <c r="M155" s="340"/>
      <c r="N155" s="339">
        <v>43404</v>
      </c>
      <c r="O155" s="340">
        <v>6</v>
      </c>
    </row>
    <row r="156" spans="11:15" x14ac:dyDescent="0.25">
      <c r="K156" s="339">
        <v>43434</v>
      </c>
      <c r="L156" s="340">
        <v>6</v>
      </c>
      <c r="M156" s="340"/>
      <c r="N156" s="339">
        <v>43434</v>
      </c>
      <c r="O156" s="340">
        <v>6</v>
      </c>
    </row>
    <row r="157" spans="11:15" x14ac:dyDescent="0.25">
      <c r="K157" s="339">
        <v>43465</v>
      </c>
      <c r="L157" s="340">
        <v>6</v>
      </c>
      <c r="M157" s="340"/>
      <c r="N157" s="339">
        <v>43465</v>
      </c>
      <c r="O157" s="340">
        <v>6</v>
      </c>
    </row>
    <row r="158" spans="11:15" x14ac:dyDescent="0.25">
      <c r="K158" s="339">
        <v>43496</v>
      </c>
      <c r="L158" s="340">
        <v>6</v>
      </c>
      <c r="M158" s="340"/>
      <c r="N158" s="339">
        <v>43496</v>
      </c>
      <c r="O158" s="340">
        <v>6</v>
      </c>
    </row>
    <row r="159" spans="11:15" x14ac:dyDescent="0.25">
      <c r="K159" s="339">
        <v>43524</v>
      </c>
      <c r="L159" s="340">
        <v>7</v>
      </c>
      <c r="M159" s="340"/>
      <c r="N159" s="339">
        <v>43524</v>
      </c>
      <c r="O159" s="340">
        <v>7</v>
      </c>
    </row>
    <row r="160" spans="11:15" x14ac:dyDescent="0.25">
      <c r="K160" s="339">
        <v>43555</v>
      </c>
      <c r="L160" s="340">
        <v>6</v>
      </c>
      <c r="M160" s="340"/>
      <c r="N160" s="339">
        <v>43555</v>
      </c>
      <c r="O160" s="340">
        <v>6</v>
      </c>
    </row>
    <row r="161" spans="11:15" x14ac:dyDescent="0.25">
      <c r="K161" s="341">
        <v>43585</v>
      </c>
      <c r="L161" s="342">
        <v>6</v>
      </c>
      <c r="M161" s="342"/>
      <c r="N161" s="341">
        <v>43585</v>
      </c>
      <c r="O161" s="342">
        <v>6</v>
      </c>
    </row>
    <row r="162" spans="11:15" x14ac:dyDescent="0.25">
      <c r="K162" s="339">
        <v>43616</v>
      </c>
      <c r="L162" s="340">
        <v>10</v>
      </c>
      <c r="M162" s="340"/>
      <c r="N162" s="339">
        <v>43616</v>
      </c>
      <c r="O162" s="340">
        <v>10</v>
      </c>
    </row>
    <row r="163" spans="11:15" x14ac:dyDescent="0.25">
      <c r="K163" s="339">
        <v>43646</v>
      </c>
      <c r="L163" s="340">
        <v>9</v>
      </c>
      <c r="M163" s="340"/>
      <c r="N163" s="339">
        <v>43646</v>
      </c>
      <c r="O163" s="340">
        <v>9</v>
      </c>
    </row>
    <row r="164" spans="11:15" x14ac:dyDescent="0.25">
      <c r="K164" s="339">
        <v>43677</v>
      </c>
      <c r="L164" s="340">
        <v>8</v>
      </c>
      <c r="M164" s="340"/>
      <c r="N164" s="339">
        <v>43677</v>
      </c>
      <c r="O164" s="340">
        <v>8</v>
      </c>
    </row>
    <row r="165" spans="11:15" x14ac:dyDescent="0.25">
      <c r="K165" s="339">
        <v>43708</v>
      </c>
      <c r="L165" s="340">
        <v>7</v>
      </c>
      <c r="M165" s="340"/>
      <c r="N165" s="339">
        <v>43708</v>
      </c>
      <c r="O165" s="340">
        <v>7</v>
      </c>
    </row>
    <row r="166" spans="11:15" x14ac:dyDescent="0.25">
      <c r="K166" s="339">
        <v>43738</v>
      </c>
      <c r="L166" s="340">
        <v>6</v>
      </c>
      <c r="M166" s="340"/>
      <c r="N166" s="339">
        <v>43738</v>
      </c>
      <c r="O166" s="340">
        <v>6</v>
      </c>
    </row>
    <row r="167" spans="11:15" x14ac:dyDescent="0.25">
      <c r="K167" s="339">
        <v>43769</v>
      </c>
      <c r="L167" s="340">
        <v>5</v>
      </c>
      <c r="M167" s="340"/>
      <c r="N167" s="339">
        <v>43769</v>
      </c>
      <c r="O167" s="340">
        <v>5</v>
      </c>
    </row>
    <row r="168" spans="11:15" x14ac:dyDescent="0.25">
      <c r="K168" s="339">
        <v>43799</v>
      </c>
      <c r="L168" s="340">
        <v>4</v>
      </c>
      <c r="M168" s="340"/>
      <c r="N168" s="339">
        <v>43799</v>
      </c>
      <c r="O168" s="340">
        <v>4</v>
      </c>
    </row>
    <row r="169" spans="11:15" x14ac:dyDescent="0.25">
      <c r="K169" s="339">
        <v>43830</v>
      </c>
      <c r="L169" s="340">
        <v>3</v>
      </c>
      <c r="M169" s="340"/>
      <c r="N169" s="339">
        <v>43830</v>
      </c>
      <c r="O169" s="340">
        <v>3</v>
      </c>
    </row>
    <row r="170" spans="11:15" x14ac:dyDescent="0.25">
      <c r="K170" s="339">
        <v>43861</v>
      </c>
      <c r="L170" s="342">
        <v>2</v>
      </c>
      <c r="M170" s="342"/>
      <c r="N170" s="339">
        <v>43861</v>
      </c>
      <c r="O170" s="342">
        <v>2</v>
      </c>
    </row>
    <row r="171" spans="11:15" x14ac:dyDescent="0.25">
      <c r="K171" s="339">
        <v>43890</v>
      </c>
      <c r="L171" s="342">
        <v>1</v>
      </c>
      <c r="M171" s="342"/>
      <c r="N171" s="339">
        <v>43890</v>
      </c>
      <c r="O171" s="342">
        <v>1</v>
      </c>
    </row>
    <row r="172" spans="11:15" x14ac:dyDescent="0.25">
      <c r="K172" s="339">
        <v>43921</v>
      </c>
      <c r="L172" s="342">
        <v>6</v>
      </c>
      <c r="M172" s="342"/>
      <c r="N172" s="339">
        <v>43921</v>
      </c>
      <c r="O172" s="342">
        <v>6</v>
      </c>
    </row>
    <row r="173" spans="11:15" x14ac:dyDescent="0.25">
      <c r="K173" s="339">
        <v>43951</v>
      </c>
      <c r="L173" s="342">
        <v>7</v>
      </c>
      <c r="M173" s="342"/>
      <c r="N173" s="339">
        <v>43951</v>
      </c>
      <c r="O173" s="342">
        <v>7</v>
      </c>
    </row>
    <row r="174" spans="11:15" x14ac:dyDescent="0.25">
      <c r="K174" s="339">
        <v>43982</v>
      </c>
      <c r="L174" s="342">
        <v>9</v>
      </c>
      <c r="M174" s="342"/>
      <c r="N174" s="339">
        <v>43982</v>
      </c>
      <c r="O174" s="342">
        <v>9</v>
      </c>
    </row>
    <row r="175" spans="11:15" x14ac:dyDescent="0.25">
      <c r="K175" s="339">
        <v>44012</v>
      </c>
      <c r="L175" s="342">
        <v>8</v>
      </c>
      <c r="M175" s="342"/>
      <c r="N175" s="339">
        <v>44012</v>
      </c>
      <c r="O175" s="342">
        <v>8</v>
      </c>
    </row>
    <row r="176" spans="11:15" x14ac:dyDescent="0.25">
      <c r="K176" s="339">
        <v>44043</v>
      </c>
      <c r="L176" s="342">
        <v>7</v>
      </c>
      <c r="M176" s="342"/>
      <c r="N176" s="339">
        <v>44043</v>
      </c>
      <c r="O176" s="342">
        <v>7</v>
      </c>
    </row>
    <row r="177" spans="11:15" x14ac:dyDescent="0.25">
      <c r="K177" s="339">
        <v>44074</v>
      </c>
      <c r="L177" s="342">
        <v>6</v>
      </c>
      <c r="M177" s="342"/>
      <c r="N177" s="339">
        <v>44074</v>
      </c>
      <c r="O177" s="342">
        <v>6</v>
      </c>
    </row>
    <row r="178" spans="11:15" x14ac:dyDescent="0.25">
      <c r="K178" s="339">
        <v>44104</v>
      </c>
      <c r="L178" s="342">
        <v>5</v>
      </c>
      <c r="M178" s="342"/>
      <c r="N178" s="339">
        <v>44104</v>
      </c>
      <c r="O178" s="342">
        <v>5</v>
      </c>
    </row>
    <row r="179" spans="11:15" x14ac:dyDescent="0.25">
      <c r="K179" s="339">
        <v>44135</v>
      </c>
      <c r="L179" s="342">
        <v>11</v>
      </c>
      <c r="M179" s="342"/>
      <c r="N179" s="339">
        <v>44135</v>
      </c>
      <c r="O179" s="342">
        <v>11</v>
      </c>
    </row>
    <row r="180" spans="11:15" x14ac:dyDescent="0.25">
      <c r="K180" s="339">
        <v>44165</v>
      </c>
      <c r="L180" s="342">
        <v>10</v>
      </c>
      <c r="M180" s="342"/>
      <c r="N180" s="339">
        <v>44165</v>
      </c>
      <c r="O180" s="342">
        <v>10</v>
      </c>
    </row>
    <row r="181" spans="11:15" x14ac:dyDescent="0.25">
      <c r="K181" s="339">
        <v>44196</v>
      </c>
      <c r="L181" s="342">
        <v>9</v>
      </c>
      <c r="M181" s="342"/>
      <c r="N181" s="339">
        <v>44196</v>
      </c>
      <c r="O181" s="342">
        <v>9</v>
      </c>
    </row>
    <row r="182" spans="11:15" x14ac:dyDescent="0.25">
      <c r="K182" s="339">
        <v>44227</v>
      </c>
      <c r="L182" s="34">
        <v>9</v>
      </c>
      <c r="N182" s="339">
        <v>44227</v>
      </c>
      <c r="O182" s="34">
        <v>9</v>
      </c>
    </row>
    <row r="183" spans="11:15" x14ac:dyDescent="0.25">
      <c r="K183" s="339">
        <v>44255</v>
      </c>
      <c r="L183" s="34">
        <v>9</v>
      </c>
      <c r="N183" s="339">
        <v>44255</v>
      </c>
      <c r="O183" s="34">
        <v>9</v>
      </c>
    </row>
    <row r="184" spans="11:15" x14ac:dyDescent="0.25">
      <c r="K184" s="339">
        <v>44286</v>
      </c>
      <c r="L184" s="34">
        <v>9</v>
      </c>
      <c r="N184" s="339">
        <v>44286</v>
      </c>
      <c r="O184" s="34">
        <v>9</v>
      </c>
    </row>
    <row r="185" spans="11:15" x14ac:dyDescent="0.25">
      <c r="K185" s="339">
        <v>44316</v>
      </c>
      <c r="L185" s="34">
        <v>9</v>
      </c>
      <c r="N185" s="339">
        <v>44316</v>
      </c>
      <c r="O185" s="34">
        <v>9</v>
      </c>
    </row>
    <row r="186" spans="11:15" x14ac:dyDescent="0.25">
      <c r="K186" s="339">
        <v>44347</v>
      </c>
      <c r="L186" s="34">
        <v>9</v>
      </c>
      <c r="N186" s="339">
        <v>44347</v>
      </c>
      <c r="O186" s="34">
        <v>9</v>
      </c>
    </row>
    <row r="187" spans="11:15" x14ac:dyDescent="0.25">
      <c r="K187" s="339">
        <v>44377</v>
      </c>
      <c r="L187" s="34">
        <v>9</v>
      </c>
      <c r="N187" s="339">
        <v>44377</v>
      </c>
      <c r="O187" s="34">
        <v>9</v>
      </c>
    </row>
    <row r="188" spans="11:15" x14ac:dyDescent="0.25">
      <c r="K188" s="339">
        <v>44408</v>
      </c>
      <c r="L188" s="34">
        <v>9</v>
      </c>
      <c r="N188" s="339">
        <v>44408</v>
      </c>
      <c r="O188" s="34">
        <v>9</v>
      </c>
    </row>
    <row r="189" spans="11:15" x14ac:dyDescent="0.25">
      <c r="K189" s="339">
        <v>44439</v>
      </c>
      <c r="L189" s="34">
        <v>9</v>
      </c>
      <c r="N189" s="339">
        <v>44439</v>
      </c>
      <c r="O189" s="34">
        <v>9</v>
      </c>
    </row>
    <row r="190" spans="11:15" x14ac:dyDescent="0.25">
      <c r="K190" s="339">
        <v>44469</v>
      </c>
      <c r="L190" s="34">
        <v>9</v>
      </c>
      <c r="N190" s="339">
        <v>44469</v>
      </c>
      <c r="O190" s="34">
        <v>9</v>
      </c>
    </row>
    <row r="191" spans="11:15" x14ac:dyDescent="0.25">
      <c r="K191" s="339">
        <v>44500</v>
      </c>
      <c r="L191" s="34">
        <v>9</v>
      </c>
      <c r="N191" s="339">
        <v>44500</v>
      </c>
      <c r="O191" s="34">
        <v>9</v>
      </c>
    </row>
    <row r="192" spans="11:15" x14ac:dyDescent="0.25">
      <c r="K192" s="339">
        <v>44530</v>
      </c>
      <c r="L192" s="34">
        <v>9</v>
      </c>
      <c r="N192" s="339">
        <v>44530</v>
      </c>
      <c r="O192" s="34">
        <v>9</v>
      </c>
    </row>
    <row r="193" spans="11:15" x14ac:dyDescent="0.25">
      <c r="K193" s="339">
        <v>44561</v>
      </c>
      <c r="L193" s="34">
        <v>9</v>
      </c>
      <c r="N193" s="339">
        <v>44561</v>
      </c>
      <c r="O193" s="34">
        <v>9</v>
      </c>
    </row>
  </sheetData>
  <mergeCells count="2">
    <mergeCell ref="H22:I22"/>
    <mergeCell ref="H44:I44"/>
  </mergeCells>
  <pageMargins left="0.7" right="0.7" top="0.75" bottom="0.75" header="0.3" footer="0.3"/>
  <drawing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3"/>
  <dimension ref="A4:N28"/>
  <sheetViews>
    <sheetView showGridLines="0" showWhiteSpace="0" zoomScale="90" zoomScaleNormal="90" workbookViewId="0">
      <selection activeCell="I35" sqref="I35"/>
    </sheetView>
  </sheetViews>
  <sheetFormatPr defaultColWidth="9.140625" defaultRowHeight="13.5" x14ac:dyDescent="0.25"/>
  <cols>
    <col min="1" max="8" width="9.140625" style="34"/>
    <col min="9" max="9" width="40.42578125" style="34" bestFit="1" customWidth="1"/>
    <col min="10" max="16384" width="9.140625" style="34"/>
  </cols>
  <sheetData>
    <row r="4" spans="1:14" x14ac:dyDescent="0.25">
      <c r="A4" s="334" t="s">
        <v>1494</v>
      </c>
      <c r="I4" s="334" t="s">
        <v>1671</v>
      </c>
    </row>
    <row r="5" spans="1:14" ht="14.25" thickBot="1" x14ac:dyDescent="0.3">
      <c r="I5" s="16"/>
      <c r="J5" s="16">
        <v>2017</v>
      </c>
      <c r="K5" s="16">
        <v>2018</v>
      </c>
      <c r="L5" s="16">
        <v>2019</v>
      </c>
      <c r="M5" s="16">
        <v>2020</v>
      </c>
      <c r="N5" s="16">
        <v>2021</v>
      </c>
    </row>
    <row r="6" spans="1:14" x14ac:dyDescent="0.25">
      <c r="I6" s="14" t="s">
        <v>1712</v>
      </c>
      <c r="J6" s="32">
        <v>-1.04</v>
      </c>
      <c r="K6" s="32">
        <v>-0.8</v>
      </c>
      <c r="L6" s="32">
        <v>-0.315</v>
      </c>
      <c r="M6" s="32">
        <v>0</v>
      </c>
      <c r="N6" s="32">
        <v>0</v>
      </c>
    </row>
    <row r="7" spans="1:14" x14ac:dyDescent="0.25">
      <c r="I7" s="17" t="s">
        <v>1713</v>
      </c>
      <c r="J7" s="43">
        <v>-1.04</v>
      </c>
      <c r="K7" s="32">
        <v>-0.9</v>
      </c>
      <c r="L7" s="32">
        <v>-0.41500000000000004</v>
      </c>
      <c r="M7" s="32">
        <v>-0.2</v>
      </c>
      <c r="N7" s="32">
        <v>-0.3</v>
      </c>
    </row>
    <row r="8" spans="1:14" x14ac:dyDescent="0.25">
      <c r="I8" s="17" t="s">
        <v>1714</v>
      </c>
      <c r="J8" s="43">
        <v>-1.04</v>
      </c>
      <c r="K8" s="32">
        <v>-0.8</v>
      </c>
      <c r="L8" s="32">
        <v>-0.34499999999999997</v>
      </c>
      <c r="M8" s="32">
        <v>-0.06</v>
      </c>
      <c r="N8" s="32">
        <v>-0.02</v>
      </c>
    </row>
    <row r="9" spans="1:14" x14ac:dyDescent="0.25">
      <c r="I9" s="862" t="s">
        <v>1715</v>
      </c>
      <c r="J9" s="863">
        <v>-1.04</v>
      </c>
      <c r="K9" s="863">
        <v>-0.60000000000000009</v>
      </c>
      <c r="L9" s="863">
        <v>-0.215</v>
      </c>
      <c r="M9" s="863">
        <v>0.1</v>
      </c>
      <c r="N9" s="863">
        <v>0.1</v>
      </c>
    </row>
    <row r="10" spans="1:14" x14ac:dyDescent="0.25">
      <c r="I10" s="864"/>
      <c r="J10" s="52"/>
      <c r="K10" s="52"/>
      <c r="L10" s="52"/>
      <c r="M10" s="52"/>
      <c r="N10" s="52"/>
    </row>
    <row r="11" spans="1:14" x14ac:dyDescent="0.25">
      <c r="I11" s="1005"/>
      <c r="J11" s="1005"/>
      <c r="K11" s="1005"/>
      <c r="L11" s="1005"/>
      <c r="M11" s="1005"/>
      <c r="N11" s="865"/>
    </row>
    <row r="12" spans="1:14" x14ac:dyDescent="0.25">
      <c r="I12" s="866"/>
      <c r="J12" s="867"/>
      <c r="K12" s="867"/>
      <c r="L12" s="867"/>
      <c r="M12" s="867"/>
      <c r="N12" s="867"/>
    </row>
    <row r="13" spans="1:14" x14ac:dyDescent="0.25">
      <c r="I13" s="14"/>
      <c r="J13" s="32"/>
      <c r="K13" s="32"/>
      <c r="L13" s="32"/>
      <c r="M13" s="32"/>
    </row>
    <row r="14" spans="1:14" x14ac:dyDescent="0.25">
      <c r="I14" s="17"/>
      <c r="J14" s="32"/>
      <c r="K14" s="32"/>
      <c r="L14" s="32"/>
      <c r="M14" s="32"/>
    </row>
    <row r="15" spans="1:14" x14ac:dyDescent="0.25">
      <c r="I15" s="17"/>
      <c r="J15" s="32"/>
      <c r="K15" s="32"/>
      <c r="L15" s="32"/>
      <c r="M15" s="32"/>
    </row>
    <row r="22" spans="1:14" x14ac:dyDescent="0.25">
      <c r="A22" s="334" t="s">
        <v>1495</v>
      </c>
      <c r="I22" s="334" t="s">
        <v>1672</v>
      </c>
    </row>
    <row r="23" spans="1:14" ht="14.25" thickBot="1" x14ac:dyDescent="0.3">
      <c r="I23" s="16"/>
      <c r="J23" s="16">
        <v>2017</v>
      </c>
      <c r="K23" s="16">
        <v>2018</v>
      </c>
      <c r="L23" s="16">
        <v>2019</v>
      </c>
      <c r="M23" s="16">
        <v>2020</v>
      </c>
      <c r="N23" s="16">
        <v>2021</v>
      </c>
    </row>
    <row r="24" spans="1:14" x14ac:dyDescent="0.25">
      <c r="I24" s="14" t="s">
        <v>1712</v>
      </c>
      <c r="J24" s="32">
        <v>50.863564560753126</v>
      </c>
      <c r="K24" s="32">
        <v>49.268655037020835</v>
      </c>
      <c r="L24" s="32">
        <v>46.524524490032888</v>
      </c>
      <c r="M24" s="32">
        <v>44.858012870079818</v>
      </c>
      <c r="N24" s="32">
        <v>43.295611962735343</v>
      </c>
    </row>
    <row r="25" spans="1:14" x14ac:dyDescent="0.25">
      <c r="I25" s="17" t="s">
        <v>1713</v>
      </c>
      <c r="J25" s="32">
        <v>50.863564560753126</v>
      </c>
      <c r="K25" s="32">
        <v>49.568655037020832</v>
      </c>
      <c r="L25" s="32">
        <v>47.224524490032891</v>
      </c>
      <c r="M25" s="32">
        <v>45.95801287007982</v>
      </c>
      <c r="N25" s="32">
        <v>44.995611962735346</v>
      </c>
    </row>
    <row r="26" spans="1:14" x14ac:dyDescent="0.25">
      <c r="I26" s="17" t="s">
        <v>1714</v>
      </c>
      <c r="J26" s="32">
        <v>50.863564560753126</v>
      </c>
      <c r="K26" s="32">
        <v>49.328655037020837</v>
      </c>
      <c r="L26" s="32">
        <v>46.614524490032892</v>
      </c>
      <c r="M26" s="32">
        <v>45.008012870079817</v>
      </c>
      <c r="N26" s="32">
        <v>43.475611962735343</v>
      </c>
    </row>
    <row r="27" spans="1:14" x14ac:dyDescent="0.25">
      <c r="I27" s="862" t="s">
        <v>1715</v>
      </c>
      <c r="J27" s="863">
        <v>50.863564560753126</v>
      </c>
      <c r="K27" s="863">
        <v>48.968655037020838</v>
      </c>
      <c r="L27" s="863">
        <v>46.224524490032891</v>
      </c>
      <c r="M27" s="863">
        <v>44.45801287007982</v>
      </c>
      <c r="N27" s="863">
        <v>42.895611962735344</v>
      </c>
    </row>
    <row r="28" spans="1:14" x14ac:dyDescent="0.25">
      <c r="I28" s="864"/>
      <c r="J28" s="52"/>
      <c r="K28" s="52"/>
      <c r="L28" s="52"/>
      <c r="M28" s="52"/>
      <c r="N28" s="52"/>
    </row>
  </sheetData>
  <mergeCells count="1">
    <mergeCell ref="I11:M11"/>
  </mergeCells>
  <pageMargins left="0.7" right="0.7" top="0.75" bottom="0.75" header="0.3" footer="0.3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/>
  <dimension ref="A4:N43"/>
  <sheetViews>
    <sheetView showGridLines="0" zoomScale="90" zoomScaleNormal="90" workbookViewId="0">
      <selection activeCell="A14" sqref="A14:I14"/>
    </sheetView>
  </sheetViews>
  <sheetFormatPr defaultColWidth="9.140625" defaultRowHeight="13.5" x14ac:dyDescent="0.25"/>
  <cols>
    <col min="1" max="1" width="10.28515625" style="34" customWidth="1"/>
    <col min="2" max="2" width="11" style="34" customWidth="1"/>
    <col min="3" max="3" width="11.42578125" style="34" customWidth="1"/>
    <col min="4" max="4" width="12.7109375" style="34" bestFit="1" customWidth="1"/>
    <col min="5" max="5" width="13.28515625" style="34" customWidth="1"/>
    <col min="6" max="6" width="9.42578125" style="34" bestFit="1" customWidth="1"/>
    <col min="7" max="7" width="12.42578125" style="34" customWidth="1"/>
    <col min="8" max="8" width="12" style="34" customWidth="1"/>
    <col min="9" max="9" width="11.85546875" style="34" customWidth="1"/>
    <col min="10" max="16384" width="9.140625" style="34"/>
  </cols>
  <sheetData>
    <row r="4" spans="1:9" ht="14.25" thickBot="1" x14ac:dyDescent="0.3">
      <c r="A4" s="919" t="s">
        <v>1283</v>
      </c>
      <c r="B4" s="919"/>
      <c r="C4" s="919"/>
      <c r="D4" s="919"/>
      <c r="E4" s="919"/>
      <c r="F4" s="919"/>
      <c r="G4" s="919"/>
      <c r="H4" s="919"/>
      <c r="I4" s="919"/>
    </row>
    <row r="5" spans="1:9" ht="21.75" customHeight="1" thickBot="1" x14ac:dyDescent="0.3">
      <c r="A5" s="1006" t="s">
        <v>96</v>
      </c>
      <c r="B5" s="1006"/>
      <c r="C5" s="1006"/>
      <c r="D5" s="1006"/>
      <c r="E5" s="1006"/>
      <c r="F5" s="1006"/>
      <c r="G5" s="1006"/>
      <c r="H5" s="1006"/>
      <c r="I5" s="1006"/>
    </row>
    <row r="6" spans="1:9" x14ac:dyDescent="0.25">
      <c r="A6" s="1007"/>
      <c r="B6" s="939" t="s">
        <v>97</v>
      </c>
      <c r="C6" s="939" t="s">
        <v>98</v>
      </c>
      <c r="D6" s="939" t="s">
        <v>99</v>
      </c>
      <c r="E6" s="939" t="s">
        <v>100</v>
      </c>
      <c r="F6" s="939" t="s">
        <v>101</v>
      </c>
      <c r="G6" s="966" t="s">
        <v>201</v>
      </c>
      <c r="H6" s="102" t="s">
        <v>140</v>
      </c>
      <c r="I6" s="9" t="s">
        <v>202</v>
      </c>
    </row>
    <row r="7" spans="1:9" ht="14.25" thickBot="1" x14ac:dyDescent="0.3">
      <c r="A7" s="1008"/>
      <c r="B7" s="1009"/>
      <c r="C7" s="1009"/>
      <c r="D7" s="1009"/>
      <c r="E7" s="1009"/>
      <c r="F7" s="1009"/>
      <c r="G7" s="1010"/>
      <c r="H7" s="347" t="s">
        <v>102</v>
      </c>
      <c r="I7" s="25" t="s">
        <v>102</v>
      </c>
    </row>
    <row r="8" spans="1:9" ht="14.25" thickTop="1" x14ac:dyDescent="0.25">
      <c r="A8" s="101">
        <v>2018</v>
      </c>
      <c r="B8" s="131">
        <v>-0.1</v>
      </c>
      <c r="C8" s="131">
        <v>-0.4</v>
      </c>
      <c r="D8" s="131">
        <v>-0.4</v>
      </c>
      <c r="E8" s="131">
        <v>0</v>
      </c>
      <c r="F8" s="131">
        <v>0</v>
      </c>
      <c r="G8" s="131">
        <v>-0.2</v>
      </c>
      <c r="H8" s="131">
        <v>-0.1</v>
      </c>
      <c r="I8" s="131">
        <v>0.3</v>
      </c>
    </row>
    <row r="9" spans="1:9" x14ac:dyDescent="0.25">
      <c r="A9" s="101">
        <v>2019</v>
      </c>
      <c r="B9" s="131">
        <v>-0.1</v>
      </c>
      <c r="C9" s="131">
        <v>-0.8</v>
      </c>
      <c r="D9" s="131">
        <v>-0.8</v>
      </c>
      <c r="E9" s="131">
        <v>0.1</v>
      </c>
      <c r="F9" s="131">
        <v>-0.2</v>
      </c>
      <c r="G9" s="131">
        <v>-0.5</v>
      </c>
      <c r="H9" s="131">
        <v>-0.1</v>
      </c>
      <c r="I9" s="131">
        <v>0.7</v>
      </c>
    </row>
    <row r="10" spans="1:9" x14ac:dyDescent="0.25">
      <c r="A10" s="101">
        <v>2020</v>
      </c>
      <c r="B10" s="131">
        <v>-0.1</v>
      </c>
      <c r="C10" s="131">
        <v>-1.1000000000000001</v>
      </c>
      <c r="D10" s="131">
        <v>-1.1000000000000001</v>
      </c>
      <c r="E10" s="131">
        <v>0.2</v>
      </c>
      <c r="F10" s="131">
        <v>-0.6</v>
      </c>
      <c r="G10" s="131">
        <v>-0.8</v>
      </c>
      <c r="H10" s="131">
        <v>-0.2</v>
      </c>
      <c r="I10" s="131">
        <v>1.1000000000000001</v>
      </c>
    </row>
    <row r="11" spans="1:9" ht="14.25" thickBot="1" x14ac:dyDescent="0.3">
      <c r="A11" s="101">
        <v>2021</v>
      </c>
      <c r="B11" s="131">
        <v>0</v>
      </c>
      <c r="C11" s="131">
        <v>-1.3</v>
      </c>
      <c r="D11" s="131">
        <v>-1.3</v>
      </c>
      <c r="E11" s="131">
        <v>0.3</v>
      </c>
      <c r="F11" s="131">
        <v>-1.1000000000000001</v>
      </c>
      <c r="G11" s="131">
        <v>-1.1000000000000001</v>
      </c>
      <c r="H11" s="131">
        <v>-0.3</v>
      </c>
      <c r="I11" s="131">
        <v>1.7</v>
      </c>
    </row>
    <row r="12" spans="1:9" ht="14.25" thickTop="1" x14ac:dyDescent="0.25">
      <c r="A12" s="439" t="s">
        <v>203</v>
      </c>
      <c r="B12" s="439"/>
      <c r="C12" s="439"/>
      <c r="D12" s="439"/>
      <c r="E12" s="439"/>
      <c r="F12" s="439"/>
      <c r="G12" s="439"/>
      <c r="H12" s="1011" t="s">
        <v>19</v>
      </c>
      <c r="I12" s="1011"/>
    </row>
    <row r="14" spans="1:9" ht="23.25" customHeight="1" thickBot="1" x14ac:dyDescent="0.3">
      <c r="A14" s="920" t="s">
        <v>1284</v>
      </c>
      <c r="B14" s="919"/>
      <c r="C14" s="919"/>
      <c r="D14" s="919"/>
      <c r="E14" s="919"/>
      <c r="F14" s="919"/>
      <c r="G14" s="919"/>
      <c r="H14" s="919"/>
      <c r="I14" s="919"/>
    </row>
    <row r="15" spans="1:9" ht="14.25" thickBot="1" x14ac:dyDescent="0.3">
      <c r="A15" s="1006" t="s">
        <v>227</v>
      </c>
      <c r="B15" s="1006"/>
      <c r="C15" s="1006"/>
      <c r="D15" s="1006"/>
      <c r="E15" s="1006"/>
      <c r="F15" s="1006"/>
      <c r="G15" s="1006"/>
      <c r="H15" s="1006"/>
      <c r="I15" s="1006"/>
    </row>
    <row r="16" spans="1:9" ht="18" customHeight="1" x14ac:dyDescent="0.25">
      <c r="A16" s="1007"/>
      <c r="B16" s="939" t="s">
        <v>228</v>
      </c>
      <c r="C16" s="939" t="s">
        <v>229</v>
      </c>
      <c r="D16" s="936" t="s">
        <v>230</v>
      </c>
      <c r="E16" s="939" t="s">
        <v>231</v>
      </c>
      <c r="F16" s="936" t="s">
        <v>101</v>
      </c>
      <c r="G16" s="966" t="s">
        <v>232</v>
      </c>
      <c r="H16" s="966" t="s">
        <v>233</v>
      </c>
      <c r="I16" s="966" t="s">
        <v>234</v>
      </c>
    </row>
    <row r="17" spans="1:14" ht="21.75" customHeight="1" thickBot="1" x14ac:dyDescent="0.3">
      <c r="A17" s="1008"/>
      <c r="B17" s="1013"/>
      <c r="C17" s="1013"/>
      <c r="D17" s="1013"/>
      <c r="E17" s="1013"/>
      <c r="F17" s="1013"/>
      <c r="G17" s="1012"/>
      <c r="H17" s="1012"/>
      <c r="I17" s="1012"/>
    </row>
    <row r="18" spans="1:14" ht="14.25" thickTop="1" x14ac:dyDescent="0.25">
      <c r="A18" s="101">
        <f>A8</f>
        <v>2018</v>
      </c>
      <c r="B18" s="131">
        <f t="shared" ref="B18:I18" si="0">B8</f>
        <v>-0.1</v>
      </c>
      <c r="C18" s="131">
        <f t="shared" si="0"/>
        <v>-0.4</v>
      </c>
      <c r="D18" s="131">
        <f t="shared" si="0"/>
        <v>-0.4</v>
      </c>
      <c r="E18" s="131">
        <f t="shared" si="0"/>
        <v>0</v>
      </c>
      <c r="F18" s="131">
        <f t="shared" si="0"/>
        <v>0</v>
      </c>
      <c r="G18" s="131">
        <f t="shared" si="0"/>
        <v>-0.2</v>
      </c>
      <c r="H18" s="131">
        <f t="shared" si="0"/>
        <v>-0.1</v>
      </c>
      <c r="I18" s="131">
        <f t="shared" si="0"/>
        <v>0.3</v>
      </c>
    </row>
    <row r="19" spans="1:14" x14ac:dyDescent="0.25">
      <c r="A19" s="101">
        <f t="shared" ref="A19:I19" si="1">A9</f>
        <v>2019</v>
      </c>
      <c r="B19" s="131">
        <f t="shared" si="1"/>
        <v>-0.1</v>
      </c>
      <c r="C19" s="131">
        <f t="shared" si="1"/>
        <v>-0.8</v>
      </c>
      <c r="D19" s="131">
        <f t="shared" si="1"/>
        <v>-0.8</v>
      </c>
      <c r="E19" s="131">
        <f t="shared" si="1"/>
        <v>0.1</v>
      </c>
      <c r="F19" s="131">
        <f t="shared" si="1"/>
        <v>-0.2</v>
      </c>
      <c r="G19" s="131">
        <f t="shared" si="1"/>
        <v>-0.5</v>
      </c>
      <c r="H19" s="131">
        <f t="shared" si="1"/>
        <v>-0.1</v>
      </c>
      <c r="I19" s="131">
        <f t="shared" si="1"/>
        <v>0.7</v>
      </c>
    </row>
    <row r="20" spans="1:14" x14ac:dyDescent="0.25">
      <c r="A20" s="101">
        <f t="shared" ref="A20:I20" si="2">A10</f>
        <v>2020</v>
      </c>
      <c r="B20" s="131">
        <f t="shared" si="2"/>
        <v>-0.1</v>
      </c>
      <c r="C20" s="131">
        <f t="shared" si="2"/>
        <v>-1.1000000000000001</v>
      </c>
      <c r="D20" s="131">
        <f t="shared" si="2"/>
        <v>-1.1000000000000001</v>
      </c>
      <c r="E20" s="131">
        <f t="shared" si="2"/>
        <v>0.2</v>
      </c>
      <c r="F20" s="131">
        <f t="shared" si="2"/>
        <v>-0.6</v>
      </c>
      <c r="G20" s="131">
        <f t="shared" si="2"/>
        <v>-0.8</v>
      </c>
      <c r="H20" s="131">
        <f t="shared" si="2"/>
        <v>-0.2</v>
      </c>
      <c r="I20" s="131">
        <f t="shared" si="2"/>
        <v>1.1000000000000001</v>
      </c>
    </row>
    <row r="21" spans="1:14" ht="14.25" thickBot="1" x14ac:dyDescent="0.3">
      <c r="A21" s="101">
        <f t="shared" ref="A21:I21" si="3">A11</f>
        <v>2021</v>
      </c>
      <c r="B21" s="131">
        <f t="shared" si="3"/>
        <v>0</v>
      </c>
      <c r="C21" s="131">
        <f t="shared" si="3"/>
        <v>-1.3</v>
      </c>
      <c r="D21" s="131">
        <f t="shared" si="3"/>
        <v>-1.3</v>
      </c>
      <c r="E21" s="131">
        <f t="shared" si="3"/>
        <v>0.3</v>
      </c>
      <c r="F21" s="131">
        <f t="shared" si="3"/>
        <v>-1.1000000000000001</v>
      </c>
      <c r="G21" s="131">
        <f t="shared" si="3"/>
        <v>-1.1000000000000001</v>
      </c>
      <c r="H21" s="131">
        <f t="shared" si="3"/>
        <v>-0.3</v>
      </c>
      <c r="I21" s="131">
        <f t="shared" si="3"/>
        <v>1.7</v>
      </c>
    </row>
    <row r="22" spans="1:14" ht="14.25" thickTop="1" x14ac:dyDescent="0.25">
      <c r="A22" s="439"/>
      <c r="B22" s="439"/>
      <c r="C22" s="439"/>
      <c r="D22" s="439"/>
      <c r="E22" s="439"/>
      <c r="F22" s="439"/>
      <c r="G22" s="439"/>
      <c r="H22" s="439"/>
      <c r="I22" s="438" t="s">
        <v>235</v>
      </c>
    </row>
    <row r="24" spans="1:14" x14ac:dyDescent="0.25">
      <c r="A24" s="309"/>
      <c r="B24" s="309"/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</row>
    <row r="25" spans="1:14" x14ac:dyDescent="0.25">
      <c r="A25" s="309"/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L25" s="309"/>
      <c r="M25" s="309"/>
      <c r="N25" s="309"/>
    </row>
    <row r="26" spans="1:14" x14ac:dyDescent="0.25">
      <c r="A26" s="309"/>
      <c r="B26" s="309"/>
      <c r="C26" s="309"/>
      <c r="D26" s="309"/>
      <c r="E26" s="309"/>
      <c r="F26" s="309"/>
      <c r="G26" s="309"/>
      <c r="H26" s="309"/>
      <c r="I26" s="309"/>
      <c r="J26" s="309"/>
      <c r="K26" s="309"/>
      <c r="L26" s="309"/>
      <c r="M26" s="309"/>
      <c r="N26" s="309"/>
    </row>
    <row r="27" spans="1:14" x14ac:dyDescent="0.25">
      <c r="A27" s="309"/>
      <c r="B27" s="441"/>
      <c r="C27" s="145"/>
      <c r="D27" s="146"/>
      <c r="E27" s="146"/>
      <c r="F27" s="146"/>
      <c r="G27" s="442"/>
      <c r="H27" s="387"/>
      <c r="I27" s="387"/>
      <c r="J27" s="387"/>
      <c r="K27" s="387"/>
      <c r="L27" s="309"/>
      <c r="M27" s="309"/>
      <c r="N27" s="309"/>
    </row>
    <row r="28" spans="1:14" x14ac:dyDescent="0.25">
      <c r="A28" s="309"/>
      <c r="B28" s="441"/>
      <c r="C28" s="147"/>
      <c r="D28" s="148"/>
      <c r="E28" s="148"/>
      <c r="F28" s="148"/>
      <c r="G28" s="442"/>
      <c r="H28" s="387"/>
      <c r="I28" s="387"/>
      <c r="J28" s="387"/>
      <c r="K28" s="387"/>
      <c r="L28" s="309"/>
      <c r="M28" s="309"/>
      <c r="N28" s="309"/>
    </row>
    <row r="29" spans="1:14" x14ac:dyDescent="0.25">
      <c r="A29" s="309"/>
      <c r="B29" s="309"/>
      <c r="C29" s="309"/>
      <c r="D29" s="309"/>
      <c r="E29" s="309"/>
      <c r="F29" s="309"/>
      <c r="G29" s="442"/>
      <c r="H29" s="387"/>
      <c r="I29" s="387"/>
      <c r="J29" s="387"/>
      <c r="K29" s="387"/>
      <c r="L29" s="309"/>
      <c r="M29" s="309"/>
      <c r="N29" s="309"/>
    </row>
    <row r="30" spans="1:14" x14ac:dyDescent="0.25">
      <c r="A30" s="309"/>
      <c r="B30" s="309"/>
      <c r="C30" s="309"/>
      <c r="D30" s="309"/>
      <c r="E30" s="309"/>
      <c r="F30" s="309"/>
      <c r="G30" s="309"/>
      <c r="H30" s="309"/>
      <c r="I30" s="309"/>
      <c r="J30" s="309"/>
      <c r="K30" s="309"/>
      <c r="L30" s="309"/>
      <c r="M30" s="309"/>
      <c r="N30" s="309"/>
    </row>
    <row r="31" spans="1:14" x14ac:dyDescent="0.25">
      <c r="A31" s="309"/>
      <c r="B31" s="309"/>
      <c r="C31" s="441"/>
      <c r="D31" s="441"/>
      <c r="E31" s="441"/>
      <c r="F31" s="441"/>
      <c r="G31" s="442"/>
      <c r="H31" s="387"/>
      <c r="I31" s="387"/>
      <c r="J31" s="387"/>
      <c r="K31" s="387"/>
      <c r="L31" s="309"/>
      <c r="M31" s="309"/>
      <c r="N31" s="309"/>
    </row>
    <row r="32" spans="1:14" x14ac:dyDescent="0.25">
      <c r="A32" s="309"/>
      <c r="B32" s="309"/>
      <c r="C32" s="441"/>
      <c r="D32" s="441"/>
      <c r="E32" s="441"/>
      <c r="F32" s="441"/>
      <c r="G32" s="442"/>
      <c r="H32" s="387"/>
      <c r="I32" s="387"/>
      <c r="J32" s="387"/>
      <c r="K32" s="387"/>
      <c r="L32" s="309"/>
      <c r="M32" s="309"/>
      <c r="N32" s="309"/>
    </row>
    <row r="33" spans="1:14" x14ac:dyDescent="0.25">
      <c r="A33" s="309"/>
      <c r="B33" s="309"/>
      <c r="C33" s="441"/>
      <c r="D33" s="441"/>
      <c r="E33" s="441"/>
      <c r="F33" s="441"/>
      <c r="G33" s="442"/>
      <c r="H33" s="387"/>
      <c r="I33" s="387"/>
      <c r="J33" s="387"/>
      <c r="K33" s="387"/>
      <c r="L33" s="309"/>
      <c r="M33" s="309"/>
      <c r="N33" s="309"/>
    </row>
    <row r="34" spans="1:14" x14ac:dyDescent="0.25">
      <c r="A34" s="309"/>
      <c r="B34" s="309"/>
      <c r="C34" s="309"/>
      <c r="D34" s="309"/>
      <c r="E34" s="309"/>
      <c r="F34" s="309"/>
      <c r="G34" s="309"/>
      <c r="H34" s="387"/>
      <c r="I34" s="387"/>
      <c r="J34" s="387"/>
      <c r="K34" s="387"/>
      <c r="L34" s="309"/>
      <c r="M34" s="309"/>
      <c r="N34" s="309"/>
    </row>
    <row r="35" spans="1:14" x14ac:dyDescent="0.25">
      <c r="A35" s="309"/>
      <c r="B35" s="309"/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</row>
    <row r="36" spans="1:14" x14ac:dyDescent="0.25">
      <c r="A36" s="309"/>
      <c r="B36" s="309"/>
      <c r="C36" s="309"/>
      <c r="D36" s="309"/>
      <c r="E36" s="309"/>
      <c r="F36" s="309"/>
      <c r="G36" s="442"/>
      <c r="H36" s="387"/>
      <c r="I36" s="387"/>
      <c r="J36" s="387"/>
      <c r="K36" s="387"/>
      <c r="L36" s="309"/>
      <c r="M36" s="309"/>
      <c r="N36" s="309"/>
    </row>
    <row r="37" spans="1:14" x14ac:dyDescent="0.25">
      <c r="A37" s="309"/>
      <c r="B37" s="309"/>
      <c r="C37" s="309"/>
      <c r="D37" s="309"/>
      <c r="E37" s="309"/>
      <c r="F37" s="309"/>
      <c r="G37" s="442"/>
      <c r="H37" s="387"/>
      <c r="I37" s="387"/>
      <c r="J37" s="387"/>
      <c r="K37" s="387"/>
      <c r="L37" s="309"/>
      <c r="M37" s="309"/>
      <c r="N37" s="309"/>
    </row>
    <row r="38" spans="1:14" x14ac:dyDescent="0.25">
      <c r="A38" s="309"/>
      <c r="B38" s="309"/>
      <c r="C38" s="309"/>
      <c r="D38" s="309"/>
      <c r="E38" s="309"/>
      <c r="F38" s="309"/>
      <c r="G38" s="442"/>
      <c r="H38" s="387"/>
      <c r="I38" s="387"/>
      <c r="J38" s="387"/>
      <c r="K38" s="387"/>
      <c r="L38" s="309"/>
      <c r="M38" s="309"/>
      <c r="N38" s="309"/>
    </row>
    <row r="39" spans="1:14" x14ac:dyDescent="0.25">
      <c r="A39" s="309"/>
      <c r="B39" s="309"/>
      <c r="C39" s="309"/>
      <c r="D39" s="309"/>
      <c r="E39" s="309"/>
      <c r="F39" s="309"/>
      <c r="G39" s="309"/>
      <c r="H39" s="309"/>
      <c r="I39" s="309"/>
      <c r="J39" s="309"/>
      <c r="K39" s="309"/>
      <c r="L39" s="309"/>
      <c r="M39" s="309"/>
      <c r="N39" s="309"/>
    </row>
    <row r="40" spans="1:14" x14ac:dyDescent="0.25">
      <c r="A40" s="309"/>
      <c r="B40" s="309"/>
      <c r="C40" s="309"/>
      <c r="D40" s="309"/>
      <c r="E40" s="309"/>
      <c r="F40" s="309"/>
      <c r="G40" s="309"/>
      <c r="H40" s="309"/>
      <c r="I40" s="309"/>
      <c r="J40" s="309"/>
      <c r="K40" s="309"/>
      <c r="L40" s="309"/>
      <c r="M40" s="309"/>
      <c r="N40" s="309"/>
    </row>
    <row r="41" spans="1:14" x14ac:dyDescent="0.25">
      <c r="A41" s="309"/>
      <c r="B41" s="309"/>
      <c r="C41" s="309"/>
      <c r="D41" s="309"/>
      <c r="E41" s="309"/>
      <c r="F41" s="309"/>
      <c r="G41" s="309"/>
      <c r="H41" s="309"/>
      <c r="I41" s="309"/>
      <c r="J41" s="309"/>
      <c r="K41" s="309"/>
      <c r="L41" s="309"/>
      <c r="M41" s="309"/>
      <c r="N41" s="309"/>
    </row>
    <row r="42" spans="1:14" x14ac:dyDescent="0.25">
      <c r="A42" s="309"/>
      <c r="B42" s="309"/>
      <c r="C42" s="309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09"/>
    </row>
    <row r="43" spans="1:14" x14ac:dyDescent="0.25">
      <c r="A43" s="309"/>
      <c r="B43" s="309"/>
      <c r="C43" s="309"/>
      <c r="D43" s="309"/>
      <c r="E43" s="309"/>
      <c r="F43" s="309"/>
      <c r="G43" s="309"/>
      <c r="H43" s="309"/>
      <c r="I43" s="309"/>
      <c r="J43" s="309"/>
      <c r="K43" s="309"/>
      <c r="L43" s="309"/>
      <c r="M43" s="309"/>
      <c r="N43" s="309"/>
    </row>
  </sheetData>
  <mergeCells count="21">
    <mergeCell ref="H12:I12"/>
    <mergeCell ref="A14:I14"/>
    <mergeCell ref="A15:I15"/>
    <mergeCell ref="A16:A17"/>
    <mergeCell ref="I16:I17"/>
    <mergeCell ref="B16:B17"/>
    <mergeCell ref="C16:C17"/>
    <mergeCell ref="D16:D17"/>
    <mergeCell ref="E16:E17"/>
    <mergeCell ref="F16:F17"/>
    <mergeCell ref="G16:G17"/>
    <mergeCell ref="H16:H17"/>
    <mergeCell ref="A4:I4"/>
    <mergeCell ref="A5:I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/>
  <dimension ref="A4:I22"/>
  <sheetViews>
    <sheetView showGridLines="0" zoomScale="90" zoomScaleNormal="90" workbookViewId="0">
      <selection activeCell="A15" sqref="A15:I15"/>
    </sheetView>
  </sheetViews>
  <sheetFormatPr defaultColWidth="9.140625" defaultRowHeight="13.5" x14ac:dyDescent="0.25"/>
  <cols>
    <col min="1" max="1" width="9.140625" style="34"/>
    <col min="2" max="2" width="14.42578125" style="34" customWidth="1"/>
    <col min="3" max="4" width="9.140625" style="34"/>
    <col min="5" max="5" width="12.85546875" style="34" customWidth="1"/>
    <col min="6" max="6" width="9.42578125" style="34" customWidth="1"/>
    <col min="7" max="8" width="12.140625" style="34" customWidth="1"/>
    <col min="9" max="9" width="13.28515625" style="34" customWidth="1"/>
    <col min="10" max="16384" width="9.140625" style="34"/>
  </cols>
  <sheetData>
    <row r="4" spans="1:9" ht="14.25" thickBot="1" x14ac:dyDescent="0.3">
      <c r="A4" s="919" t="s">
        <v>1285</v>
      </c>
      <c r="B4" s="919"/>
      <c r="C4" s="919"/>
      <c r="D4" s="919"/>
      <c r="E4" s="919"/>
      <c r="F4" s="919"/>
      <c r="G4" s="919"/>
      <c r="H4" s="919"/>
      <c r="I4" s="919"/>
    </row>
    <row r="5" spans="1:9" ht="14.25" thickBot="1" x14ac:dyDescent="0.3">
      <c r="A5" s="1014" t="s">
        <v>96</v>
      </c>
      <c r="B5" s="1014"/>
      <c r="C5" s="1014"/>
      <c r="D5" s="1014"/>
      <c r="E5" s="1014"/>
      <c r="F5" s="1014"/>
      <c r="G5" s="1014"/>
      <c r="H5" s="1014"/>
      <c r="I5" s="1014"/>
    </row>
    <row r="6" spans="1:9" ht="27" customHeight="1" x14ac:dyDescent="0.25">
      <c r="A6" s="1015"/>
      <c r="B6" s="939" t="s">
        <v>97</v>
      </c>
      <c r="C6" s="939" t="s">
        <v>98</v>
      </c>
      <c r="D6" s="939" t="s">
        <v>99</v>
      </c>
      <c r="E6" s="939" t="s">
        <v>101</v>
      </c>
      <c r="F6" s="939" t="s">
        <v>201</v>
      </c>
      <c r="G6" s="939" t="s">
        <v>884</v>
      </c>
      <c r="H6" s="939" t="s">
        <v>887</v>
      </c>
      <c r="I6" s="939" t="s">
        <v>888</v>
      </c>
    </row>
    <row r="7" spans="1:9" ht="15.75" customHeight="1" thickBot="1" x14ac:dyDescent="0.3">
      <c r="A7" s="1016"/>
      <c r="B7" s="1009"/>
      <c r="C7" s="1009"/>
      <c r="D7" s="1009"/>
      <c r="E7" s="1009"/>
      <c r="F7" s="1009"/>
      <c r="G7" s="1009"/>
      <c r="H7" s="1009" t="s">
        <v>102</v>
      </c>
      <c r="I7" s="1009" t="s">
        <v>102</v>
      </c>
    </row>
    <row r="8" spans="1:9" ht="14.25" thickTop="1" x14ac:dyDescent="0.25">
      <c r="A8" s="101">
        <v>2018</v>
      </c>
      <c r="B8" s="131">
        <v>-0.2</v>
      </c>
      <c r="C8" s="131">
        <v>-0.3</v>
      </c>
      <c r="D8" s="131">
        <v>-0.1</v>
      </c>
      <c r="E8" s="131">
        <v>0</v>
      </c>
      <c r="F8" s="131">
        <v>0.1</v>
      </c>
      <c r="G8" s="144">
        <v>0</v>
      </c>
      <c r="H8" s="144">
        <v>0</v>
      </c>
      <c r="I8" s="144">
        <v>0.06</v>
      </c>
    </row>
    <row r="9" spans="1:9" x14ac:dyDescent="0.25">
      <c r="A9" s="101">
        <v>2019</v>
      </c>
      <c r="B9" s="131">
        <v>-0.1</v>
      </c>
      <c r="C9" s="131">
        <v>-0.4</v>
      </c>
      <c r="D9" s="131">
        <v>-0.1</v>
      </c>
      <c r="E9" s="131">
        <v>-0.1</v>
      </c>
      <c r="F9" s="131">
        <v>0.1</v>
      </c>
      <c r="G9" s="144">
        <v>0.04</v>
      </c>
      <c r="H9" s="144">
        <v>-0.03</v>
      </c>
      <c r="I9" s="144">
        <v>0.09</v>
      </c>
    </row>
    <row r="10" spans="1:9" x14ac:dyDescent="0.25">
      <c r="A10" s="101">
        <v>2020</v>
      </c>
      <c r="B10" s="131">
        <v>-0.1</v>
      </c>
      <c r="C10" s="131">
        <v>-0.6</v>
      </c>
      <c r="D10" s="131">
        <v>-0.1</v>
      </c>
      <c r="E10" s="131">
        <v>-0.1</v>
      </c>
      <c r="F10" s="131">
        <v>0.1</v>
      </c>
      <c r="G10" s="144">
        <v>0.06</v>
      </c>
      <c r="H10" s="144">
        <v>-0.06</v>
      </c>
      <c r="I10" s="144">
        <v>0.15</v>
      </c>
    </row>
    <row r="11" spans="1:9" ht="14.25" thickBot="1" x14ac:dyDescent="0.3">
      <c r="A11" s="101">
        <v>2021</v>
      </c>
      <c r="B11" s="131">
        <v>-0.1</v>
      </c>
      <c r="C11" s="131">
        <v>-0.8</v>
      </c>
      <c r="D11" s="131">
        <v>-0.1</v>
      </c>
      <c r="E11" s="131">
        <v>-0.1</v>
      </c>
      <c r="F11" s="131">
        <v>0.1</v>
      </c>
      <c r="G11" s="144">
        <v>0.09</v>
      </c>
      <c r="H11" s="144">
        <v>-0.02</v>
      </c>
      <c r="I11" s="144">
        <v>0.18</v>
      </c>
    </row>
    <row r="12" spans="1:9" ht="26.25" customHeight="1" thickTop="1" x14ac:dyDescent="0.25">
      <c r="A12" s="439" t="s">
        <v>204</v>
      </c>
      <c r="B12" s="439"/>
      <c r="C12" s="439"/>
      <c r="D12" s="439"/>
      <c r="E12" s="439"/>
      <c r="F12" s="439"/>
      <c r="G12" s="439"/>
      <c r="H12" s="439"/>
      <c r="I12" s="440" t="s">
        <v>19</v>
      </c>
    </row>
    <row r="13" spans="1:9" ht="11.25" customHeight="1" x14ac:dyDescent="0.25"/>
    <row r="14" spans="1:9" ht="33" customHeight="1" thickBot="1" x14ac:dyDescent="0.3">
      <c r="A14" s="920" t="s">
        <v>1286</v>
      </c>
      <c r="B14" s="919"/>
      <c r="C14" s="919"/>
      <c r="D14" s="919"/>
      <c r="E14" s="919"/>
      <c r="F14" s="919"/>
      <c r="G14" s="919"/>
      <c r="H14" s="919"/>
      <c r="I14" s="919"/>
    </row>
    <row r="15" spans="1:9" ht="14.25" thickBot="1" x14ac:dyDescent="0.3">
      <c r="A15" s="1006" t="s">
        <v>227</v>
      </c>
      <c r="B15" s="1006"/>
      <c r="C15" s="1006"/>
      <c r="D15" s="1006"/>
      <c r="E15" s="1006"/>
      <c r="F15" s="1006"/>
      <c r="G15" s="1006"/>
      <c r="H15" s="1006"/>
      <c r="I15" s="1006"/>
    </row>
    <row r="16" spans="1:9" ht="15" customHeight="1" x14ac:dyDescent="0.25">
      <c r="A16" s="1007"/>
      <c r="B16" s="939" t="s">
        <v>228</v>
      </c>
      <c r="C16" s="939" t="s">
        <v>229</v>
      </c>
      <c r="D16" s="936" t="s">
        <v>230</v>
      </c>
      <c r="E16" s="939" t="s">
        <v>101</v>
      </c>
      <c r="F16" s="939" t="s">
        <v>232</v>
      </c>
      <c r="G16" s="939" t="s">
        <v>886</v>
      </c>
      <c r="H16" s="939" t="s">
        <v>233</v>
      </c>
      <c r="I16" s="939" t="s">
        <v>234</v>
      </c>
    </row>
    <row r="17" spans="1:9" ht="24" customHeight="1" thickBot="1" x14ac:dyDescent="0.3">
      <c r="A17" s="1008"/>
      <c r="B17" s="1013"/>
      <c r="C17" s="1013"/>
      <c r="D17" s="1013"/>
      <c r="E17" s="1009"/>
      <c r="F17" s="1009"/>
      <c r="G17" s="1009"/>
      <c r="H17" s="1009"/>
      <c r="I17" s="1009"/>
    </row>
    <row r="18" spans="1:9" ht="14.25" thickTop="1" x14ac:dyDescent="0.25">
      <c r="A18" s="101">
        <f>A8</f>
        <v>2018</v>
      </c>
      <c r="B18" s="131">
        <f t="shared" ref="B18:D18" si="0">B8</f>
        <v>-0.2</v>
      </c>
      <c r="C18" s="131">
        <f t="shared" si="0"/>
        <v>-0.3</v>
      </c>
      <c r="D18" s="131">
        <f t="shared" si="0"/>
        <v>-0.1</v>
      </c>
      <c r="E18" s="131">
        <f t="shared" ref="E18:I21" si="1">E8</f>
        <v>0</v>
      </c>
      <c r="F18" s="131">
        <f t="shared" si="1"/>
        <v>0.1</v>
      </c>
      <c r="G18" s="131">
        <f t="shared" si="1"/>
        <v>0</v>
      </c>
      <c r="H18" s="131">
        <f t="shared" si="1"/>
        <v>0</v>
      </c>
      <c r="I18" s="131">
        <f t="shared" si="1"/>
        <v>0.06</v>
      </c>
    </row>
    <row r="19" spans="1:9" x14ac:dyDescent="0.25">
      <c r="A19" s="101">
        <f t="shared" ref="A19:D19" si="2">A9</f>
        <v>2019</v>
      </c>
      <c r="B19" s="131">
        <f t="shared" si="2"/>
        <v>-0.1</v>
      </c>
      <c r="C19" s="131">
        <f t="shared" si="2"/>
        <v>-0.4</v>
      </c>
      <c r="D19" s="131">
        <f t="shared" si="2"/>
        <v>-0.1</v>
      </c>
      <c r="E19" s="131">
        <f t="shared" si="1"/>
        <v>-0.1</v>
      </c>
      <c r="F19" s="131">
        <f t="shared" si="1"/>
        <v>0.1</v>
      </c>
      <c r="G19" s="131">
        <f t="shared" si="1"/>
        <v>0.04</v>
      </c>
      <c r="H19" s="131">
        <f t="shared" si="1"/>
        <v>-0.03</v>
      </c>
      <c r="I19" s="131">
        <f t="shared" si="1"/>
        <v>0.09</v>
      </c>
    </row>
    <row r="20" spans="1:9" x14ac:dyDescent="0.25">
      <c r="A20" s="101">
        <f t="shared" ref="A20:D20" si="3">A10</f>
        <v>2020</v>
      </c>
      <c r="B20" s="131">
        <f t="shared" si="3"/>
        <v>-0.1</v>
      </c>
      <c r="C20" s="131">
        <f t="shared" si="3"/>
        <v>-0.6</v>
      </c>
      <c r="D20" s="131">
        <f t="shared" si="3"/>
        <v>-0.1</v>
      </c>
      <c r="E20" s="131">
        <f t="shared" si="1"/>
        <v>-0.1</v>
      </c>
      <c r="F20" s="131">
        <f t="shared" si="1"/>
        <v>0.1</v>
      </c>
      <c r="G20" s="131">
        <f t="shared" si="1"/>
        <v>0.06</v>
      </c>
      <c r="H20" s="131">
        <f t="shared" si="1"/>
        <v>-0.06</v>
      </c>
      <c r="I20" s="131">
        <f t="shared" si="1"/>
        <v>0.15</v>
      </c>
    </row>
    <row r="21" spans="1:9" ht="14.25" thickBot="1" x14ac:dyDescent="0.3">
      <c r="A21" s="101">
        <f t="shared" ref="A21:D21" si="4">A11</f>
        <v>2021</v>
      </c>
      <c r="B21" s="131">
        <f t="shared" si="4"/>
        <v>-0.1</v>
      </c>
      <c r="C21" s="131">
        <f t="shared" si="4"/>
        <v>-0.8</v>
      </c>
      <c r="D21" s="131">
        <f t="shared" si="4"/>
        <v>-0.1</v>
      </c>
      <c r="E21" s="131">
        <f t="shared" si="1"/>
        <v>-0.1</v>
      </c>
      <c r="F21" s="131">
        <f t="shared" si="1"/>
        <v>0.1</v>
      </c>
      <c r="G21" s="131">
        <f t="shared" si="1"/>
        <v>0.09</v>
      </c>
      <c r="H21" s="131">
        <f t="shared" si="1"/>
        <v>-0.02</v>
      </c>
      <c r="I21" s="131">
        <f t="shared" si="1"/>
        <v>0.18</v>
      </c>
    </row>
    <row r="22" spans="1:9" ht="14.25" thickTop="1" x14ac:dyDescent="0.25">
      <c r="A22" s="439"/>
      <c r="B22" s="439"/>
      <c r="C22" s="439"/>
      <c r="D22" s="439"/>
      <c r="E22" s="439"/>
      <c r="F22" s="439"/>
      <c r="G22" s="439"/>
      <c r="H22" s="439"/>
      <c r="I22" s="439" t="s">
        <v>235</v>
      </c>
    </row>
  </sheetData>
  <mergeCells count="22">
    <mergeCell ref="A14:I14"/>
    <mergeCell ref="A15:I15"/>
    <mergeCell ref="A16:A17"/>
    <mergeCell ref="B16:B17"/>
    <mergeCell ref="C16:C17"/>
    <mergeCell ref="D16:D17"/>
    <mergeCell ref="E16:E17"/>
    <mergeCell ref="F16:F17"/>
    <mergeCell ref="G16:G17"/>
    <mergeCell ref="I16:I17"/>
    <mergeCell ref="H16:H17"/>
    <mergeCell ref="A4:I4"/>
    <mergeCell ref="A5:I5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9"/>
  <dimension ref="A4:I21"/>
  <sheetViews>
    <sheetView showGridLines="0" zoomScale="90" zoomScaleNormal="90" workbookViewId="0"/>
  </sheetViews>
  <sheetFormatPr defaultColWidth="9.140625" defaultRowHeight="13.5" x14ac:dyDescent="0.25"/>
  <cols>
    <col min="1" max="1" width="9.140625" style="34"/>
    <col min="2" max="2" width="10.7109375" style="34" customWidth="1"/>
    <col min="3" max="4" width="9.140625" style="34"/>
    <col min="5" max="5" width="12.42578125" style="34" customWidth="1"/>
    <col min="6" max="8" width="9.140625" style="34"/>
    <col min="9" max="9" width="10.85546875" style="34" customWidth="1"/>
    <col min="10" max="16384" width="9.140625" style="34"/>
  </cols>
  <sheetData>
    <row r="4" spans="1:9" ht="14.25" thickBot="1" x14ac:dyDescent="0.3">
      <c r="A4" s="919" t="s">
        <v>1496</v>
      </c>
      <c r="B4" s="919"/>
      <c r="C4" s="919"/>
      <c r="D4" s="919"/>
      <c r="E4" s="919"/>
      <c r="F4" s="919"/>
      <c r="G4" s="919"/>
      <c r="H4" s="919"/>
      <c r="I4" s="919"/>
    </row>
    <row r="5" spans="1:9" ht="14.25" thickBot="1" x14ac:dyDescent="0.3">
      <c r="A5" s="1014" t="s">
        <v>96</v>
      </c>
      <c r="B5" s="1014"/>
      <c r="C5" s="1014"/>
      <c r="D5" s="1014"/>
      <c r="E5" s="1014"/>
      <c r="F5" s="1014"/>
      <c r="G5" s="1014"/>
      <c r="H5" s="1014"/>
      <c r="I5" s="1014"/>
    </row>
    <row r="6" spans="1:9" x14ac:dyDescent="0.25">
      <c r="A6" s="1015"/>
      <c r="B6" s="966" t="s">
        <v>97</v>
      </c>
      <c r="C6" s="966" t="s">
        <v>98</v>
      </c>
      <c r="D6" s="966" t="s">
        <v>99</v>
      </c>
      <c r="E6" s="966" t="s">
        <v>100</v>
      </c>
      <c r="F6" s="966" t="s">
        <v>101</v>
      </c>
      <c r="G6" s="966" t="s">
        <v>201</v>
      </c>
      <c r="H6" s="13" t="s">
        <v>140</v>
      </c>
      <c r="I6" s="9" t="s">
        <v>202</v>
      </c>
    </row>
    <row r="7" spans="1:9" ht="14.25" thickBot="1" x14ac:dyDescent="0.3">
      <c r="A7" s="1016"/>
      <c r="B7" s="1010"/>
      <c r="C7" s="1010"/>
      <c r="D7" s="1010"/>
      <c r="E7" s="1010"/>
      <c r="F7" s="1010"/>
      <c r="G7" s="1010"/>
      <c r="H7" s="132" t="s">
        <v>102</v>
      </c>
      <c r="I7" s="25" t="s">
        <v>102</v>
      </c>
    </row>
    <row r="8" spans="1:9" ht="14.25" thickTop="1" x14ac:dyDescent="0.25">
      <c r="A8" s="101">
        <v>2018</v>
      </c>
      <c r="B8" s="131">
        <v>0.5</v>
      </c>
      <c r="C8" s="131">
        <v>0.2</v>
      </c>
      <c r="D8" s="131">
        <v>0.2</v>
      </c>
      <c r="E8" s="131">
        <v>0.1</v>
      </c>
      <c r="F8" s="131">
        <v>0</v>
      </c>
      <c r="G8" s="131">
        <v>-0.1</v>
      </c>
      <c r="H8" s="131">
        <v>0.2</v>
      </c>
      <c r="I8" s="136">
        <v>-0.3</v>
      </c>
    </row>
    <row r="9" spans="1:9" x14ac:dyDescent="0.25">
      <c r="A9" s="101">
        <v>2019</v>
      </c>
      <c r="B9" s="131">
        <v>0.2</v>
      </c>
      <c r="C9" s="131">
        <v>0.1</v>
      </c>
      <c r="D9" s="131">
        <v>0.1</v>
      </c>
      <c r="E9" s="131">
        <v>0</v>
      </c>
      <c r="F9" s="131">
        <v>0.1</v>
      </c>
      <c r="G9" s="131">
        <v>-0.1</v>
      </c>
      <c r="H9" s="131">
        <v>0.1</v>
      </c>
      <c r="I9" s="136">
        <v>-0.3</v>
      </c>
    </row>
    <row r="10" spans="1:9" x14ac:dyDescent="0.25">
      <c r="A10" s="101">
        <v>2020</v>
      </c>
      <c r="B10" s="131">
        <v>0</v>
      </c>
      <c r="C10" s="131">
        <v>-0.1</v>
      </c>
      <c r="D10" s="131">
        <v>-0.1</v>
      </c>
      <c r="E10" s="131">
        <v>0</v>
      </c>
      <c r="F10" s="131">
        <v>0.2</v>
      </c>
      <c r="G10" s="131">
        <v>0</v>
      </c>
      <c r="H10" s="131">
        <v>0.1</v>
      </c>
      <c r="I10" s="136">
        <v>-0.4</v>
      </c>
    </row>
    <row r="11" spans="1:9" ht="14.25" thickBot="1" x14ac:dyDescent="0.3">
      <c r="A11" s="101">
        <v>2021</v>
      </c>
      <c r="B11" s="131">
        <v>0</v>
      </c>
      <c r="C11" s="131">
        <v>-0.1</v>
      </c>
      <c r="D11" s="131">
        <v>-0.1</v>
      </c>
      <c r="E11" s="131">
        <v>0</v>
      </c>
      <c r="F11" s="131">
        <v>0.2</v>
      </c>
      <c r="G11" s="131">
        <v>0</v>
      </c>
      <c r="H11" s="131">
        <v>0.1</v>
      </c>
      <c r="I11" s="136">
        <v>-0.4</v>
      </c>
    </row>
    <row r="12" spans="1:9" ht="14.25" thickTop="1" x14ac:dyDescent="0.25">
      <c r="A12" s="1017" t="s">
        <v>204</v>
      </c>
      <c r="B12" s="1017"/>
      <c r="C12" s="1017"/>
      <c r="D12" s="1017"/>
      <c r="E12" s="1017"/>
      <c r="F12" s="1017"/>
      <c r="G12" s="1017"/>
      <c r="H12" s="1017"/>
      <c r="I12" s="438" t="s">
        <v>19</v>
      </c>
    </row>
    <row r="13" spans="1:9" ht="15.75" customHeight="1" thickBot="1" x14ac:dyDescent="0.3">
      <c r="A13" s="920" t="s">
        <v>1497</v>
      </c>
      <c r="B13" s="919"/>
      <c r="C13" s="919"/>
      <c r="D13" s="919"/>
      <c r="E13" s="919"/>
      <c r="F13" s="919"/>
      <c r="G13" s="919"/>
      <c r="H13" s="919"/>
      <c r="I13" s="919"/>
    </row>
    <row r="14" spans="1:9" ht="14.25" thickBot="1" x14ac:dyDescent="0.3">
      <c r="A14" s="1006" t="s">
        <v>227</v>
      </c>
      <c r="B14" s="1006"/>
      <c r="C14" s="1006"/>
      <c r="D14" s="1006"/>
      <c r="E14" s="1006"/>
      <c r="F14" s="1006"/>
      <c r="G14" s="1006"/>
      <c r="H14" s="1006"/>
      <c r="I14" s="1006"/>
    </row>
    <row r="15" spans="1:9" x14ac:dyDescent="0.25">
      <c r="A15" s="1007"/>
      <c r="B15" s="939" t="s">
        <v>228</v>
      </c>
      <c r="C15" s="939" t="s">
        <v>229</v>
      </c>
      <c r="D15" s="936" t="s">
        <v>230</v>
      </c>
      <c r="E15" s="939" t="s">
        <v>231</v>
      </c>
      <c r="F15" s="936" t="s">
        <v>101</v>
      </c>
      <c r="G15" s="966" t="s">
        <v>232</v>
      </c>
      <c r="H15" s="966" t="s">
        <v>233</v>
      </c>
      <c r="I15" s="966" t="s">
        <v>234</v>
      </c>
    </row>
    <row r="16" spans="1:9" ht="41.25" customHeight="1" thickBot="1" x14ac:dyDescent="0.3">
      <c r="A16" s="1008"/>
      <c r="B16" s="1013"/>
      <c r="C16" s="1013"/>
      <c r="D16" s="1013"/>
      <c r="E16" s="1013"/>
      <c r="F16" s="1013"/>
      <c r="G16" s="1012"/>
      <c r="H16" s="1012"/>
      <c r="I16" s="1012"/>
    </row>
    <row r="17" spans="1:9" ht="14.25" thickTop="1" x14ac:dyDescent="0.25">
      <c r="A17" s="133">
        <f>A8</f>
        <v>2018</v>
      </c>
      <c r="B17" s="131">
        <f t="shared" ref="B17:I17" si="0">B8</f>
        <v>0.5</v>
      </c>
      <c r="C17" s="131">
        <f t="shared" si="0"/>
        <v>0.2</v>
      </c>
      <c r="D17" s="131">
        <f t="shared" si="0"/>
        <v>0.2</v>
      </c>
      <c r="E17" s="131">
        <f t="shared" si="0"/>
        <v>0.1</v>
      </c>
      <c r="F17" s="131">
        <f t="shared" si="0"/>
        <v>0</v>
      </c>
      <c r="G17" s="131">
        <f t="shared" si="0"/>
        <v>-0.1</v>
      </c>
      <c r="H17" s="131">
        <f t="shared" si="0"/>
        <v>0.2</v>
      </c>
      <c r="I17" s="131">
        <f t="shared" si="0"/>
        <v>-0.3</v>
      </c>
    </row>
    <row r="18" spans="1:9" x14ac:dyDescent="0.25">
      <c r="A18" s="133">
        <f t="shared" ref="A18:I18" si="1">A9</f>
        <v>2019</v>
      </c>
      <c r="B18" s="131">
        <f t="shared" si="1"/>
        <v>0.2</v>
      </c>
      <c r="C18" s="131">
        <f t="shared" si="1"/>
        <v>0.1</v>
      </c>
      <c r="D18" s="131">
        <f t="shared" si="1"/>
        <v>0.1</v>
      </c>
      <c r="E18" s="131">
        <f t="shared" si="1"/>
        <v>0</v>
      </c>
      <c r="F18" s="131">
        <f t="shared" si="1"/>
        <v>0.1</v>
      </c>
      <c r="G18" s="131">
        <f t="shared" si="1"/>
        <v>-0.1</v>
      </c>
      <c r="H18" s="131">
        <f t="shared" si="1"/>
        <v>0.1</v>
      </c>
      <c r="I18" s="131">
        <f t="shared" si="1"/>
        <v>-0.3</v>
      </c>
    </row>
    <row r="19" spans="1:9" x14ac:dyDescent="0.25">
      <c r="A19" s="133">
        <f t="shared" ref="A19:I19" si="2">A10</f>
        <v>2020</v>
      </c>
      <c r="B19" s="131">
        <f t="shared" si="2"/>
        <v>0</v>
      </c>
      <c r="C19" s="131">
        <f t="shared" si="2"/>
        <v>-0.1</v>
      </c>
      <c r="D19" s="131">
        <f t="shared" si="2"/>
        <v>-0.1</v>
      </c>
      <c r="E19" s="131">
        <f t="shared" si="2"/>
        <v>0</v>
      </c>
      <c r="F19" s="131">
        <f t="shared" si="2"/>
        <v>0.2</v>
      </c>
      <c r="G19" s="131">
        <f t="shared" si="2"/>
        <v>0</v>
      </c>
      <c r="H19" s="131">
        <f t="shared" si="2"/>
        <v>0.1</v>
      </c>
      <c r="I19" s="131">
        <f t="shared" si="2"/>
        <v>-0.4</v>
      </c>
    </row>
    <row r="20" spans="1:9" ht="14.25" thickBot="1" x14ac:dyDescent="0.3">
      <c r="A20" s="133">
        <f t="shared" ref="A20:I20" si="3">A11</f>
        <v>2021</v>
      </c>
      <c r="B20" s="131">
        <f t="shared" si="3"/>
        <v>0</v>
      </c>
      <c r="C20" s="131">
        <f t="shared" si="3"/>
        <v>-0.1</v>
      </c>
      <c r="D20" s="131">
        <f t="shared" si="3"/>
        <v>-0.1</v>
      </c>
      <c r="E20" s="131">
        <f t="shared" si="3"/>
        <v>0</v>
      </c>
      <c r="F20" s="131">
        <f t="shared" si="3"/>
        <v>0.2</v>
      </c>
      <c r="G20" s="131">
        <f t="shared" si="3"/>
        <v>0</v>
      </c>
      <c r="H20" s="131">
        <f t="shared" si="3"/>
        <v>0.1</v>
      </c>
      <c r="I20" s="131">
        <f t="shared" si="3"/>
        <v>-0.4</v>
      </c>
    </row>
    <row r="21" spans="1:9" ht="14.25" thickTop="1" x14ac:dyDescent="0.25">
      <c r="A21" s="1018" t="s">
        <v>235</v>
      </c>
      <c r="B21" s="1018"/>
      <c r="C21" s="1018"/>
      <c r="D21" s="1018"/>
      <c r="E21" s="1018"/>
      <c r="F21" s="1018"/>
      <c r="G21" s="1018"/>
      <c r="H21" s="1018"/>
      <c r="I21" s="1018"/>
    </row>
  </sheetData>
  <mergeCells count="22">
    <mergeCell ref="A21:I21"/>
    <mergeCell ref="A13:I13"/>
    <mergeCell ref="A14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2:H12"/>
    <mergeCell ref="A4:I4"/>
    <mergeCell ref="A5:I5"/>
    <mergeCell ref="A6:A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/>
  <dimension ref="A4:G34"/>
  <sheetViews>
    <sheetView showGridLines="0" zoomScale="90" zoomScaleNormal="90" workbookViewId="0">
      <selection activeCell="A20" sqref="A20:G20"/>
    </sheetView>
  </sheetViews>
  <sheetFormatPr defaultColWidth="9.140625" defaultRowHeight="13.5" x14ac:dyDescent="0.25"/>
  <cols>
    <col min="1" max="1" width="29.7109375" style="34" customWidth="1"/>
    <col min="2" max="6" width="9.140625" style="34"/>
    <col min="7" max="7" width="9.5703125" style="34" bestFit="1" customWidth="1"/>
    <col min="8" max="16384" width="9.140625" style="34"/>
  </cols>
  <sheetData>
    <row r="4" spans="1:7" ht="14.25" thickBot="1" x14ac:dyDescent="0.3">
      <c r="A4" s="919" t="s">
        <v>1287</v>
      </c>
      <c r="B4" s="919"/>
      <c r="C4" s="919"/>
      <c r="D4" s="919"/>
      <c r="E4" s="919"/>
      <c r="F4" s="919"/>
      <c r="G4" s="919"/>
    </row>
    <row r="5" spans="1:7" ht="14.25" thickBot="1" x14ac:dyDescent="0.3">
      <c r="A5" s="26"/>
      <c r="B5" s="26" t="s">
        <v>103</v>
      </c>
      <c r="C5" s="654">
        <v>2017</v>
      </c>
      <c r="D5" s="654">
        <v>2018</v>
      </c>
      <c r="E5" s="654">
        <v>2019</v>
      </c>
      <c r="F5" s="654">
        <v>2020</v>
      </c>
      <c r="G5" s="346">
        <v>2021</v>
      </c>
    </row>
    <row r="6" spans="1:7" x14ac:dyDescent="0.25">
      <c r="A6" s="142" t="s">
        <v>41</v>
      </c>
      <c r="B6" s="143"/>
      <c r="C6" s="143"/>
      <c r="D6" s="143"/>
      <c r="E6" s="143"/>
      <c r="F6" s="433"/>
      <c r="G6" s="433"/>
    </row>
    <row r="7" spans="1:7" x14ac:dyDescent="0.25">
      <c r="A7" s="139" t="s">
        <v>104</v>
      </c>
      <c r="B7" s="759"/>
      <c r="C7" s="187">
        <v>3.3</v>
      </c>
      <c r="D7" s="187">
        <v>4</v>
      </c>
      <c r="E7" s="187">
        <v>4.4000000000000004</v>
      </c>
      <c r="F7" s="187">
        <v>3.8</v>
      </c>
      <c r="G7" s="187" t="s">
        <v>14</v>
      </c>
    </row>
    <row r="8" spans="1:7" x14ac:dyDescent="0.25">
      <c r="A8" s="139" t="s">
        <v>105</v>
      </c>
      <c r="B8" s="433"/>
      <c r="C8" s="135">
        <v>3.4148380549375634</v>
      </c>
      <c r="D8" s="135">
        <v>4.2132237559521224</v>
      </c>
      <c r="E8" s="135">
        <v>4.5082075300671542</v>
      </c>
      <c r="F8" s="135">
        <v>3.8741085149651688</v>
      </c>
      <c r="G8" s="135">
        <v>3.3915538796869038</v>
      </c>
    </row>
    <row r="9" spans="1:7" ht="14.25" thickBot="1" x14ac:dyDescent="0.3">
      <c r="A9" s="139" t="s">
        <v>106</v>
      </c>
      <c r="B9" s="759"/>
      <c r="C9" s="760">
        <f>C8-C7</f>
        <v>0.11483805493756361</v>
      </c>
      <c r="D9" s="760">
        <f t="shared" ref="D9:F9" si="0">D8-D7</f>
        <v>0.2132237559521224</v>
      </c>
      <c r="E9" s="760">
        <f t="shared" si="0"/>
        <v>0.10820753006715389</v>
      </c>
      <c r="F9" s="760">
        <f t="shared" si="0"/>
        <v>7.4108514965169014E-2</v>
      </c>
      <c r="G9" s="760" t="s">
        <v>14</v>
      </c>
    </row>
    <row r="10" spans="1:7" x14ac:dyDescent="0.25">
      <c r="A10" s="137" t="s">
        <v>107</v>
      </c>
      <c r="B10" s="138" t="s">
        <v>108</v>
      </c>
      <c r="C10" s="138"/>
      <c r="D10" s="138"/>
      <c r="E10" s="138"/>
      <c r="F10" s="186"/>
      <c r="G10" s="186"/>
    </row>
    <row r="11" spans="1:7" x14ac:dyDescent="0.25">
      <c r="A11" s="139" t="s">
        <v>104</v>
      </c>
      <c r="B11" s="433"/>
      <c r="C11" s="189">
        <v>-1.24</v>
      </c>
      <c r="D11" s="189">
        <v>-0.5</v>
      </c>
      <c r="E11" s="189">
        <v>0</v>
      </c>
      <c r="F11" s="189">
        <v>0</v>
      </c>
      <c r="G11" s="144" t="s">
        <v>14</v>
      </c>
    </row>
    <row r="12" spans="1:7" x14ac:dyDescent="0.25">
      <c r="A12" s="139" t="s">
        <v>105</v>
      </c>
      <c r="B12" s="433"/>
      <c r="C12" s="189">
        <f>'Tab 11 '!C5</f>
        <v>-1.0407271892731618</v>
      </c>
      <c r="D12" s="189">
        <f>'Tab 11 '!D5</f>
        <v>-0.79910212580028939</v>
      </c>
      <c r="E12" s="189">
        <f>'Tab 11 '!E5</f>
        <v>-0.31517668539133092</v>
      </c>
      <c r="F12" s="189">
        <f>'Tab 11 '!F5</f>
        <v>0</v>
      </c>
      <c r="G12" s="189">
        <f>'Tab 11 '!G5</f>
        <v>0</v>
      </c>
    </row>
    <row r="13" spans="1:7" ht="14.25" thickBot="1" x14ac:dyDescent="0.3">
      <c r="A13" s="140" t="s">
        <v>106</v>
      </c>
      <c r="B13" s="141"/>
      <c r="C13" s="655">
        <f>C12-C11</f>
        <v>0.19927281072683822</v>
      </c>
      <c r="D13" s="655">
        <f>D12-D11</f>
        <v>-0.29910212580028939</v>
      </c>
      <c r="E13" s="655">
        <f>E12-E11</f>
        <v>-0.31517668539133092</v>
      </c>
      <c r="F13" s="655">
        <f t="shared" ref="F13" si="1">F12-F11</f>
        <v>0</v>
      </c>
      <c r="G13" s="655" t="s">
        <v>14</v>
      </c>
    </row>
    <row r="14" spans="1:7" x14ac:dyDescent="0.25">
      <c r="A14" s="142" t="s">
        <v>109</v>
      </c>
      <c r="B14" s="143"/>
      <c r="C14" s="143"/>
      <c r="D14" s="143"/>
      <c r="E14" s="143"/>
      <c r="F14" s="129"/>
      <c r="G14" s="129"/>
    </row>
    <row r="15" spans="1:7" x14ac:dyDescent="0.25">
      <c r="A15" s="139" t="s">
        <v>104</v>
      </c>
      <c r="B15" s="129"/>
      <c r="C15" s="129">
        <v>51.8</v>
      </c>
      <c r="D15" s="129">
        <v>49.9</v>
      </c>
      <c r="E15" s="187">
        <v>48</v>
      </c>
      <c r="F15" s="187">
        <v>46</v>
      </c>
      <c r="G15" s="101" t="s">
        <v>14</v>
      </c>
    </row>
    <row r="16" spans="1:7" x14ac:dyDescent="0.25">
      <c r="A16" s="139" t="s">
        <v>105</v>
      </c>
      <c r="B16" s="129"/>
      <c r="C16" s="187">
        <f>'Tab 20'!C18</f>
        <v>50.863185134979958</v>
      </c>
      <c r="D16" s="187">
        <f>'Tab 20'!D18</f>
        <v>49.268297393928535</v>
      </c>
      <c r="E16" s="187">
        <f>'Tab 20'!E18</f>
        <v>46.52418892070849</v>
      </c>
      <c r="F16" s="187">
        <f>'Tab 20'!F18</f>
        <v>44.857696769539444</v>
      </c>
      <c r="G16" s="187">
        <f>'Tab 20'!G18</f>
        <v>43.295313130032255</v>
      </c>
    </row>
    <row r="17" spans="1:7" ht="14.25" thickBot="1" x14ac:dyDescent="0.3">
      <c r="A17" s="140" t="s">
        <v>106</v>
      </c>
      <c r="B17" s="434"/>
      <c r="C17" s="188">
        <f>C16-C15</f>
        <v>-0.93681486502003963</v>
      </c>
      <c r="D17" s="188">
        <f t="shared" ref="D17" si="2">D16-D15</f>
        <v>-0.63170260607146389</v>
      </c>
      <c r="E17" s="188">
        <f t="shared" ref="E17" si="3">E16-E15</f>
        <v>-1.4758110792915105</v>
      </c>
      <c r="F17" s="188">
        <f t="shared" ref="F17" si="4">F16-F15</f>
        <v>-1.1423032304605556</v>
      </c>
      <c r="G17" s="188" t="s">
        <v>14</v>
      </c>
    </row>
    <row r="18" spans="1:7" x14ac:dyDescent="0.25">
      <c r="A18" s="435" t="s">
        <v>1180</v>
      </c>
      <c r="B18" s="17"/>
      <c r="C18" s="17"/>
      <c r="D18" s="17"/>
      <c r="E18" s="17"/>
      <c r="F18" s="982" t="s">
        <v>19</v>
      </c>
      <c r="G18" s="982"/>
    </row>
    <row r="20" spans="1:7" ht="14.25" thickBot="1" x14ac:dyDescent="0.3">
      <c r="A20" s="919" t="s">
        <v>1288</v>
      </c>
      <c r="B20" s="919"/>
      <c r="C20" s="919"/>
      <c r="D20" s="919"/>
      <c r="E20" s="919"/>
      <c r="F20" s="919"/>
      <c r="G20" s="919"/>
    </row>
    <row r="21" spans="1:7" ht="14.25" thickBot="1" x14ac:dyDescent="0.3">
      <c r="A21" s="26"/>
      <c r="B21" s="26" t="s">
        <v>103</v>
      </c>
      <c r="C21" s="346">
        <f>C5</f>
        <v>2017</v>
      </c>
      <c r="D21" s="346">
        <f t="shared" ref="D21:G21" si="5">D5</f>
        <v>2018</v>
      </c>
      <c r="E21" s="346">
        <f t="shared" si="5"/>
        <v>2019</v>
      </c>
      <c r="F21" s="346">
        <f t="shared" si="5"/>
        <v>2020</v>
      </c>
      <c r="G21" s="346">
        <f t="shared" si="5"/>
        <v>2021</v>
      </c>
    </row>
    <row r="22" spans="1:7" x14ac:dyDescent="0.25">
      <c r="A22" s="1" t="s">
        <v>236</v>
      </c>
      <c r="B22" s="27"/>
      <c r="C22" s="27"/>
      <c r="D22" s="27"/>
      <c r="E22" s="27"/>
      <c r="F22" s="3"/>
      <c r="G22" s="3"/>
    </row>
    <row r="23" spans="1:7" x14ac:dyDescent="0.25">
      <c r="A23" s="89" t="s">
        <v>237</v>
      </c>
      <c r="B23" s="15"/>
      <c r="C23" s="131">
        <f t="shared" ref="C23:G23" si="6">C7</f>
        <v>3.3</v>
      </c>
      <c r="D23" s="131">
        <f t="shared" si="6"/>
        <v>4</v>
      </c>
      <c r="E23" s="131">
        <f t="shared" si="6"/>
        <v>4.4000000000000004</v>
      </c>
      <c r="F23" s="131">
        <f t="shared" si="6"/>
        <v>3.8</v>
      </c>
      <c r="G23" s="131" t="str">
        <f t="shared" si="6"/>
        <v>-</v>
      </c>
    </row>
    <row r="24" spans="1:7" x14ac:dyDescent="0.25">
      <c r="A24" s="89" t="s">
        <v>238</v>
      </c>
      <c r="B24" s="5"/>
      <c r="C24" s="134">
        <f t="shared" ref="C24:G24" si="7">C8</f>
        <v>3.4148380549375634</v>
      </c>
      <c r="D24" s="135">
        <f t="shared" si="7"/>
        <v>4.2132237559521224</v>
      </c>
      <c r="E24" s="135">
        <f t="shared" si="7"/>
        <v>4.5082075300671542</v>
      </c>
      <c r="F24" s="135">
        <f t="shared" si="7"/>
        <v>3.8741085149651688</v>
      </c>
      <c r="G24" s="135">
        <f t="shared" si="7"/>
        <v>3.3915538796869038</v>
      </c>
    </row>
    <row r="25" spans="1:7" ht="14.25" thickBot="1" x14ac:dyDescent="0.3">
      <c r="A25" s="89" t="s">
        <v>239</v>
      </c>
      <c r="B25" s="15"/>
      <c r="C25" s="136">
        <f t="shared" ref="C25:G25" si="8">C9</f>
        <v>0.11483805493756361</v>
      </c>
      <c r="D25" s="136">
        <f t="shared" si="8"/>
        <v>0.2132237559521224</v>
      </c>
      <c r="E25" s="136">
        <f t="shared" si="8"/>
        <v>0.10820753006715389</v>
      </c>
      <c r="F25" s="136">
        <f t="shared" si="8"/>
        <v>7.4108514965169014E-2</v>
      </c>
      <c r="G25" s="136" t="str">
        <f t="shared" si="8"/>
        <v>-</v>
      </c>
    </row>
    <row r="26" spans="1:7" x14ac:dyDescent="0.25">
      <c r="A26" s="90" t="s">
        <v>241</v>
      </c>
      <c r="B26" s="91" t="s">
        <v>108</v>
      </c>
      <c r="C26" s="664"/>
      <c r="D26" s="664"/>
      <c r="E26" s="664"/>
      <c r="F26" s="665"/>
      <c r="G26" s="665"/>
    </row>
    <row r="27" spans="1:7" x14ac:dyDescent="0.25">
      <c r="A27" s="89" t="s">
        <v>237</v>
      </c>
      <c r="B27" s="5"/>
      <c r="C27" s="189">
        <f t="shared" ref="C27:G27" si="9">C11</f>
        <v>-1.24</v>
      </c>
      <c r="D27" s="189">
        <f t="shared" si="9"/>
        <v>-0.5</v>
      </c>
      <c r="E27" s="189">
        <f t="shared" si="9"/>
        <v>0</v>
      </c>
      <c r="F27" s="189">
        <f t="shared" si="9"/>
        <v>0</v>
      </c>
      <c r="G27" s="189" t="str">
        <f t="shared" si="9"/>
        <v>-</v>
      </c>
    </row>
    <row r="28" spans="1:7" x14ac:dyDescent="0.25">
      <c r="A28" s="89" t="s">
        <v>238</v>
      </c>
      <c r="B28" s="5"/>
      <c r="C28" s="189">
        <f t="shared" ref="C28:G28" si="10">C12</f>
        <v>-1.0407271892731618</v>
      </c>
      <c r="D28" s="189">
        <f t="shared" si="10"/>
        <v>-0.79910212580028939</v>
      </c>
      <c r="E28" s="189">
        <f t="shared" si="10"/>
        <v>-0.31517668539133092</v>
      </c>
      <c r="F28" s="189">
        <f t="shared" si="10"/>
        <v>0</v>
      </c>
      <c r="G28" s="189">
        <f t="shared" si="10"/>
        <v>0</v>
      </c>
    </row>
    <row r="29" spans="1:7" ht="14.25" thickBot="1" x14ac:dyDescent="0.3">
      <c r="A29" s="89" t="s">
        <v>239</v>
      </c>
      <c r="B29" s="84"/>
      <c r="C29" s="655">
        <f t="shared" ref="C29:G29" si="11">C13</f>
        <v>0.19927281072683822</v>
      </c>
      <c r="D29" s="655">
        <f t="shared" si="11"/>
        <v>-0.29910212580028939</v>
      </c>
      <c r="E29" s="655">
        <f t="shared" si="11"/>
        <v>-0.31517668539133092</v>
      </c>
      <c r="F29" s="655">
        <f t="shared" si="11"/>
        <v>0</v>
      </c>
      <c r="G29" s="655" t="str">
        <f t="shared" si="11"/>
        <v>-</v>
      </c>
    </row>
    <row r="30" spans="1:7" x14ac:dyDescent="0.25">
      <c r="A30" s="90" t="s">
        <v>240</v>
      </c>
      <c r="B30" s="151"/>
      <c r="C30" s="143"/>
      <c r="D30" s="143"/>
      <c r="E30" s="143"/>
      <c r="F30" s="129"/>
      <c r="G30" s="129"/>
    </row>
    <row r="31" spans="1:7" x14ac:dyDescent="0.25">
      <c r="A31" s="89" t="s">
        <v>237</v>
      </c>
      <c r="B31" s="101"/>
      <c r="C31" s="129">
        <f t="shared" ref="C31:G31" si="12">C15</f>
        <v>51.8</v>
      </c>
      <c r="D31" s="129">
        <f t="shared" si="12"/>
        <v>49.9</v>
      </c>
      <c r="E31" s="129">
        <f t="shared" si="12"/>
        <v>48</v>
      </c>
      <c r="F31" s="129">
        <f t="shared" si="12"/>
        <v>46</v>
      </c>
      <c r="G31" s="129" t="str">
        <f t="shared" si="12"/>
        <v>-</v>
      </c>
    </row>
    <row r="32" spans="1:7" x14ac:dyDescent="0.25">
      <c r="A32" s="89" t="s">
        <v>238</v>
      </c>
      <c r="B32" s="101"/>
      <c r="C32" s="187">
        <f t="shared" ref="C32:G32" si="13">C16</f>
        <v>50.863185134979958</v>
      </c>
      <c r="D32" s="187">
        <f t="shared" si="13"/>
        <v>49.268297393928535</v>
      </c>
      <c r="E32" s="187">
        <f t="shared" si="13"/>
        <v>46.52418892070849</v>
      </c>
      <c r="F32" s="187">
        <f t="shared" si="13"/>
        <v>44.857696769539444</v>
      </c>
      <c r="G32" s="187">
        <f t="shared" si="13"/>
        <v>43.295313130032255</v>
      </c>
    </row>
    <row r="33" spans="1:7" ht="18" customHeight="1" thickBot="1" x14ac:dyDescent="0.3">
      <c r="A33" s="89" t="s">
        <v>239</v>
      </c>
      <c r="B33" s="436"/>
      <c r="C33" s="188">
        <f t="shared" ref="C33:G33" si="14">C17</f>
        <v>-0.93681486502003963</v>
      </c>
      <c r="D33" s="188">
        <f t="shared" si="14"/>
        <v>-0.63170260607146389</v>
      </c>
      <c r="E33" s="188">
        <f t="shared" si="14"/>
        <v>-1.4758110792915105</v>
      </c>
      <c r="F33" s="188">
        <f t="shared" si="14"/>
        <v>-1.1423032304605556</v>
      </c>
      <c r="G33" s="188" t="str">
        <f t="shared" si="14"/>
        <v>-</v>
      </c>
    </row>
    <row r="34" spans="1:7" x14ac:dyDescent="0.25">
      <c r="A34" s="437" t="s">
        <v>1181</v>
      </c>
      <c r="B34" s="17"/>
      <c r="C34" s="17"/>
      <c r="D34" s="17"/>
      <c r="E34" s="17"/>
      <c r="F34" s="982" t="s">
        <v>235</v>
      </c>
      <c r="G34" s="982"/>
    </row>
  </sheetData>
  <mergeCells count="4">
    <mergeCell ref="A4:G4"/>
    <mergeCell ref="F18:G18"/>
    <mergeCell ref="A20:G20"/>
    <mergeCell ref="F34:G34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9"/>
  <dimension ref="B3:K37"/>
  <sheetViews>
    <sheetView showGridLines="0" zoomScale="90" zoomScaleNormal="90" workbookViewId="0">
      <selection activeCell="B33" sqref="B33"/>
    </sheetView>
  </sheetViews>
  <sheetFormatPr defaultColWidth="9.140625" defaultRowHeight="13.5" x14ac:dyDescent="0.25"/>
  <cols>
    <col min="1" max="1" width="9.140625" style="349"/>
    <col min="2" max="2" width="27" style="349" customWidth="1"/>
    <col min="3" max="3" width="22.42578125" style="349" customWidth="1"/>
    <col min="4" max="4" width="10.28515625" style="349" customWidth="1"/>
    <col min="5" max="5" width="10" style="349" customWidth="1"/>
    <col min="6" max="6" width="11.140625" style="349" customWidth="1"/>
    <col min="7" max="8" width="9.140625" style="349"/>
    <col min="9" max="9" width="9.140625" style="432"/>
    <col min="10" max="10" width="14" style="349" customWidth="1"/>
    <col min="11" max="11" width="14" style="432" customWidth="1"/>
    <col min="12" max="16384" width="9.140625" style="349"/>
  </cols>
  <sheetData>
    <row r="3" spans="2:11" x14ac:dyDescent="0.25">
      <c r="D3" s="777" t="s">
        <v>1048</v>
      </c>
      <c r="E3" s="777" t="s">
        <v>1047</v>
      </c>
      <c r="F3" s="777" t="s">
        <v>1046</v>
      </c>
      <c r="G3" s="777" t="s">
        <v>1045</v>
      </c>
      <c r="H3" s="777" t="s">
        <v>1045</v>
      </c>
      <c r="I3" s="778" t="s">
        <v>1044</v>
      </c>
      <c r="J3" s="778" t="s">
        <v>1044</v>
      </c>
    </row>
    <row r="4" spans="2:11" x14ac:dyDescent="0.25">
      <c r="D4" s="777" t="s">
        <v>1041</v>
      </c>
      <c r="E4" s="777" t="s">
        <v>1042</v>
      </c>
      <c r="F4" s="777" t="s">
        <v>1043</v>
      </c>
      <c r="G4" s="777" t="s">
        <v>1040</v>
      </c>
      <c r="H4" s="777" t="s">
        <v>1040</v>
      </c>
      <c r="I4" s="778" t="s">
        <v>1040</v>
      </c>
      <c r="J4" s="778" t="s">
        <v>1040</v>
      </c>
    </row>
    <row r="5" spans="2:11" x14ac:dyDescent="0.25">
      <c r="B5" s="429"/>
      <c r="C5" s="429"/>
      <c r="D5" s="430">
        <v>2005</v>
      </c>
      <c r="E5" s="430">
        <v>2009</v>
      </c>
      <c r="F5" s="430">
        <v>2014</v>
      </c>
      <c r="G5" s="430">
        <v>2016</v>
      </c>
      <c r="H5" s="430">
        <v>2017</v>
      </c>
      <c r="I5" s="669">
        <v>2019</v>
      </c>
      <c r="J5" s="669">
        <v>2021</v>
      </c>
    </row>
    <row r="6" spans="2:11" x14ac:dyDescent="0.25">
      <c r="B6" s="350" t="s">
        <v>1716</v>
      </c>
      <c r="C6" s="350"/>
      <c r="D6" s="351">
        <v>1.3</v>
      </c>
      <c r="E6" s="351">
        <v>5.7</v>
      </c>
      <c r="F6" s="351">
        <v>2.2000000000000002</v>
      </c>
      <c r="G6" s="351">
        <v>-0.7</v>
      </c>
      <c r="H6" s="351">
        <v>-2.1</v>
      </c>
      <c r="I6" s="351">
        <v>-2.6</v>
      </c>
      <c r="J6" s="351"/>
    </row>
    <row r="7" spans="2:11" s="668" customFormat="1" x14ac:dyDescent="0.25">
      <c r="B7" s="666" t="s">
        <v>1717</v>
      </c>
      <c r="C7" s="666"/>
      <c r="D7" s="667"/>
      <c r="E7" s="667"/>
      <c r="F7" s="667"/>
      <c r="G7" s="667"/>
      <c r="H7" s="667"/>
      <c r="I7" s="667">
        <v>-2.3904865534375515</v>
      </c>
      <c r="J7" s="667">
        <v>-3.1140168803809267</v>
      </c>
      <c r="K7" s="779"/>
    </row>
    <row r="8" spans="2:11" s="668" customFormat="1" x14ac:dyDescent="0.25">
      <c r="B8" s="666" t="s">
        <v>1718</v>
      </c>
      <c r="C8" s="666"/>
      <c r="D8" s="667"/>
      <c r="E8" s="667"/>
      <c r="F8" s="667"/>
      <c r="G8" s="667"/>
      <c r="H8" s="667"/>
      <c r="I8" s="667">
        <v>-0.51439333871488757</v>
      </c>
      <c r="J8" s="667">
        <v>-0.84562912425198888</v>
      </c>
      <c r="K8" s="779"/>
    </row>
    <row r="9" spans="2:11" x14ac:dyDescent="0.25">
      <c r="B9" s="349" t="s">
        <v>890</v>
      </c>
      <c r="C9" s="351">
        <v>-4</v>
      </c>
      <c r="D9" s="351">
        <v>-4</v>
      </c>
      <c r="E9" s="351">
        <v>-4</v>
      </c>
      <c r="F9" s="351">
        <v>-4</v>
      </c>
      <c r="G9" s="351">
        <v>-4</v>
      </c>
      <c r="H9" s="351">
        <v>-4</v>
      </c>
      <c r="I9" s="351">
        <v>-4</v>
      </c>
      <c r="J9" s="351">
        <v>-4</v>
      </c>
      <c r="K9" s="780">
        <v>-4</v>
      </c>
    </row>
    <row r="10" spans="2:11" x14ac:dyDescent="0.25">
      <c r="B10" s="349" t="s">
        <v>891</v>
      </c>
      <c r="C10" s="351">
        <v>2.5</v>
      </c>
      <c r="D10" s="351">
        <v>2.5</v>
      </c>
      <c r="E10" s="351">
        <v>2.5</v>
      </c>
      <c r="F10" s="351">
        <v>2.5</v>
      </c>
      <c r="G10" s="351">
        <v>2.5</v>
      </c>
      <c r="H10" s="351">
        <v>2.5</v>
      </c>
      <c r="I10" s="351">
        <v>2.5</v>
      </c>
      <c r="J10" s="351">
        <v>2.5</v>
      </c>
      <c r="K10" s="780">
        <v>2.5</v>
      </c>
    </row>
    <row r="11" spans="2:11" x14ac:dyDescent="0.25">
      <c r="B11" s="349" t="s">
        <v>892</v>
      </c>
      <c r="C11" s="351">
        <v>6</v>
      </c>
      <c r="D11" s="351">
        <v>6</v>
      </c>
      <c r="E11" s="351">
        <v>6</v>
      </c>
      <c r="F11" s="351">
        <v>6</v>
      </c>
      <c r="G11" s="351">
        <v>6</v>
      </c>
      <c r="H11" s="351">
        <v>6</v>
      </c>
      <c r="I11" s="351">
        <v>6</v>
      </c>
      <c r="J11" s="351">
        <v>6</v>
      </c>
      <c r="K11" s="780">
        <v>6</v>
      </c>
    </row>
    <row r="12" spans="2:11" x14ac:dyDescent="0.25">
      <c r="B12" s="429" t="s">
        <v>818</v>
      </c>
      <c r="C12" s="431">
        <v>2.5</v>
      </c>
      <c r="D12" s="431">
        <v>2.5</v>
      </c>
      <c r="E12" s="431">
        <v>2.5</v>
      </c>
      <c r="F12" s="431">
        <v>2.5</v>
      </c>
      <c r="G12" s="431">
        <v>2.5</v>
      </c>
      <c r="H12" s="431">
        <v>2.5</v>
      </c>
      <c r="I12" s="431">
        <v>2.5</v>
      </c>
      <c r="J12" s="431">
        <v>2.5</v>
      </c>
      <c r="K12" s="780">
        <v>2.5</v>
      </c>
    </row>
    <row r="14" spans="2:11" x14ac:dyDescent="0.25">
      <c r="B14" s="393" t="s">
        <v>1289</v>
      </c>
    </row>
    <row r="29" spans="2:11" x14ac:dyDescent="0.25">
      <c r="B29" s="429"/>
      <c r="C29" s="429"/>
      <c r="D29" s="430">
        <f>D5</f>
        <v>2005</v>
      </c>
      <c r="E29" s="430">
        <f t="shared" ref="E29:J29" si="0">E5</f>
        <v>2009</v>
      </c>
      <c r="F29" s="430">
        <f t="shared" si="0"/>
        <v>2014</v>
      </c>
      <c r="G29" s="430">
        <f t="shared" si="0"/>
        <v>2016</v>
      </c>
      <c r="H29" s="430">
        <f t="shared" si="0"/>
        <v>2017</v>
      </c>
      <c r="I29" s="430">
        <f t="shared" si="0"/>
        <v>2019</v>
      </c>
      <c r="J29" s="430">
        <f t="shared" si="0"/>
        <v>2021</v>
      </c>
    </row>
    <row r="30" spans="2:11" x14ac:dyDescent="0.25">
      <c r="B30" s="350" t="s">
        <v>321</v>
      </c>
      <c r="C30" s="350"/>
      <c r="D30" s="351">
        <v>3</v>
      </c>
      <c r="E30" s="351">
        <v>7.4</v>
      </c>
      <c r="F30" s="351">
        <v>6.9</v>
      </c>
      <c r="G30" s="351">
        <v>3.5</v>
      </c>
      <c r="H30" s="351">
        <v>2.4</v>
      </c>
      <c r="I30" s="351">
        <v>2.4</v>
      </c>
      <c r="J30" s="351"/>
    </row>
    <row r="31" spans="2:11" s="668" customFormat="1" x14ac:dyDescent="0.25">
      <c r="B31" s="666" t="s">
        <v>1719</v>
      </c>
      <c r="C31" s="666"/>
      <c r="D31" s="667"/>
      <c r="E31" s="667"/>
      <c r="F31" s="667"/>
      <c r="G31" s="667"/>
      <c r="H31" s="667"/>
      <c r="I31" s="667">
        <v>2.4879608491637724</v>
      </c>
      <c r="J31" s="667">
        <v>2.3252686022627058</v>
      </c>
      <c r="K31" s="779"/>
    </row>
    <row r="32" spans="2:11" x14ac:dyDescent="0.25">
      <c r="B32" s="349" t="s">
        <v>890</v>
      </c>
      <c r="C32" s="351">
        <v>2</v>
      </c>
      <c r="D32" s="351">
        <v>2</v>
      </c>
      <c r="E32" s="351">
        <v>2</v>
      </c>
      <c r="F32" s="351">
        <v>2</v>
      </c>
      <c r="G32" s="351">
        <v>2</v>
      </c>
      <c r="H32" s="351">
        <v>2</v>
      </c>
      <c r="I32" s="351">
        <v>2</v>
      </c>
      <c r="J32" s="351">
        <v>2</v>
      </c>
      <c r="K32" s="780">
        <v>2</v>
      </c>
    </row>
    <row r="33" spans="2:11" x14ac:dyDescent="0.25">
      <c r="B33" s="349" t="s">
        <v>891</v>
      </c>
      <c r="C33" s="351">
        <v>6</v>
      </c>
      <c r="D33" s="351">
        <v>6</v>
      </c>
      <c r="E33" s="351">
        <v>6</v>
      </c>
      <c r="F33" s="351">
        <v>6</v>
      </c>
      <c r="G33" s="351">
        <v>6</v>
      </c>
      <c r="H33" s="351">
        <v>6</v>
      </c>
      <c r="I33" s="351">
        <v>6</v>
      </c>
      <c r="J33" s="351">
        <v>6</v>
      </c>
      <c r="K33" s="780">
        <v>6</v>
      </c>
    </row>
    <row r="34" spans="2:11" x14ac:dyDescent="0.25">
      <c r="B34" s="349" t="s">
        <v>892</v>
      </c>
      <c r="C34" s="351">
        <v>8</v>
      </c>
      <c r="D34" s="351">
        <v>8</v>
      </c>
      <c r="E34" s="351">
        <v>8</v>
      </c>
      <c r="F34" s="351">
        <v>8</v>
      </c>
      <c r="G34" s="351">
        <v>8</v>
      </c>
      <c r="H34" s="351">
        <v>8</v>
      </c>
      <c r="I34" s="351">
        <v>8</v>
      </c>
      <c r="J34" s="351">
        <v>8</v>
      </c>
      <c r="K34" s="780">
        <v>8</v>
      </c>
    </row>
    <row r="35" spans="2:11" x14ac:dyDescent="0.25">
      <c r="B35" s="429" t="s">
        <v>889</v>
      </c>
      <c r="C35" s="431">
        <v>6</v>
      </c>
      <c r="D35" s="431">
        <v>6</v>
      </c>
      <c r="E35" s="431">
        <v>6</v>
      </c>
      <c r="F35" s="431">
        <v>6</v>
      </c>
      <c r="G35" s="431">
        <v>6</v>
      </c>
      <c r="H35" s="431">
        <v>6</v>
      </c>
      <c r="I35" s="431">
        <v>6</v>
      </c>
      <c r="J35" s="431">
        <v>6</v>
      </c>
      <c r="K35" s="780">
        <v>6</v>
      </c>
    </row>
    <row r="37" spans="2:11" x14ac:dyDescent="0.25">
      <c r="B37" s="393" t="s">
        <v>1290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/>
  <dimension ref="A1:C37"/>
  <sheetViews>
    <sheetView showGridLines="0" zoomScale="90" zoomScaleNormal="90" workbookViewId="0">
      <selection activeCell="C21" sqref="C21"/>
    </sheetView>
  </sheetViews>
  <sheetFormatPr defaultColWidth="9.140625" defaultRowHeight="13.5" x14ac:dyDescent="0.25"/>
  <cols>
    <col min="1" max="1" width="60.5703125" style="34" customWidth="1"/>
    <col min="2" max="2" width="9.140625" style="34"/>
    <col min="3" max="3" width="65.42578125" style="34" customWidth="1"/>
    <col min="4" max="16384" width="9.140625" style="34"/>
  </cols>
  <sheetData>
    <row r="1" spans="1:3" ht="54.75" thickBot="1" x14ac:dyDescent="0.3">
      <c r="A1" s="878" t="s">
        <v>1498</v>
      </c>
      <c r="B1" s="514"/>
      <c r="C1" s="878" t="s">
        <v>1499</v>
      </c>
    </row>
    <row r="18" spans="1:3" ht="14.25" thickBot="1" x14ac:dyDescent="0.3"/>
    <row r="19" spans="1:3" ht="13.15" customHeight="1" x14ac:dyDescent="0.25">
      <c r="A19" s="1019" t="s">
        <v>1345</v>
      </c>
      <c r="B19" s="1021"/>
      <c r="C19" s="562" t="s">
        <v>1346</v>
      </c>
    </row>
    <row r="20" spans="1:3" ht="12" customHeight="1" x14ac:dyDescent="0.25">
      <c r="A20" s="1020"/>
      <c r="B20" s="1021"/>
      <c r="C20" s="76" t="s">
        <v>1345</v>
      </c>
    </row>
    <row r="21" spans="1:3" x14ac:dyDescent="0.25">
      <c r="A21" s="478" t="s">
        <v>1500</v>
      </c>
      <c r="C21" s="478" t="s">
        <v>1501</v>
      </c>
    </row>
    <row r="22" spans="1:3" x14ac:dyDescent="0.25">
      <c r="C22" s="478" t="s">
        <v>1500</v>
      </c>
    </row>
    <row r="25" spans="1:3" x14ac:dyDescent="0.25">
      <c r="A25" s="297"/>
      <c r="B25" s="297" t="s">
        <v>1343</v>
      </c>
      <c r="C25" s="297" t="s">
        <v>1347</v>
      </c>
    </row>
    <row r="26" spans="1:3" x14ac:dyDescent="0.25">
      <c r="A26" s="34" t="s">
        <v>1720</v>
      </c>
      <c r="B26" s="879">
        <v>1.3081353985042676E-2</v>
      </c>
      <c r="C26" s="322">
        <v>1.9785973801288891E-2</v>
      </c>
    </row>
    <row r="27" spans="1:3" x14ac:dyDescent="0.25">
      <c r="A27" s="34" t="s">
        <v>1721</v>
      </c>
      <c r="B27" s="879">
        <v>1.3996697169675998E-2</v>
      </c>
      <c r="C27" s="322">
        <v>1.8319715576120599E-2</v>
      </c>
    </row>
    <row r="28" spans="1:3" x14ac:dyDescent="0.25">
      <c r="A28" s="34" t="s">
        <v>1722</v>
      </c>
      <c r="B28" s="879">
        <v>5.5725034356187055E-3</v>
      </c>
      <c r="C28" s="322">
        <v>3.4778771586498496E-3</v>
      </c>
    </row>
    <row r="29" spans="1:3" x14ac:dyDescent="0.25">
      <c r="A29" s="34" t="s">
        <v>1723</v>
      </c>
      <c r="B29" s="879">
        <v>6.833081156829221E-4</v>
      </c>
      <c r="C29" s="322">
        <v>-2.8137010421771967E-3</v>
      </c>
    </row>
    <row r="30" spans="1:3" x14ac:dyDescent="0.25">
      <c r="A30" s="34" t="s">
        <v>1724</v>
      </c>
      <c r="B30" s="879">
        <v>-3.007618508497499E-4</v>
      </c>
      <c r="C30" s="322">
        <v>-9.7319517913289271E-4</v>
      </c>
    </row>
    <row r="34" spans="1:3" x14ac:dyDescent="0.25">
      <c r="A34" s="297"/>
      <c r="B34" s="297" t="s">
        <v>1349</v>
      </c>
      <c r="C34" s="297" t="s">
        <v>1727</v>
      </c>
    </row>
    <row r="35" spans="1:3" x14ac:dyDescent="0.25">
      <c r="A35" s="34" t="s">
        <v>1720</v>
      </c>
      <c r="B35" s="34">
        <v>-5.9258857753932685E-2</v>
      </c>
      <c r="C35" s="34">
        <v>-0.22245425389329698</v>
      </c>
    </row>
    <row r="36" spans="1:3" x14ac:dyDescent="0.25">
      <c r="A36" s="34" t="s">
        <v>1725</v>
      </c>
      <c r="B36" s="34">
        <v>-4.3237526720624864E-2</v>
      </c>
      <c r="C36" s="34">
        <v>-7.6338205300630957E-2</v>
      </c>
    </row>
    <row r="37" spans="1:3" x14ac:dyDescent="0.25">
      <c r="A37" s="34" t="s">
        <v>1726</v>
      </c>
      <c r="B37" s="34">
        <v>0.21533943081878737</v>
      </c>
      <c r="C37" s="34">
        <v>0.24581927513179902</v>
      </c>
    </row>
  </sheetData>
  <mergeCells count="2">
    <mergeCell ref="A19:A20"/>
    <mergeCell ref="B19:B20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2"/>
  <dimension ref="A1:AW48"/>
  <sheetViews>
    <sheetView showGridLines="0" zoomScale="90" zoomScaleNormal="90" workbookViewId="0">
      <selection activeCell="A26" sqref="A26"/>
    </sheetView>
  </sheetViews>
  <sheetFormatPr defaultColWidth="9.140625" defaultRowHeight="13.5" x14ac:dyDescent="0.25"/>
  <cols>
    <col min="1" max="1" width="66" style="34" bestFit="1" customWidth="1"/>
    <col min="2" max="16384" width="9.140625" style="34"/>
  </cols>
  <sheetData>
    <row r="1" spans="1:11" ht="23.25" customHeight="1" x14ac:dyDescent="0.25">
      <c r="A1" s="880" t="s">
        <v>1508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18" spans="1:46" x14ac:dyDescent="0.25">
      <c r="A18" s="352"/>
      <c r="B18" s="352"/>
      <c r="C18" s="352"/>
      <c r="D18" s="352"/>
      <c r="E18" s="352"/>
      <c r="F18" s="352"/>
      <c r="G18" s="352"/>
      <c r="H18" s="881" t="s">
        <v>1342</v>
      </c>
      <c r="I18" s="352"/>
      <c r="J18" s="352"/>
      <c r="K18" s="352"/>
    </row>
    <row r="19" spans="1:46" ht="19.5" customHeight="1" x14ac:dyDescent="0.25">
      <c r="A19" s="300"/>
      <c r="B19" s="300"/>
      <c r="C19" s="300"/>
      <c r="D19" s="300"/>
      <c r="E19" s="300"/>
      <c r="F19" s="300"/>
      <c r="G19" s="300"/>
      <c r="H19" s="882" t="s">
        <v>1506</v>
      </c>
      <c r="I19" s="300"/>
      <c r="K19" s="300"/>
    </row>
    <row r="20" spans="1:46" s="883" customFormat="1" x14ac:dyDescent="0.25">
      <c r="B20" s="883">
        <v>2016</v>
      </c>
      <c r="C20" s="883">
        <v>2017</v>
      </c>
      <c r="D20" s="883">
        <v>2018</v>
      </c>
      <c r="E20" s="883">
        <v>2019</v>
      </c>
      <c r="F20" s="883">
        <v>2020</v>
      </c>
      <c r="G20" s="883">
        <v>2021</v>
      </c>
      <c r="H20" s="883">
        <v>2022</v>
      </c>
      <c r="I20" s="883">
        <v>2023</v>
      </c>
      <c r="J20" s="883">
        <v>2024</v>
      </c>
      <c r="K20" s="883">
        <v>2025</v>
      </c>
      <c r="L20" s="883">
        <v>2026</v>
      </c>
      <c r="M20" s="883">
        <v>2027</v>
      </c>
      <c r="N20" s="883">
        <v>2028</v>
      </c>
      <c r="O20" s="883">
        <v>2029</v>
      </c>
      <c r="P20" s="883">
        <v>2030</v>
      </c>
      <c r="Q20" s="883">
        <v>2031</v>
      </c>
      <c r="R20" s="883">
        <v>2032</v>
      </c>
      <c r="S20" s="883">
        <v>2033</v>
      </c>
      <c r="T20" s="883">
        <v>2034</v>
      </c>
      <c r="U20" s="883">
        <v>2035</v>
      </c>
      <c r="V20" s="883">
        <v>2036</v>
      </c>
      <c r="W20" s="883">
        <v>2037</v>
      </c>
      <c r="X20" s="883">
        <v>2038</v>
      </c>
      <c r="Y20" s="883">
        <v>2039</v>
      </c>
      <c r="Z20" s="883">
        <v>2040</v>
      </c>
      <c r="AA20" s="883">
        <v>2041</v>
      </c>
      <c r="AB20" s="883">
        <v>2042</v>
      </c>
      <c r="AC20" s="883">
        <v>2043</v>
      </c>
      <c r="AD20" s="883">
        <v>2044</v>
      </c>
      <c r="AE20" s="883">
        <v>2045</v>
      </c>
      <c r="AF20" s="883">
        <v>2046</v>
      </c>
      <c r="AG20" s="883">
        <v>2047</v>
      </c>
      <c r="AH20" s="883">
        <v>2048</v>
      </c>
      <c r="AI20" s="883">
        <v>2049</v>
      </c>
      <c r="AJ20" s="883">
        <v>2050</v>
      </c>
      <c r="AK20" s="883">
        <v>2051</v>
      </c>
      <c r="AL20" s="883">
        <v>2052</v>
      </c>
      <c r="AM20" s="883">
        <v>2053</v>
      </c>
      <c r="AN20" s="883">
        <v>2054</v>
      </c>
      <c r="AO20" s="883">
        <v>2055</v>
      </c>
      <c r="AP20" s="883">
        <v>2056</v>
      </c>
      <c r="AQ20" s="883">
        <v>2057</v>
      </c>
      <c r="AR20" s="883">
        <v>2058</v>
      </c>
      <c r="AS20" s="883">
        <v>2059</v>
      </c>
      <c r="AT20" s="883">
        <v>2060</v>
      </c>
    </row>
    <row r="21" spans="1:46" x14ac:dyDescent="0.25">
      <c r="A21" s="34" t="s">
        <v>1502</v>
      </c>
      <c r="B21" s="884">
        <v>8.7138106549055488E-2</v>
      </c>
      <c r="C21" s="884">
        <v>8.6433025370603836E-2</v>
      </c>
      <c r="D21" s="884">
        <v>8.5408516418291419E-2</v>
      </c>
      <c r="E21" s="884">
        <v>8.4163072406238673E-2</v>
      </c>
      <c r="F21" s="884">
        <v>8.411548858411691E-2</v>
      </c>
      <c r="G21" s="884">
        <v>8.3665140339108643E-2</v>
      </c>
      <c r="H21" s="884">
        <v>8.3483529265742831E-2</v>
      </c>
      <c r="I21" s="884">
        <v>8.3253025971600156E-2</v>
      </c>
      <c r="J21" s="884">
        <v>8.2863022471146644E-2</v>
      </c>
      <c r="K21" s="884">
        <v>8.256530000493506E-2</v>
      </c>
      <c r="L21" s="884">
        <v>8.1457425735056307E-2</v>
      </c>
      <c r="M21" s="884">
        <v>8.1225286697118718E-2</v>
      </c>
      <c r="N21" s="884">
        <v>8.0696476412955867E-2</v>
      </c>
      <c r="O21" s="884">
        <v>8.0357897753187246E-2</v>
      </c>
      <c r="P21" s="884">
        <v>8.0013989561639964E-2</v>
      </c>
      <c r="Q21" s="884">
        <v>7.9889659510333291E-2</v>
      </c>
      <c r="R21" s="884">
        <v>8.0067472390790109E-2</v>
      </c>
      <c r="S21" s="884">
        <v>7.9694830148649975E-2</v>
      </c>
      <c r="T21" s="884">
        <v>8.0116168032593804E-2</v>
      </c>
      <c r="U21" s="884">
        <v>8.0522541207138337E-2</v>
      </c>
      <c r="V21" s="884">
        <v>8.1165069719844218E-2</v>
      </c>
      <c r="W21" s="884">
        <v>8.1837460178690147E-2</v>
      </c>
      <c r="X21" s="884">
        <v>8.2601275073119998E-2</v>
      </c>
      <c r="Y21" s="884">
        <v>8.3503130136252213E-2</v>
      </c>
      <c r="Z21" s="884">
        <v>8.492136711730415E-2</v>
      </c>
      <c r="AA21" s="884">
        <v>8.5366242315261284E-2</v>
      </c>
      <c r="AB21" s="884">
        <v>8.6536499502899905E-2</v>
      </c>
      <c r="AC21" s="884">
        <v>8.7466011696330198E-2</v>
      </c>
      <c r="AD21" s="884">
        <v>8.8627856683267295E-2</v>
      </c>
      <c r="AE21" s="884">
        <v>8.9685095056571212E-2</v>
      </c>
      <c r="AF21" s="884">
        <v>9.0742048809528769E-2</v>
      </c>
      <c r="AG21" s="884">
        <v>9.1885885047023858E-2</v>
      </c>
      <c r="AH21" s="884">
        <v>9.3137560538405856E-2</v>
      </c>
      <c r="AI21" s="884">
        <v>9.4642821829730481E-2</v>
      </c>
      <c r="AJ21" s="884">
        <v>9.5100093029205371E-2</v>
      </c>
      <c r="AK21" s="884">
        <v>9.6490634590051971E-2</v>
      </c>
      <c r="AL21" s="884">
        <v>9.741701041750335E-2</v>
      </c>
      <c r="AM21" s="884">
        <v>9.8683176887403204E-2</v>
      </c>
      <c r="AN21" s="884">
        <v>0.10000573082235073</v>
      </c>
      <c r="AO21" s="884">
        <v>0.10144609047995966</v>
      </c>
      <c r="AP21" s="884">
        <v>0.10298720232818449</v>
      </c>
      <c r="AQ21" s="884">
        <v>0.10454072870224221</v>
      </c>
      <c r="AR21" s="884">
        <v>0.10481208899967515</v>
      </c>
      <c r="AS21" s="884">
        <v>0.10599831865603974</v>
      </c>
      <c r="AT21" s="884">
        <v>0.10660600719841876</v>
      </c>
    </row>
    <row r="22" spans="1:46" x14ac:dyDescent="0.25">
      <c r="A22" s="34" t="s">
        <v>1503</v>
      </c>
      <c r="B22" s="884">
        <v>6.0711403582392048E-2</v>
      </c>
      <c r="C22" s="884">
        <v>5.9916322596213212E-2</v>
      </c>
      <c r="D22" s="884">
        <v>5.9126589201497902E-2</v>
      </c>
      <c r="E22" s="884">
        <v>5.8772135654389816E-2</v>
      </c>
      <c r="F22" s="884">
        <v>5.8394231055381794E-2</v>
      </c>
      <c r="G22" s="884">
        <v>5.8034383922179675E-2</v>
      </c>
      <c r="H22" s="884">
        <v>5.7714367632978783E-2</v>
      </c>
      <c r="I22" s="884">
        <v>5.74139431301686E-2</v>
      </c>
      <c r="J22" s="884">
        <v>5.719820890456008E-2</v>
      </c>
      <c r="K22" s="884">
        <v>5.7292742142380684E-2</v>
      </c>
      <c r="L22" s="884">
        <v>5.7349600269845022E-2</v>
      </c>
      <c r="M22" s="884">
        <v>5.7468719840253403E-2</v>
      </c>
      <c r="N22" s="884">
        <v>5.761062650353322E-2</v>
      </c>
      <c r="O22" s="884">
        <v>5.7761217732421793E-2</v>
      </c>
      <c r="P22" s="884">
        <v>5.7921382077295337E-2</v>
      </c>
      <c r="Q22" s="884">
        <v>5.8090865420183907E-2</v>
      </c>
      <c r="R22" s="884">
        <v>5.8232559241194304E-2</v>
      </c>
      <c r="S22" s="884">
        <v>5.8327066312878054E-2</v>
      </c>
      <c r="T22" s="884">
        <v>5.8515772125808073E-2</v>
      </c>
      <c r="U22" s="884">
        <v>5.86824981633879E-2</v>
      </c>
      <c r="V22" s="884">
        <v>5.8912434807369587E-2</v>
      </c>
      <c r="W22" s="884">
        <v>5.9129524215731463E-2</v>
      </c>
      <c r="X22" s="884">
        <v>5.9369738756485102E-2</v>
      </c>
      <c r="Y22" s="884">
        <v>5.9639127025369901E-2</v>
      </c>
      <c r="Z22" s="884">
        <v>5.9835982802796409E-2</v>
      </c>
      <c r="AA22" s="884">
        <v>5.9954654316483155E-2</v>
      </c>
      <c r="AB22" s="884">
        <v>6.021410110140505E-2</v>
      </c>
      <c r="AC22" s="884">
        <v>6.0418878202929412E-2</v>
      </c>
      <c r="AD22" s="884">
        <v>6.0709500255074267E-2</v>
      </c>
      <c r="AE22" s="884">
        <v>6.0955834789917861E-2</v>
      </c>
      <c r="AF22" s="884">
        <v>6.1192321276398232E-2</v>
      </c>
      <c r="AG22" s="884">
        <v>6.1435919310160361E-2</v>
      </c>
      <c r="AH22" s="884">
        <v>6.1675272535319535E-2</v>
      </c>
      <c r="AI22" s="884">
        <v>6.1844878491115647E-2</v>
      </c>
      <c r="AJ22" s="884">
        <v>6.1937507923711964E-2</v>
      </c>
      <c r="AK22" s="884">
        <v>6.2099298036041854E-2</v>
      </c>
      <c r="AL22" s="884">
        <v>6.2275267374738395E-2</v>
      </c>
      <c r="AM22" s="884">
        <v>6.2414894301035681E-2</v>
      </c>
      <c r="AN22" s="884">
        <v>6.2518442831229495E-2</v>
      </c>
      <c r="AO22" s="884">
        <v>6.2619650709201932E-2</v>
      </c>
      <c r="AP22" s="884">
        <v>6.268296781737806E-2</v>
      </c>
      <c r="AQ22" s="884">
        <v>6.2715774160936252E-2</v>
      </c>
      <c r="AR22" s="884">
        <v>6.2721001065119297E-2</v>
      </c>
      <c r="AS22" s="884">
        <v>6.2761700082919675E-2</v>
      </c>
      <c r="AT22" s="884">
        <v>6.2788533419696119E-2</v>
      </c>
    </row>
    <row r="23" spans="1:46" x14ac:dyDescent="0.25">
      <c r="A23" s="34" t="s">
        <v>1504</v>
      </c>
      <c r="B23" s="322">
        <v>8.5871481888352155E-2</v>
      </c>
      <c r="C23" s="322">
        <v>8.6677305100869809E-2</v>
      </c>
      <c r="D23" s="322">
        <v>8.520475475949027E-2</v>
      </c>
      <c r="E23" s="322">
        <v>8.3954429560400681E-2</v>
      </c>
      <c r="F23" s="322">
        <v>8.2606795942409814E-2</v>
      </c>
      <c r="G23" s="322">
        <v>8.1502444224115178E-2</v>
      </c>
      <c r="H23" s="322">
        <v>8.0407518364979169E-2</v>
      </c>
      <c r="I23" s="322">
        <v>7.8927445356057738E-2</v>
      </c>
      <c r="J23" s="322">
        <v>7.8341249817429764E-2</v>
      </c>
      <c r="K23" s="322">
        <v>7.7810968570015668E-2</v>
      </c>
      <c r="L23" s="322">
        <v>7.7432845938762332E-2</v>
      </c>
      <c r="M23" s="322">
        <v>7.7106868563674644E-2</v>
      </c>
      <c r="N23" s="322">
        <v>7.7021917462112691E-2</v>
      </c>
      <c r="O23" s="322">
        <v>7.6944386737856349E-2</v>
      </c>
      <c r="P23" s="322">
        <v>7.6419553865300083E-2</v>
      </c>
      <c r="Q23" s="322">
        <v>7.5973153306615748E-2</v>
      </c>
      <c r="R23" s="322">
        <v>7.5797821707383736E-2</v>
      </c>
      <c r="S23" s="322">
        <v>7.56906681855853E-2</v>
      </c>
      <c r="T23" s="322">
        <v>7.554121961678939E-2</v>
      </c>
      <c r="U23" s="322">
        <v>7.5826307151761391E-2</v>
      </c>
      <c r="V23" s="322">
        <v>7.6293726726426703E-2</v>
      </c>
      <c r="W23" s="322">
        <v>7.6805361532191141E-2</v>
      </c>
      <c r="X23" s="322">
        <v>7.6811800544056591E-2</v>
      </c>
      <c r="Y23" s="322">
        <v>7.7433057791686299E-2</v>
      </c>
      <c r="Z23" s="322">
        <v>7.8242739038634643E-2</v>
      </c>
      <c r="AA23" s="322">
        <v>7.9120460652798041E-2</v>
      </c>
      <c r="AB23" s="322">
        <v>7.9805356711749403E-2</v>
      </c>
      <c r="AC23" s="322">
        <v>8.0929679398695664E-2</v>
      </c>
      <c r="AD23" s="322">
        <v>8.2183581607906328E-2</v>
      </c>
      <c r="AE23" s="322">
        <v>8.3462907845251774E-2</v>
      </c>
      <c r="AF23" s="322">
        <v>8.4225390894183128E-2</v>
      </c>
      <c r="AG23" s="322">
        <v>8.5174112043768777E-2</v>
      </c>
      <c r="AH23" s="322">
        <v>8.5969665287297256E-2</v>
      </c>
      <c r="AI23" s="322">
        <v>8.6926106244429535E-2</v>
      </c>
      <c r="AJ23" s="322">
        <v>8.7870405674924101E-2</v>
      </c>
      <c r="AK23" s="322">
        <v>8.9120382885227112E-2</v>
      </c>
      <c r="AL23" s="322">
        <v>9.0447875294912092E-2</v>
      </c>
      <c r="AM23" s="322">
        <v>9.162017140967732E-2</v>
      </c>
      <c r="AN23" s="322">
        <v>9.2640334383228884E-2</v>
      </c>
      <c r="AO23" s="322">
        <v>9.3568436496964752E-2</v>
      </c>
      <c r="AP23" s="322">
        <v>9.4725683461378857E-2</v>
      </c>
      <c r="AQ23" s="322">
        <v>9.588651921399019E-2</v>
      </c>
      <c r="AR23" s="322">
        <v>9.6973036140939245E-2</v>
      </c>
      <c r="AS23" s="322">
        <v>9.7920190841806698E-2</v>
      </c>
      <c r="AT23" s="322">
        <v>9.8952835873394832E-2</v>
      </c>
    </row>
    <row r="24" spans="1:46" x14ac:dyDescent="0.25">
      <c r="A24" s="34" t="s">
        <v>1505</v>
      </c>
      <c r="B24" s="322">
        <v>6.9186440834093976E-2</v>
      </c>
      <c r="C24" s="322">
        <v>6.91424392497519E-2</v>
      </c>
      <c r="D24" s="322">
        <v>6.8257672087286156E-2</v>
      </c>
      <c r="E24" s="322">
        <v>6.8041541131014266E-2</v>
      </c>
      <c r="F24" s="322">
        <v>6.7751786545823131E-2</v>
      </c>
      <c r="G24" s="322">
        <v>6.7453926915921628E-2</v>
      </c>
      <c r="H24" s="322">
        <v>6.7001742946343854E-2</v>
      </c>
      <c r="I24" s="322">
        <v>6.6547417913319432E-2</v>
      </c>
      <c r="J24" s="322">
        <v>6.6112809825356944E-2</v>
      </c>
      <c r="K24" s="322">
        <v>6.6061189380120261E-2</v>
      </c>
      <c r="L24" s="322">
        <v>6.6026721662224119E-2</v>
      </c>
      <c r="M24" s="322">
        <v>6.6012927802927931E-2</v>
      </c>
      <c r="N24" s="322">
        <v>6.602331781012323E-2</v>
      </c>
      <c r="O24" s="322">
        <v>6.6036048443811349E-2</v>
      </c>
      <c r="P24" s="322">
        <v>6.6057830921007629E-2</v>
      </c>
      <c r="Q24" s="322">
        <v>6.6075252158897216E-2</v>
      </c>
      <c r="R24" s="322">
        <v>6.611279371690007E-2</v>
      </c>
      <c r="S24" s="322">
        <v>6.6154344105160495E-2</v>
      </c>
      <c r="T24" s="322">
        <v>6.6191966071179484E-2</v>
      </c>
      <c r="U24" s="322">
        <v>6.62592652326955E-2</v>
      </c>
      <c r="V24" s="322">
        <v>6.6344576170931993E-2</v>
      </c>
      <c r="W24" s="322">
        <v>6.6438744253569618E-2</v>
      </c>
      <c r="X24" s="322">
        <v>6.651682128549892E-2</v>
      </c>
      <c r="Y24" s="322">
        <v>6.6636758497044604E-2</v>
      </c>
      <c r="Z24" s="322">
        <v>6.6769520903627172E-2</v>
      </c>
      <c r="AA24" s="322">
        <v>6.6901293444707188E-2</v>
      </c>
      <c r="AB24" s="322">
        <v>6.7013146178084737E-2</v>
      </c>
      <c r="AC24" s="322">
        <v>6.7158208326007982E-2</v>
      </c>
      <c r="AD24" s="322">
        <v>6.7308472434864625E-2</v>
      </c>
      <c r="AE24" s="322">
        <v>6.7452066789932985E-2</v>
      </c>
      <c r="AF24" s="322">
        <v>6.7579828181477203E-2</v>
      </c>
      <c r="AG24" s="322">
        <v>6.7707118271255029E-2</v>
      </c>
      <c r="AH24" s="322">
        <v>6.7821646625493753E-2</v>
      </c>
      <c r="AI24" s="322">
        <v>6.794435468015414E-2</v>
      </c>
      <c r="AJ24" s="322">
        <v>6.8053166725964689E-2</v>
      </c>
      <c r="AK24" s="322">
        <v>6.8163731248204615E-2</v>
      </c>
      <c r="AL24" s="322">
        <v>6.8259288846971078E-2</v>
      </c>
      <c r="AM24" s="322">
        <v>6.832358187850536E-2</v>
      </c>
      <c r="AN24" s="322">
        <v>6.8360917471684476E-2</v>
      </c>
      <c r="AO24" s="322">
        <v>6.8407092527135727E-2</v>
      </c>
      <c r="AP24" s="322">
        <v>6.8436414060989631E-2</v>
      </c>
      <c r="AQ24" s="322">
        <v>6.8436723780079756E-2</v>
      </c>
      <c r="AR24" s="322">
        <v>6.8418660257394265E-2</v>
      </c>
      <c r="AS24" s="322">
        <v>6.8387169722497629E-2</v>
      </c>
      <c r="AT24" s="322">
        <v>6.8355565420259334E-2</v>
      </c>
    </row>
    <row r="25" spans="1:46" x14ac:dyDescent="0.25"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2"/>
      <c r="AI25" s="322"/>
      <c r="AJ25" s="322"/>
      <c r="AK25" s="322"/>
      <c r="AL25" s="322"/>
      <c r="AM25" s="322"/>
      <c r="AN25" s="322"/>
      <c r="AO25" s="322"/>
      <c r="AP25" s="322"/>
      <c r="AQ25" s="322"/>
      <c r="AR25" s="322"/>
      <c r="AS25" s="322"/>
      <c r="AT25" s="322"/>
    </row>
    <row r="26" spans="1:46" ht="24.75" customHeight="1" x14ac:dyDescent="0.25">
      <c r="A26" s="880" t="s">
        <v>1507</v>
      </c>
      <c r="K26" s="300"/>
    </row>
    <row r="27" spans="1:46" x14ac:dyDescent="0.25">
      <c r="A27" s="352"/>
      <c r="B27" s="352"/>
      <c r="C27" s="352"/>
      <c r="D27" s="352"/>
      <c r="E27" s="352"/>
      <c r="F27" s="352"/>
      <c r="G27" s="352"/>
      <c r="H27" s="885" t="s">
        <v>1342</v>
      </c>
      <c r="I27" s="352"/>
      <c r="J27" s="352"/>
    </row>
    <row r="43" spans="1:49" x14ac:dyDescent="0.25">
      <c r="K43" s="297"/>
    </row>
    <row r="44" spans="1:49" x14ac:dyDescent="0.25">
      <c r="A44" s="352"/>
      <c r="B44" s="352"/>
      <c r="C44" s="352"/>
      <c r="D44" s="352"/>
      <c r="E44" s="352"/>
      <c r="F44" s="352"/>
      <c r="G44" s="352"/>
      <c r="H44" s="885" t="s">
        <v>1342</v>
      </c>
      <c r="I44" s="352"/>
      <c r="J44" s="352"/>
    </row>
    <row r="45" spans="1:49" x14ac:dyDescent="0.25">
      <c r="H45" s="882" t="s">
        <v>1506</v>
      </c>
    </row>
    <row r="46" spans="1:49" s="883" customFormat="1" x14ac:dyDescent="0.25">
      <c r="B46" s="883">
        <v>2013</v>
      </c>
      <c r="C46" s="883">
        <v>2014</v>
      </c>
      <c r="D46" s="883">
        <v>2015</v>
      </c>
      <c r="E46" s="883">
        <v>2016</v>
      </c>
      <c r="F46" s="883">
        <v>2017</v>
      </c>
      <c r="G46" s="883">
        <v>2018</v>
      </c>
      <c r="H46" s="883">
        <v>2019</v>
      </c>
      <c r="I46" s="883">
        <v>2020</v>
      </c>
      <c r="J46" s="883">
        <v>2021</v>
      </c>
      <c r="K46" s="883">
        <v>2022</v>
      </c>
      <c r="L46" s="883">
        <v>2023</v>
      </c>
      <c r="M46" s="883">
        <v>2024</v>
      </c>
      <c r="N46" s="883">
        <v>2025</v>
      </c>
      <c r="O46" s="883">
        <v>2026</v>
      </c>
      <c r="P46" s="883">
        <v>2027</v>
      </c>
      <c r="Q46" s="883">
        <v>2028</v>
      </c>
      <c r="R46" s="883">
        <v>2029</v>
      </c>
      <c r="S46" s="883">
        <v>2030</v>
      </c>
      <c r="T46" s="883">
        <v>2031</v>
      </c>
      <c r="U46" s="883">
        <v>2032</v>
      </c>
      <c r="V46" s="883">
        <v>2033</v>
      </c>
      <c r="W46" s="883">
        <v>2034</v>
      </c>
      <c r="X46" s="883">
        <v>2035</v>
      </c>
      <c r="Y46" s="883">
        <v>2036</v>
      </c>
      <c r="Z46" s="883">
        <v>2037</v>
      </c>
      <c r="AA46" s="883">
        <v>2038</v>
      </c>
      <c r="AB46" s="883">
        <v>2039</v>
      </c>
      <c r="AC46" s="883">
        <v>2040</v>
      </c>
      <c r="AD46" s="883">
        <v>2041</v>
      </c>
      <c r="AE46" s="883">
        <v>2042</v>
      </c>
      <c r="AF46" s="883">
        <v>2043</v>
      </c>
      <c r="AG46" s="883">
        <v>2044</v>
      </c>
      <c r="AH46" s="883">
        <v>2045</v>
      </c>
      <c r="AI46" s="883">
        <v>2046</v>
      </c>
      <c r="AJ46" s="883">
        <v>2047</v>
      </c>
      <c r="AK46" s="883">
        <v>2048</v>
      </c>
      <c r="AL46" s="883">
        <v>2049</v>
      </c>
      <c r="AM46" s="883">
        <v>2050</v>
      </c>
      <c r="AN46" s="883">
        <v>2051</v>
      </c>
      <c r="AO46" s="883">
        <v>2052</v>
      </c>
      <c r="AP46" s="883">
        <v>2053</v>
      </c>
      <c r="AQ46" s="883">
        <v>2054</v>
      </c>
      <c r="AR46" s="883">
        <v>2055</v>
      </c>
      <c r="AS46" s="883">
        <v>2056</v>
      </c>
      <c r="AT46" s="883">
        <v>2057</v>
      </c>
      <c r="AU46" s="883">
        <v>2058</v>
      </c>
      <c r="AV46" s="883">
        <v>2059</v>
      </c>
      <c r="AW46" s="883">
        <v>2060</v>
      </c>
    </row>
    <row r="47" spans="1:49" x14ac:dyDescent="0.25">
      <c r="A47" s="34" t="s">
        <v>1343</v>
      </c>
      <c r="B47" s="886">
        <v>1.4906579115731011</v>
      </c>
      <c r="C47" s="886">
        <v>2.5708553468352546</v>
      </c>
      <c r="D47" s="886">
        <v>3.8310846235940721</v>
      </c>
      <c r="E47" s="886">
        <v>3.2851495868252423</v>
      </c>
      <c r="F47" s="886">
        <v>3.0286210728434293</v>
      </c>
      <c r="G47" s="886">
        <v>3.5948021183181744</v>
      </c>
      <c r="H47" s="886">
        <v>2.5529034480697765</v>
      </c>
      <c r="I47" s="886">
        <v>2.4762455895946056</v>
      </c>
      <c r="J47" s="886">
        <v>2.5920307227492501</v>
      </c>
      <c r="K47" s="886">
        <v>2.8630266966422013</v>
      </c>
      <c r="L47" s="886">
        <v>2.8898185203148685</v>
      </c>
      <c r="M47" s="886">
        <v>2.9233807872740325</v>
      </c>
      <c r="N47" s="886">
        <v>2.9256135816534856</v>
      </c>
      <c r="O47" s="886">
        <v>2.9436017336164522</v>
      </c>
      <c r="P47" s="886">
        <v>2.9382465862146145</v>
      </c>
      <c r="Q47" s="886">
        <v>2.9228904298593528</v>
      </c>
      <c r="R47" s="886">
        <v>2.8909104537476846</v>
      </c>
      <c r="S47" s="886">
        <v>2.8443676238187852</v>
      </c>
      <c r="T47" s="886">
        <v>2.7643357090561058</v>
      </c>
      <c r="U47" s="886">
        <v>2.6328718328863472</v>
      </c>
      <c r="V47" s="886">
        <v>2.483558474346645</v>
      </c>
      <c r="W47" s="886">
        <v>2.3414626923317789</v>
      </c>
      <c r="X47" s="886">
        <v>2.1849258273755598</v>
      </c>
      <c r="Y47" s="886">
        <v>2.0270279694983531</v>
      </c>
      <c r="Z47" s="886">
        <v>1.9758678345968574</v>
      </c>
      <c r="AA47" s="886">
        <v>1.9287510506634167</v>
      </c>
      <c r="AB47" s="886">
        <v>1.8810272509055581</v>
      </c>
      <c r="AC47" s="886">
        <v>1.7608537923124818</v>
      </c>
      <c r="AD47" s="886">
        <v>1.6497452092690166</v>
      </c>
      <c r="AE47" s="886">
        <v>1.5400017215451292</v>
      </c>
      <c r="AF47" s="886">
        <v>1.4278829645272233</v>
      </c>
      <c r="AG47" s="886">
        <v>1.3160075258151227</v>
      </c>
      <c r="AH47" s="886">
        <v>1.2079541309699446</v>
      </c>
      <c r="AI47" s="886">
        <v>1.198335536550416</v>
      </c>
      <c r="AJ47" s="886">
        <v>1.1914676357276068</v>
      </c>
      <c r="AK47" s="886">
        <v>1.1875321366166678</v>
      </c>
      <c r="AL47" s="886">
        <v>1.1862852146104212</v>
      </c>
      <c r="AM47" s="886">
        <v>1.1856960624191664</v>
      </c>
      <c r="AN47" s="886">
        <v>1.1166405933951695</v>
      </c>
      <c r="AO47" s="886">
        <v>1.1093401332041384</v>
      </c>
      <c r="AP47" s="886">
        <v>1.1150565942029294</v>
      </c>
      <c r="AQ47" s="886">
        <v>1.1317082227006261</v>
      </c>
      <c r="AR47" s="886">
        <v>1.1493637655310562</v>
      </c>
      <c r="AS47" s="886">
        <v>1.1717730778941489</v>
      </c>
      <c r="AT47" s="886">
        <v>1.1919308956218926</v>
      </c>
      <c r="AU47" s="886">
        <v>1.2173513796400093</v>
      </c>
      <c r="AV47" s="886">
        <v>1.2327042987439216</v>
      </c>
      <c r="AW47" s="886">
        <v>1.2499353669144524</v>
      </c>
    </row>
    <row r="48" spans="1:49" x14ac:dyDescent="0.25">
      <c r="A48" s="34" t="s">
        <v>1344</v>
      </c>
      <c r="B48" s="886">
        <v>0.94082151124590396</v>
      </c>
      <c r="C48" s="886">
        <v>2.1851989809477335</v>
      </c>
      <c r="D48" s="886">
        <v>3.0507288432415125</v>
      </c>
      <c r="E48" s="886">
        <v>3.437666145205065</v>
      </c>
      <c r="F48" s="886">
        <v>3.4326912772188578</v>
      </c>
      <c r="G48" s="886">
        <v>3.5491247690438987</v>
      </c>
      <c r="H48" s="886">
        <v>2.542368539573725</v>
      </c>
      <c r="I48" s="886">
        <v>2.5939547112274308</v>
      </c>
      <c r="J48" s="886">
        <v>2.5932707834853908</v>
      </c>
      <c r="K48" s="886">
        <v>2.5698606108765176</v>
      </c>
      <c r="L48" s="886">
        <v>2.6161516721099121</v>
      </c>
      <c r="M48" s="886">
        <v>2.9782504481963312</v>
      </c>
      <c r="N48" s="886">
        <v>2.9777419231921529</v>
      </c>
      <c r="O48" s="886">
        <v>2.9079113269540802</v>
      </c>
      <c r="P48" s="886">
        <v>2.8269563373706674</v>
      </c>
      <c r="Q48" s="886">
        <v>2.7458098535096584</v>
      </c>
      <c r="R48" s="886">
        <v>2.6561201057878039</v>
      </c>
      <c r="S48" s="886">
        <v>2.5113100209708565</v>
      </c>
      <c r="T48" s="886">
        <v>2.2931548910622235</v>
      </c>
      <c r="U48" s="886">
        <v>2.0345921596699807</v>
      </c>
      <c r="V48" s="886">
        <v>1.768420048292231</v>
      </c>
      <c r="W48" s="886">
        <v>1.5088556659301813</v>
      </c>
      <c r="X48" s="886">
        <v>1.3202569197861844</v>
      </c>
      <c r="Y48" s="886">
        <v>1.2561654921773211</v>
      </c>
      <c r="Z48" s="886">
        <v>1.2010520643930409</v>
      </c>
      <c r="AA48" s="886">
        <v>1.149461656635907</v>
      </c>
      <c r="AB48" s="886">
        <v>1.1131833983252313</v>
      </c>
      <c r="AC48" s="886">
        <v>0.69003059587092275</v>
      </c>
      <c r="AD48" s="886">
        <v>0.66468855183146136</v>
      </c>
      <c r="AE48" s="886">
        <v>0.64503979797117506</v>
      </c>
      <c r="AF48" s="886">
        <v>0.63230416467594397</v>
      </c>
      <c r="AG48" s="886">
        <v>0.61862195923993313</v>
      </c>
      <c r="AH48" s="886">
        <v>0.60663377391880302</v>
      </c>
      <c r="AI48" s="886">
        <v>0.57809410137199624</v>
      </c>
      <c r="AJ48" s="886">
        <v>0.55731566287891887</v>
      </c>
      <c r="AK48" s="886">
        <v>0.54649550950644499</v>
      </c>
      <c r="AL48" s="886">
        <v>0.5430908878410392</v>
      </c>
      <c r="AM48" s="886">
        <v>0.5446825307117491</v>
      </c>
      <c r="AN48" s="886">
        <v>0.54737554422944612</v>
      </c>
      <c r="AO48" s="886">
        <v>0.55191941904928443</v>
      </c>
      <c r="AP48" s="886">
        <v>0.56105909284358968</v>
      </c>
      <c r="AQ48" s="886">
        <v>0.5768774868075186</v>
      </c>
      <c r="AR48" s="886">
        <v>0.60013685656097548</v>
      </c>
      <c r="AS48" s="886">
        <v>0.63173299057776577</v>
      </c>
      <c r="AT48" s="886">
        <v>0.66557551585112029</v>
      </c>
      <c r="AU48" s="886">
        <v>0.69561002911703906</v>
      </c>
      <c r="AV48" s="886">
        <v>0.72361230325767401</v>
      </c>
      <c r="AW48" s="886">
        <v>0.75101153987157354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/>
  <dimension ref="A1:BP32"/>
  <sheetViews>
    <sheetView showGridLines="0" zoomScale="90" zoomScaleNormal="90" workbookViewId="0">
      <selection activeCell="D18" sqref="D18:E18"/>
    </sheetView>
  </sheetViews>
  <sheetFormatPr defaultColWidth="9.140625" defaultRowHeight="13.5" x14ac:dyDescent="0.25"/>
  <cols>
    <col min="1" max="1" width="35" style="34" customWidth="1"/>
    <col min="2" max="2" width="9.140625" style="34"/>
    <col min="3" max="3" width="9.140625" style="300"/>
    <col min="4" max="4" width="32.28515625" style="34" customWidth="1"/>
    <col min="5" max="5" width="15.85546875" style="34" customWidth="1"/>
    <col min="6" max="6" width="9.140625" style="34"/>
    <col min="7" max="7" width="46.5703125" style="34" customWidth="1"/>
    <col min="8" max="8" width="29.140625" style="34" bestFit="1" customWidth="1"/>
    <col min="9" max="16384" width="9.140625" style="34"/>
  </cols>
  <sheetData>
    <row r="1" spans="1:47" ht="14.25" thickBot="1" x14ac:dyDescent="0.3">
      <c r="H1" s="538"/>
      <c r="I1" s="545">
        <v>42398</v>
      </c>
      <c r="J1" s="545">
        <v>42429</v>
      </c>
      <c r="K1" s="545">
        <v>42460</v>
      </c>
      <c r="L1" s="545">
        <v>42489</v>
      </c>
      <c r="M1" s="545">
        <v>42521</v>
      </c>
      <c r="N1" s="545">
        <v>42551</v>
      </c>
      <c r="O1" s="545">
        <v>42580</v>
      </c>
      <c r="P1" s="545">
        <v>42613</v>
      </c>
      <c r="Q1" s="545">
        <v>42643</v>
      </c>
      <c r="R1" s="545">
        <v>42674</v>
      </c>
      <c r="S1" s="545">
        <v>42704</v>
      </c>
      <c r="T1" s="545">
        <v>42734</v>
      </c>
      <c r="U1" s="545">
        <v>42766</v>
      </c>
      <c r="V1" s="545">
        <v>42794</v>
      </c>
      <c r="W1" s="545">
        <v>42825</v>
      </c>
      <c r="X1" s="545">
        <v>42853</v>
      </c>
      <c r="Y1" s="545">
        <v>42886</v>
      </c>
      <c r="Z1" s="545">
        <v>42916</v>
      </c>
      <c r="AA1" s="545">
        <v>42947</v>
      </c>
      <c r="AB1" s="545">
        <v>42978</v>
      </c>
      <c r="AC1" s="545">
        <v>43007</v>
      </c>
      <c r="AD1" s="545">
        <v>43039</v>
      </c>
      <c r="AE1" s="545">
        <v>43069</v>
      </c>
      <c r="AF1" s="545">
        <v>43098</v>
      </c>
      <c r="AG1" s="545">
        <v>43131</v>
      </c>
      <c r="AH1" s="545">
        <v>43159</v>
      </c>
    </row>
    <row r="2" spans="1:47" x14ac:dyDescent="0.25">
      <c r="G2" s="34" t="s">
        <v>1102</v>
      </c>
      <c r="H2" s="110" t="s">
        <v>146</v>
      </c>
      <c r="I2" s="546">
        <v>0.9283095238095237</v>
      </c>
      <c r="J2" s="546">
        <v>0.72789523809523815</v>
      </c>
      <c r="K2" s="546">
        <v>0.67010434782608708</v>
      </c>
      <c r="L2" s="546">
        <v>0.66787142857142867</v>
      </c>
      <c r="M2" s="546">
        <v>0.73383636363636384</v>
      </c>
      <c r="N2" s="546">
        <v>0.63875454545454546</v>
      </c>
      <c r="O2" s="546">
        <v>0.44199523809523811</v>
      </c>
      <c r="P2" s="546">
        <v>0.3148086956521739</v>
      </c>
      <c r="Q2" s="546">
        <v>0.31291818181818187</v>
      </c>
      <c r="R2" s="546">
        <v>0.41142380952380958</v>
      </c>
      <c r="S2" s="546">
        <v>0.69759090909090904</v>
      </c>
      <c r="T2" s="546">
        <v>0.89878181818181835</v>
      </c>
      <c r="U2" s="546">
        <v>0.94445909090909097</v>
      </c>
      <c r="V2" s="546">
        <v>1.0089800000000002</v>
      </c>
      <c r="W2" s="546">
        <v>1.0787043478260869</v>
      </c>
      <c r="X2" s="546">
        <v>0.96891500000000019</v>
      </c>
      <c r="Y2" s="546">
        <v>0.99932173913043487</v>
      </c>
      <c r="Z2" s="546">
        <v>0.90037727272727264</v>
      </c>
      <c r="AA2" s="546">
        <v>1.0473571428571429</v>
      </c>
      <c r="AB2" s="546">
        <v>0.92276521739130435</v>
      </c>
      <c r="AC2" s="546">
        <v>0.92747619047619034</v>
      </c>
      <c r="AD2" s="546">
        <v>0.95942272727272726</v>
      </c>
      <c r="AE2" s="546">
        <v>0.89760000000000018</v>
      </c>
      <c r="AF2" s="546">
        <v>0.85988095238095241</v>
      </c>
      <c r="AG2" s="546">
        <v>0.9767434782608696</v>
      </c>
      <c r="AH2" s="546">
        <v>1.1443299999999998</v>
      </c>
    </row>
    <row r="3" spans="1:47" ht="14.25" thickBot="1" x14ac:dyDescent="0.3">
      <c r="A3" s="944" t="s">
        <v>428</v>
      </c>
      <c r="B3" s="944"/>
      <c r="C3" s="802"/>
      <c r="D3" s="944" t="s">
        <v>491</v>
      </c>
      <c r="E3" s="944"/>
      <c r="G3" s="34" t="s">
        <v>1101</v>
      </c>
      <c r="H3" s="110" t="s">
        <v>8</v>
      </c>
      <c r="I3" s="546">
        <v>0.51577499999999987</v>
      </c>
      <c r="J3" s="546">
        <v>0.23044761904761907</v>
      </c>
      <c r="K3" s="546">
        <v>0.22692857142857145</v>
      </c>
      <c r="L3" s="546">
        <v>0.1868285714285714</v>
      </c>
      <c r="M3" s="546">
        <v>0.17225454545454547</v>
      </c>
      <c r="N3" s="546">
        <v>2.0881818181818178E-2</v>
      </c>
      <c r="O3" s="546">
        <v>-8.9757142857142841E-2</v>
      </c>
      <c r="P3" s="546">
        <v>-7.6173913043478245E-2</v>
      </c>
      <c r="Q3" s="546">
        <v>-4.4522727272727276E-2</v>
      </c>
      <c r="R3" s="546">
        <v>5.3199999999999976E-2</v>
      </c>
      <c r="S3" s="546">
        <v>0.25770909090909094</v>
      </c>
      <c r="T3" s="546">
        <v>0.33298571428571433</v>
      </c>
      <c r="U3" s="546">
        <v>0.35788636363636361</v>
      </c>
      <c r="V3" s="546">
        <v>0.32168499999999994</v>
      </c>
      <c r="W3" s="546">
        <v>0.40489999999999993</v>
      </c>
      <c r="X3" s="546">
        <v>0.27734999999999999</v>
      </c>
      <c r="Y3" s="546">
        <v>0.41164545454545459</v>
      </c>
      <c r="Z3" s="546">
        <v>0.33973636363636356</v>
      </c>
      <c r="AA3" s="546">
        <v>0.56028571428571416</v>
      </c>
      <c r="AB3" s="546">
        <v>0.42349999999999993</v>
      </c>
      <c r="AC3" s="546">
        <v>0.42511904761904762</v>
      </c>
      <c r="AD3" s="546">
        <v>0.45890909090909099</v>
      </c>
      <c r="AE3" s="546">
        <v>0.40884545454545457</v>
      </c>
      <c r="AF3" s="546">
        <v>0.39493684210526309</v>
      </c>
      <c r="AG3" s="546">
        <v>0.57105909090909091</v>
      </c>
      <c r="AH3" s="546">
        <v>0.72683500000000001</v>
      </c>
    </row>
    <row r="4" spans="1:47" x14ac:dyDescent="0.25">
      <c r="A4" s="76"/>
      <c r="B4" s="77"/>
      <c r="C4" s="812"/>
      <c r="D4" s="76"/>
      <c r="G4" s="34" t="s">
        <v>1101</v>
      </c>
      <c r="H4" s="110" t="s">
        <v>152</v>
      </c>
      <c r="I4" s="546">
        <v>1.79738</v>
      </c>
      <c r="J4" s="546">
        <v>1.7527619047619045</v>
      </c>
      <c r="K4" s="546">
        <v>1.5795476190476192</v>
      </c>
      <c r="L4" s="546">
        <v>1.5899047619047617</v>
      </c>
      <c r="M4" s="546">
        <v>1.6271636363636361</v>
      </c>
      <c r="N4" s="546">
        <v>1.5287090909090912</v>
      </c>
      <c r="O4" s="546">
        <v>1.2014666666666667</v>
      </c>
      <c r="P4" s="546">
        <v>1.029773913043478</v>
      </c>
      <c r="Q4" s="546">
        <v>1.0811363636363636</v>
      </c>
      <c r="R4" s="546">
        <v>1.1373047619047618</v>
      </c>
      <c r="S4" s="546">
        <v>1.4788590909090908</v>
      </c>
      <c r="T4" s="546">
        <v>1.4786333333333332</v>
      </c>
      <c r="U4" s="546">
        <v>1.53895</v>
      </c>
      <c r="V4" s="546">
        <v>1.7396049999999998</v>
      </c>
      <c r="W4" s="546">
        <v>1.7786304347826085</v>
      </c>
      <c r="X4" s="546">
        <v>1.6752055555555556</v>
      </c>
      <c r="Y4" s="546">
        <v>1.634218181818182</v>
      </c>
      <c r="Z4" s="546">
        <v>1.5192227272727272</v>
      </c>
      <c r="AA4" s="546">
        <v>1.648195238095238</v>
      </c>
      <c r="AB4" s="546">
        <v>1.5477739130434787</v>
      </c>
      <c r="AC4" s="546">
        <v>1.5943142857142858</v>
      </c>
      <c r="AD4" s="546">
        <v>1.6567181818181813</v>
      </c>
      <c r="AE4" s="546">
        <v>1.5368590909090907</v>
      </c>
      <c r="AF4" s="546">
        <v>1.5127052631578948</v>
      </c>
      <c r="AG4" s="546">
        <v>1.548877272727273</v>
      </c>
      <c r="AH4" s="546">
        <v>1.5588349999999997</v>
      </c>
    </row>
    <row r="5" spans="1:47" x14ac:dyDescent="0.25">
      <c r="G5" s="34" t="s">
        <v>1104</v>
      </c>
      <c r="H5" s="110" t="s">
        <v>153</v>
      </c>
      <c r="I5" s="546">
        <v>0.68361000000000005</v>
      </c>
      <c r="J5" s="546">
        <v>0.51851904761904766</v>
      </c>
      <c r="K5" s="546">
        <v>0.41133333333333333</v>
      </c>
      <c r="L5" s="546">
        <v>0.48047142857142855</v>
      </c>
      <c r="M5" s="546">
        <v>0.50405454545454542</v>
      </c>
      <c r="N5" s="546">
        <v>0.48639999999999994</v>
      </c>
      <c r="O5" s="546">
        <v>0.40719473684210522</v>
      </c>
      <c r="P5" s="546">
        <v>0.32444782608695655</v>
      </c>
      <c r="Q5" s="546">
        <v>0.27961904761904754</v>
      </c>
      <c r="R5" s="546">
        <v>0.39476499999999998</v>
      </c>
      <c r="S5" s="546">
        <v>0.56897142857142868</v>
      </c>
      <c r="T5" s="546">
        <v>0.5404714285714286</v>
      </c>
      <c r="U5" s="546">
        <v>0.48396363636363637</v>
      </c>
      <c r="V5" s="546">
        <v>0.61842000000000008</v>
      </c>
      <c r="W5" s="546">
        <v>0.89155652173913047</v>
      </c>
      <c r="X5" s="546">
        <v>0.98105555555555546</v>
      </c>
      <c r="Y5" s="546">
        <v>0.76698571428571427</v>
      </c>
      <c r="Z5" s="546">
        <v>0.81315454545454535</v>
      </c>
      <c r="AA5" s="546">
        <v>0.96085789473684191</v>
      </c>
      <c r="AB5" s="546">
        <v>0.90578260869565241</v>
      </c>
      <c r="AC5" s="546">
        <v>1.0397600000000002</v>
      </c>
      <c r="AD5" s="546">
        <v>1.46885</v>
      </c>
      <c r="AE5" s="546">
        <v>1.7219238095238096</v>
      </c>
      <c r="AF5" s="546">
        <v>1.5824315789473684</v>
      </c>
      <c r="AG5" s="546">
        <v>1.8400454545454543</v>
      </c>
      <c r="AH5" s="546">
        <v>1.8788049999999998</v>
      </c>
      <c r="AJ5" s="546"/>
      <c r="AK5" s="546"/>
      <c r="AL5" s="546"/>
      <c r="AM5" s="546"/>
      <c r="AN5" s="546"/>
      <c r="AO5" s="546"/>
      <c r="AP5" s="546"/>
      <c r="AQ5" s="546"/>
      <c r="AR5" s="546"/>
      <c r="AS5" s="546"/>
      <c r="AT5" s="546"/>
    </row>
    <row r="6" spans="1:47" x14ac:dyDescent="0.25">
      <c r="G6" s="34" t="s">
        <v>1103</v>
      </c>
      <c r="H6" s="110" t="s">
        <v>10</v>
      </c>
      <c r="I6" s="43">
        <v>3.2416842105263153</v>
      </c>
      <c r="J6" s="43">
        <v>3.1186095238095235</v>
      </c>
      <c r="K6" s="43">
        <v>3.0072772727272725</v>
      </c>
      <c r="L6" s="43">
        <v>3.0621476190476189</v>
      </c>
      <c r="M6" s="43">
        <v>3.1464749999999997</v>
      </c>
      <c r="N6" s="43">
        <v>3.208690909090909</v>
      </c>
      <c r="O6" s="43">
        <v>3.0013428571428569</v>
      </c>
      <c r="P6" s="43">
        <v>2.8079818181818181</v>
      </c>
      <c r="Q6" s="43">
        <v>2.9055000000000004</v>
      </c>
      <c r="R6" s="43">
        <v>3.0847476190476186</v>
      </c>
      <c r="S6" s="43">
        <v>3.5049000000000006</v>
      </c>
      <c r="T6" s="43">
        <v>3.5909047619047616</v>
      </c>
      <c r="U6" s="43">
        <v>3.7377333333333334</v>
      </c>
      <c r="V6" s="43">
        <v>3.7748100000000009</v>
      </c>
      <c r="W6" s="43">
        <v>3.6015521739130429</v>
      </c>
      <c r="X6" s="43">
        <v>3.3786736842105265</v>
      </c>
      <c r="Y6" s="43">
        <v>3.3145238095238092</v>
      </c>
      <c r="Z6" s="43">
        <v>3.1649142857142851</v>
      </c>
      <c r="AA6" s="43">
        <v>3.2747761904761901</v>
      </c>
      <c r="AB6" s="43">
        <v>3.3127090909090899</v>
      </c>
      <c r="AC6" s="43">
        <v>3.2552571428571428</v>
      </c>
      <c r="AD6" s="43">
        <v>3.3602227272727276</v>
      </c>
      <c r="AE6" s="43">
        <v>3.3820857142857141</v>
      </c>
      <c r="AF6" s="43">
        <v>3.264321052631578</v>
      </c>
      <c r="AG6" s="43">
        <v>3.3984863636363638</v>
      </c>
      <c r="AH6" s="43">
        <v>3.470969999999999</v>
      </c>
    </row>
    <row r="7" spans="1:47" x14ac:dyDescent="0.25">
      <c r="H7" s="110"/>
    </row>
    <row r="8" spans="1:47" x14ac:dyDescent="0.25">
      <c r="H8" s="110"/>
    </row>
    <row r="9" spans="1:47" ht="14.25" thickBot="1" x14ac:dyDescent="0.3">
      <c r="I9" s="545">
        <v>42398</v>
      </c>
      <c r="J9" s="545">
        <v>42429</v>
      </c>
      <c r="K9" s="545">
        <v>42460</v>
      </c>
      <c r="L9" s="545">
        <v>42489</v>
      </c>
      <c r="M9" s="545">
        <v>42521</v>
      </c>
      <c r="N9" s="545">
        <v>42551</v>
      </c>
      <c r="O9" s="545">
        <v>42580</v>
      </c>
      <c r="P9" s="545">
        <v>42613</v>
      </c>
      <c r="Q9" s="545">
        <v>42643</v>
      </c>
      <c r="R9" s="545">
        <v>42674</v>
      </c>
      <c r="S9" s="545">
        <v>42704</v>
      </c>
      <c r="T9" s="545">
        <v>42734</v>
      </c>
      <c r="U9" s="545">
        <v>42766</v>
      </c>
      <c r="V9" s="545">
        <v>42794</v>
      </c>
      <c r="W9" s="545">
        <v>42825</v>
      </c>
      <c r="X9" s="545">
        <v>42853</v>
      </c>
      <c r="Y9" s="545">
        <v>42886</v>
      </c>
      <c r="Z9" s="545">
        <v>42916</v>
      </c>
      <c r="AA9" s="545">
        <v>42947</v>
      </c>
      <c r="AB9" s="545">
        <v>42978</v>
      </c>
      <c r="AC9" s="545">
        <v>43007</v>
      </c>
      <c r="AD9" s="545">
        <v>43039</v>
      </c>
      <c r="AE9" s="545">
        <v>43069</v>
      </c>
      <c r="AF9" s="545">
        <v>43098</v>
      </c>
      <c r="AG9" s="545">
        <v>43131</v>
      </c>
      <c r="AH9" s="545">
        <v>43159</v>
      </c>
    </row>
    <row r="10" spans="1:47" x14ac:dyDescent="0.25">
      <c r="G10" s="34" t="s">
        <v>1030</v>
      </c>
      <c r="H10" s="110" t="s">
        <v>223</v>
      </c>
      <c r="I10" s="546">
        <v>0.3</v>
      </c>
      <c r="J10" s="546">
        <v>-0.2</v>
      </c>
      <c r="K10" s="546">
        <v>0</v>
      </c>
      <c r="L10" s="546">
        <v>-0.2</v>
      </c>
      <c r="M10" s="546">
        <v>-0.1</v>
      </c>
      <c r="N10" s="546">
        <v>0.1</v>
      </c>
      <c r="O10" s="546">
        <v>0.2</v>
      </c>
      <c r="P10" s="546">
        <v>0.2</v>
      </c>
      <c r="Q10" s="546">
        <v>0.4</v>
      </c>
      <c r="R10" s="546">
        <v>0.5</v>
      </c>
      <c r="S10" s="546">
        <v>0.6</v>
      </c>
      <c r="T10" s="546">
        <v>1.1000000000000001</v>
      </c>
      <c r="U10" s="546">
        <v>1.8</v>
      </c>
      <c r="V10" s="546">
        <v>2</v>
      </c>
      <c r="W10" s="546">
        <v>1.5</v>
      </c>
      <c r="X10" s="546">
        <v>1.9</v>
      </c>
      <c r="Y10" s="546">
        <v>1.4</v>
      </c>
      <c r="Z10" s="546">
        <v>1.3</v>
      </c>
      <c r="AA10" s="546">
        <v>1.3</v>
      </c>
      <c r="AB10" s="546">
        <v>1.5</v>
      </c>
      <c r="AC10" s="546">
        <v>1.5</v>
      </c>
      <c r="AD10" s="546">
        <v>1.4</v>
      </c>
      <c r="AE10" s="546">
        <v>1.5</v>
      </c>
      <c r="AF10" s="546">
        <v>1.4</v>
      </c>
      <c r="AG10" s="546">
        <v>1.3</v>
      </c>
      <c r="AH10" s="546">
        <v>1.2</v>
      </c>
      <c r="AU10" s="546"/>
    </row>
    <row r="11" spans="1:47" x14ac:dyDescent="0.25">
      <c r="G11" s="34" t="s">
        <v>1031</v>
      </c>
      <c r="H11" s="110" t="s">
        <v>1032</v>
      </c>
      <c r="I11" s="34">
        <v>1.5149999999999999</v>
      </c>
      <c r="J11" s="34">
        <v>1.361</v>
      </c>
      <c r="K11" s="34">
        <v>1.407</v>
      </c>
      <c r="L11" s="34">
        <v>1.4710000000000001</v>
      </c>
      <c r="M11" s="34">
        <v>1.4750000000000001</v>
      </c>
      <c r="N11" s="34">
        <v>1.3180000000000001</v>
      </c>
      <c r="O11" s="34">
        <v>1.3395999999999999</v>
      </c>
      <c r="P11" s="34">
        <v>1.302</v>
      </c>
      <c r="Q11" s="34">
        <v>1.355</v>
      </c>
      <c r="R11" s="34">
        <v>1.4646999999999999</v>
      </c>
      <c r="S11" s="34">
        <v>1.619</v>
      </c>
      <c r="T11" s="34">
        <v>1.7435</v>
      </c>
      <c r="U11" s="34">
        <v>1.8</v>
      </c>
      <c r="V11" s="34">
        <v>1.696</v>
      </c>
      <c r="W11" s="34">
        <v>1.5597000000000001</v>
      </c>
      <c r="X11" s="34">
        <v>1.6267</v>
      </c>
      <c r="Y11" s="34">
        <v>1.5625</v>
      </c>
      <c r="Z11" s="34">
        <v>1.5791999999999999</v>
      </c>
      <c r="AA11" s="34">
        <v>1.62</v>
      </c>
      <c r="AB11" s="34">
        <v>1.605</v>
      </c>
      <c r="AC11" s="34">
        <v>1.6180000000000001</v>
      </c>
      <c r="AD11" s="34">
        <v>1.6597</v>
      </c>
      <c r="AE11" s="34">
        <v>1.6950000000000001</v>
      </c>
      <c r="AF11" s="34">
        <v>1.72</v>
      </c>
      <c r="AG11" s="34">
        <v>1.7310000000000001</v>
      </c>
      <c r="AH11" s="34">
        <v>1.7242</v>
      </c>
    </row>
    <row r="12" spans="1:47" x14ac:dyDescent="0.25">
      <c r="H12" s="110" t="s">
        <v>224</v>
      </c>
      <c r="I12" s="35">
        <v>2</v>
      </c>
      <c r="J12" s="35">
        <v>2</v>
      </c>
      <c r="K12" s="35">
        <v>2</v>
      </c>
      <c r="L12" s="35">
        <v>2</v>
      </c>
      <c r="M12" s="35">
        <v>2</v>
      </c>
      <c r="N12" s="35">
        <v>2</v>
      </c>
      <c r="O12" s="35">
        <v>2</v>
      </c>
      <c r="P12" s="35">
        <v>2</v>
      </c>
      <c r="Q12" s="35">
        <v>2</v>
      </c>
      <c r="R12" s="35">
        <v>2</v>
      </c>
      <c r="S12" s="35">
        <v>2</v>
      </c>
      <c r="T12" s="35">
        <v>2</v>
      </c>
      <c r="U12" s="35">
        <v>2</v>
      </c>
      <c r="V12" s="35">
        <v>2</v>
      </c>
      <c r="W12" s="35">
        <v>2</v>
      </c>
      <c r="X12" s="35">
        <v>2</v>
      </c>
      <c r="Y12" s="35">
        <v>2</v>
      </c>
      <c r="Z12" s="35">
        <v>2</v>
      </c>
      <c r="AA12" s="35">
        <v>2</v>
      </c>
      <c r="AB12" s="35">
        <v>2</v>
      </c>
      <c r="AC12" s="35">
        <v>2</v>
      </c>
      <c r="AD12" s="35">
        <v>2</v>
      </c>
      <c r="AE12" s="35">
        <v>2</v>
      </c>
      <c r="AF12" s="35">
        <v>2</v>
      </c>
      <c r="AG12" s="35">
        <v>2</v>
      </c>
      <c r="AH12" s="35">
        <v>2</v>
      </c>
    </row>
    <row r="13" spans="1:47" x14ac:dyDescent="0.25"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</row>
    <row r="14" spans="1:47" x14ac:dyDescent="0.25">
      <c r="K14" s="546"/>
    </row>
    <row r="17" spans="1:68" ht="14.25" thickBot="1" x14ac:dyDescent="0.3">
      <c r="A17" s="943" t="s">
        <v>193</v>
      </c>
      <c r="B17" s="943"/>
      <c r="D17" s="943" t="s">
        <v>492</v>
      </c>
      <c r="E17" s="943"/>
      <c r="H17" s="46"/>
      <c r="I17" s="545">
        <v>42398</v>
      </c>
      <c r="J17" s="545">
        <v>42429</v>
      </c>
      <c r="K17" s="545">
        <v>42460</v>
      </c>
      <c r="L17" s="545">
        <v>42489</v>
      </c>
      <c r="M17" s="545">
        <v>42521</v>
      </c>
      <c r="N17" s="545">
        <v>42551</v>
      </c>
      <c r="O17" s="545">
        <v>42580</v>
      </c>
      <c r="P17" s="545">
        <v>42613</v>
      </c>
      <c r="Q17" s="545">
        <v>42643</v>
      </c>
      <c r="R17" s="545">
        <v>42674</v>
      </c>
      <c r="S17" s="545">
        <v>42704</v>
      </c>
      <c r="T17" s="545">
        <v>42734</v>
      </c>
      <c r="U17" s="545">
        <v>42766</v>
      </c>
      <c r="V17" s="545">
        <v>42794</v>
      </c>
      <c r="W17" s="545">
        <v>42825</v>
      </c>
      <c r="X17" s="545">
        <v>42853</v>
      </c>
      <c r="Y17" s="545">
        <v>42886</v>
      </c>
      <c r="Z17" s="545">
        <v>42916</v>
      </c>
      <c r="AA17" s="545">
        <v>42947</v>
      </c>
      <c r="AB17" s="545">
        <v>42978</v>
      </c>
      <c r="AC17" s="545">
        <v>43007</v>
      </c>
      <c r="AD17" s="545">
        <v>43039</v>
      </c>
      <c r="AE17" s="545">
        <v>43069</v>
      </c>
      <c r="AF17" s="545">
        <v>43098</v>
      </c>
      <c r="AG17" s="545">
        <v>43131</v>
      </c>
      <c r="AH17" s="545">
        <v>43159</v>
      </c>
      <c r="AI17" s="546"/>
      <c r="AJ17" s="546"/>
      <c r="AK17" s="546"/>
      <c r="AL17" s="546"/>
      <c r="AM17" s="546"/>
      <c r="AN17" s="546"/>
      <c r="AO17" s="546"/>
      <c r="AP17" s="546"/>
      <c r="AQ17" s="546"/>
      <c r="AR17" s="546"/>
      <c r="AS17" s="546"/>
      <c r="AT17" s="546"/>
      <c r="AU17" s="546"/>
    </row>
    <row r="18" spans="1:68" ht="27" customHeight="1" thickBot="1" x14ac:dyDescent="0.3">
      <c r="A18" s="944" t="s">
        <v>443</v>
      </c>
      <c r="B18" s="944"/>
      <c r="D18" s="944" t="s">
        <v>1708</v>
      </c>
      <c r="E18" s="944"/>
      <c r="H18" s="110" t="s">
        <v>257</v>
      </c>
      <c r="I18" s="546">
        <v>0.9283095238095237</v>
      </c>
      <c r="J18" s="546">
        <v>0.72789523809523815</v>
      </c>
      <c r="K18" s="546">
        <v>0.67010434782608708</v>
      </c>
      <c r="L18" s="546">
        <v>0.66787142857142867</v>
      </c>
      <c r="M18" s="546">
        <v>0.73383636363636384</v>
      </c>
      <c r="N18" s="546">
        <v>0.63875454545454546</v>
      </c>
      <c r="O18" s="546">
        <v>0.44199523809523811</v>
      </c>
      <c r="P18" s="546">
        <v>0.3148086956521739</v>
      </c>
      <c r="Q18" s="546">
        <v>0.31291818181818187</v>
      </c>
      <c r="R18" s="546">
        <v>0.41142380952380958</v>
      </c>
      <c r="S18" s="546">
        <v>0.69759090909090904</v>
      </c>
      <c r="T18" s="546">
        <v>0.89878181818181835</v>
      </c>
      <c r="U18" s="546">
        <v>0.94445909090909097</v>
      </c>
      <c r="V18" s="546">
        <v>1.0089800000000002</v>
      </c>
      <c r="W18" s="546">
        <v>1.0787043478260869</v>
      </c>
      <c r="X18" s="546">
        <v>0.96891500000000019</v>
      </c>
      <c r="Y18" s="546">
        <v>0.99932173913043487</v>
      </c>
      <c r="Z18" s="546">
        <v>0.90037727272727264</v>
      </c>
      <c r="AA18" s="546">
        <v>1.0473571428571429</v>
      </c>
      <c r="AB18" s="546">
        <v>0.92276521739130435</v>
      </c>
      <c r="AC18" s="546">
        <v>0.92747619047619034</v>
      </c>
      <c r="AD18" s="546">
        <v>0.95942272727272726</v>
      </c>
      <c r="AE18" s="546">
        <v>0.89760000000000018</v>
      </c>
      <c r="AF18" s="546">
        <v>0.85988095238095241</v>
      </c>
      <c r="AG18" s="546">
        <v>0.9767434782608696</v>
      </c>
      <c r="AH18" s="546">
        <v>1.1443299999999998</v>
      </c>
      <c r="AI18" s="546"/>
      <c r="AJ18" s="546"/>
      <c r="AK18" s="546"/>
      <c r="AL18" s="546"/>
      <c r="AM18" s="546"/>
      <c r="AN18" s="546"/>
      <c r="AO18" s="546"/>
      <c r="AP18" s="546"/>
      <c r="AQ18" s="546"/>
      <c r="AR18" s="546"/>
      <c r="AS18" s="546"/>
      <c r="AT18" s="546"/>
      <c r="AU18" s="546"/>
    </row>
    <row r="19" spans="1:68" x14ac:dyDescent="0.25">
      <c r="H19" s="110" t="s">
        <v>245</v>
      </c>
      <c r="I19" s="546">
        <v>0.51577499999999987</v>
      </c>
      <c r="J19" s="546">
        <v>0.23044761904761907</v>
      </c>
      <c r="K19" s="546">
        <v>0.22692857142857145</v>
      </c>
      <c r="L19" s="546">
        <v>0.1868285714285714</v>
      </c>
      <c r="M19" s="546">
        <v>0.17225454545454547</v>
      </c>
      <c r="N19" s="546">
        <v>2.0881818181818178E-2</v>
      </c>
      <c r="O19" s="546">
        <v>-8.9757142857142841E-2</v>
      </c>
      <c r="P19" s="546">
        <v>-7.6173913043478245E-2</v>
      </c>
      <c r="Q19" s="546">
        <v>-4.4522727272727276E-2</v>
      </c>
      <c r="R19" s="546">
        <v>5.3199999999999976E-2</v>
      </c>
      <c r="S19" s="546">
        <v>0.25770909090909094</v>
      </c>
      <c r="T19" s="546">
        <v>0.33298571428571433</v>
      </c>
      <c r="U19" s="546">
        <v>0.35788636363636361</v>
      </c>
      <c r="V19" s="546">
        <v>0.32168499999999994</v>
      </c>
      <c r="W19" s="546">
        <v>0.40489999999999993</v>
      </c>
      <c r="X19" s="546">
        <v>0.27734999999999999</v>
      </c>
      <c r="Y19" s="546">
        <v>0.41164545454545459</v>
      </c>
      <c r="Z19" s="546">
        <v>0.33973636363636356</v>
      </c>
      <c r="AA19" s="546">
        <v>0.56028571428571416</v>
      </c>
      <c r="AB19" s="546">
        <v>0.42349999999999993</v>
      </c>
      <c r="AC19" s="546">
        <v>0.42511904761904762</v>
      </c>
      <c r="AD19" s="546">
        <v>0.45890909090909099</v>
      </c>
      <c r="AE19" s="546">
        <v>0.40884545454545457</v>
      </c>
      <c r="AF19" s="546">
        <v>0.39493684210526309</v>
      </c>
      <c r="AG19" s="546">
        <v>0.57105909090909091</v>
      </c>
      <c r="AH19" s="546">
        <v>0.72683500000000001</v>
      </c>
      <c r="AI19" s="546"/>
      <c r="AJ19" s="546"/>
      <c r="AK19" s="546"/>
      <c r="AL19" s="546"/>
      <c r="AM19" s="546"/>
      <c r="AN19" s="546"/>
      <c r="AO19" s="546"/>
      <c r="AP19" s="546"/>
      <c r="AQ19" s="546"/>
      <c r="AR19" s="546"/>
      <c r="AS19" s="546"/>
      <c r="AT19" s="546"/>
    </row>
    <row r="20" spans="1:68" ht="22.5" customHeight="1" x14ac:dyDescent="0.25">
      <c r="H20" s="110" t="s">
        <v>258</v>
      </c>
      <c r="I20" s="546">
        <v>1.79738</v>
      </c>
      <c r="J20" s="546">
        <v>1.7527619047619045</v>
      </c>
      <c r="K20" s="546">
        <v>1.5795476190476192</v>
      </c>
      <c r="L20" s="546">
        <v>1.5899047619047617</v>
      </c>
      <c r="M20" s="546">
        <v>1.6271636363636361</v>
      </c>
      <c r="N20" s="546">
        <v>1.5287090909090912</v>
      </c>
      <c r="O20" s="546">
        <v>1.2014666666666667</v>
      </c>
      <c r="P20" s="546">
        <v>1.029773913043478</v>
      </c>
      <c r="Q20" s="546">
        <v>1.0811363636363636</v>
      </c>
      <c r="R20" s="546">
        <v>1.1373047619047618</v>
      </c>
      <c r="S20" s="546">
        <v>1.4788590909090908</v>
      </c>
      <c r="T20" s="546">
        <v>1.4786333333333332</v>
      </c>
      <c r="U20" s="546">
        <v>1.53895</v>
      </c>
      <c r="V20" s="546">
        <v>1.7396049999999998</v>
      </c>
      <c r="W20" s="546">
        <v>1.7786304347826085</v>
      </c>
      <c r="X20" s="546">
        <v>1.6752055555555556</v>
      </c>
      <c r="Y20" s="546">
        <v>1.634218181818182</v>
      </c>
      <c r="Z20" s="546">
        <v>1.5192227272727272</v>
      </c>
      <c r="AA20" s="546">
        <v>1.648195238095238</v>
      </c>
      <c r="AB20" s="546">
        <v>1.5477739130434787</v>
      </c>
      <c r="AC20" s="546">
        <v>1.5943142857142858</v>
      </c>
      <c r="AD20" s="546">
        <v>1.6567181818181813</v>
      </c>
      <c r="AE20" s="546">
        <v>1.5368590909090907</v>
      </c>
      <c r="AF20" s="546">
        <v>1.5127052631578948</v>
      </c>
      <c r="AG20" s="546">
        <v>1.548877272727273</v>
      </c>
      <c r="AH20" s="546">
        <v>1.5588349999999997</v>
      </c>
      <c r="AI20" s="546"/>
      <c r="AJ20" s="546"/>
      <c r="AK20" s="546"/>
      <c r="AL20" s="546"/>
      <c r="AM20" s="546"/>
      <c r="AN20" s="546"/>
      <c r="AO20" s="546"/>
      <c r="AP20" s="546"/>
      <c r="AQ20" s="546"/>
      <c r="AR20" s="546"/>
      <c r="AS20" s="546"/>
      <c r="AT20" s="546"/>
    </row>
    <row r="21" spans="1:68" x14ac:dyDescent="0.25">
      <c r="H21" s="110" t="s">
        <v>246</v>
      </c>
      <c r="I21" s="546">
        <v>0.68361000000000005</v>
      </c>
      <c r="J21" s="546">
        <v>0.51851904761904766</v>
      </c>
      <c r="K21" s="546">
        <v>0.41133333333333333</v>
      </c>
      <c r="L21" s="546">
        <v>0.48047142857142855</v>
      </c>
      <c r="M21" s="546">
        <v>0.50405454545454542</v>
      </c>
      <c r="N21" s="546">
        <v>0.48639999999999994</v>
      </c>
      <c r="O21" s="546">
        <v>0.40719473684210522</v>
      </c>
      <c r="P21" s="546">
        <v>0.32444782608695655</v>
      </c>
      <c r="Q21" s="546">
        <v>0.27961904761904754</v>
      </c>
      <c r="R21" s="546">
        <v>0.39476499999999998</v>
      </c>
      <c r="S21" s="546">
        <v>0.56897142857142868</v>
      </c>
      <c r="T21" s="546">
        <v>0.5404714285714286</v>
      </c>
      <c r="U21" s="546">
        <v>0.48396363636363637</v>
      </c>
      <c r="V21" s="546">
        <v>0.61842000000000008</v>
      </c>
      <c r="W21" s="546">
        <v>0.89155652173913047</v>
      </c>
      <c r="X21" s="546">
        <v>0.98105555555555546</v>
      </c>
      <c r="Y21" s="546">
        <v>0.76698571428571427</v>
      </c>
      <c r="Z21" s="546">
        <v>0.81315454545454535</v>
      </c>
      <c r="AA21" s="546">
        <v>0.96085789473684191</v>
      </c>
      <c r="AB21" s="546">
        <v>0.90578260869565241</v>
      </c>
      <c r="AC21" s="546">
        <v>1.0397600000000002</v>
      </c>
      <c r="AD21" s="546">
        <v>1.46885</v>
      </c>
      <c r="AE21" s="546">
        <v>1.7219238095238096</v>
      </c>
      <c r="AF21" s="546">
        <v>1.5824315789473684</v>
      </c>
      <c r="AG21" s="546">
        <v>1.8400454545454543</v>
      </c>
      <c r="AH21" s="546">
        <v>1.8788049999999998</v>
      </c>
      <c r="AI21" s="546"/>
      <c r="AJ21" s="546"/>
      <c r="AK21" s="546"/>
      <c r="AL21" s="546"/>
      <c r="AM21" s="546"/>
      <c r="AN21" s="546"/>
      <c r="AO21" s="546"/>
      <c r="AP21" s="546"/>
      <c r="AQ21" s="546"/>
      <c r="AR21" s="546"/>
      <c r="AS21" s="546"/>
      <c r="AT21" s="546"/>
    </row>
    <row r="22" spans="1:68" x14ac:dyDescent="0.25">
      <c r="H22" s="110" t="s">
        <v>247</v>
      </c>
      <c r="I22" s="43">
        <v>3.2416842105263153</v>
      </c>
      <c r="J22" s="43">
        <v>3.1186095238095235</v>
      </c>
      <c r="K22" s="43">
        <v>3.0072772727272725</v>
      </c>
      <c r="L22" s="43">
        <v>3.0621476190476189</v>
      </c>
      <c r="M22" s="43">
        <v>3.1464749999999997</v>
      </c>
      <c r="N22" s="43">
        <v>3.208690909090909</v>
      </c>
      <c r="O22" s="43">
        <v>3.0013428571428569</v>
      </c>
      <c r="P22" s="43">
        <v>2.8079818181818181</v>
      </c>
      <c r="Q22" s="43">
        <v>2.9055000000000004</v>
      </c>
      <c r="R22" s="43">
        <v>3.0847476190476186</v>
      </c>
      <c r="S22" s="43">
        <v>3.5049000000000006</v>
      </c>
      <c r="T22" s="43">
        <v>3.5909047619047616</v>
      </c>
      <c r="U22" s="43">
        <v>3.7377333333333334</v>
      </c>
      <c r="V22" s="43">
        <v>3.7748100000000009</v>
      </c>
      <c r="W22" s="43">
        <v>3.6015521739130429</v>
      </c>
      <c r="X22" s="43">
        <v>3.3786736842105265</v>
      </c>
      <c r="Y22" s="43">
        <v>3.3145238095238092</v>
      </c>
      <c r="Z22" s="43">
        <v>3.1649142857142851</v>
      </c>
      <c r="AA22" s="43">
        <v>3.2747761904761901</v>
      </c>
      <c r="AB22" s="43">
        <v>3.3127090909090899</v>
      </c>
      <c r="AC22" s="43">
        <v>3.2552571428571428</v>
      </c>
      <c r="AD22" s="43">
        <v>3.3602227272727276</v>
      </c>
      <c r="AE22" s="43">
        <v>3.3820857142857141</v>
      </c>
      <c r="AF22" s="43">
        <v>3.264321052631578</v>
      </c>
      <c r="AG22" s="43">
        <v>3.3984863636363638</v>
      </c>
      <c r="AH22" s="43">
        <v>3.470969999999999</v>
      </c>
    </row>
    <row r="23" spans="1:68" x14ac:dyDescent="0.25">
      <c r="A23" s="511"/>
      <c r="B23" s="511"/>
      <c r="C23" s="539"/>
      <c r="D23" s="511"/>
      <c r="E23" s="511"/>
      <c r="H23" s="110"/>
    </row>
    <row r="24" spans="1:68" x14ac:dyDescent="0.25">
      <c r="H24" s="110"/>
    </row>
    <row r="25" spans="1:68" s="511" customFormat="1" ht="14.25" thickBot="1" x14ac:dyDescent="0.3">
      <c r="A25" s="34"/>
      <c r="B25" s="34"/>
      <c r="C25" s="300"/>
      <c r="D25" s="34"/>
      <c r="E25" s="34"/>
      <c r="H25" s="47"/>
      <c r="I25" s="545">
        <v>42398</v>
      </c>
      <c r="J25" s="545">
        <v>42429</v>
      </c>
      <c r="K25" s="545">
        <v>42460</v>
      </c>
      <c r="L25" s="545">
        <v>42489</v>
      </c>
      <c r="M25" s="545">
        <v>42521</v>
      </c>
      <c r="N25" s="545">
        <v>42551</v>
      </c>
      <c r="O25" s="545">
        <v>42580</v>
      </c>
      <c r="P25" s="545">
        <v>42613</v>
      </c>
      <c r="Q25" s="545">
        <v>42643</v>
      </c>
      <c r="R25" s="545">
        <v>42674</v>
      </c>
      <c r="S25" s="545">
        <v>42704</v>
      </c>
      <c r="T25" s="545">
        <v>42734</v>
      </c>
      <c r="U25" s="545">
        <v>42766</v>
      </c>
      <c r="V25" s="545">
        <v>42794</v>
      </c>
      <c r="W25" s="545">
        <v>42825</v>
      </c>
      <c r="X25" s="545">
        <v>42853</v>
      </c>
      <c r="Y25" s="545">
        <v>42886</v>
      </c>
      <c r="Z25" s="545">
        <v>42916</v>
      </c>
      <c r="AA25" s="545">
        <v>42947</v>
      </c>
      <c r="AB25" s="545">
        <v>42978</v>
      </c>
      <c r="AC25" s="545">
        <v>43007</v>
      </c>
      <c r="AD25" s="545">
        <v>43039</v>
      </c>
      <c r="AE25" s="545">
        <v>43069</v>
      </c>
      <c r="AF25" s="545">
        <v>43098</v>
      </c>
      <c r="AG25" s="545">
        <v>43131</v>
      </c>
      <c r="AH25" s="545">
        <v>43159</v>
      </c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</row>
    <row r="26" spans="1:68" x14ac:dyDescent="0.25">
      <c r="H26" s="110" t="s">
        <v>259</v>
      </c>
      <c r="I26" s="546">
        <v>0.3</v>
      </c>
      <c r="J26" s="546">
        <v>-0.2</v>
      </c>
      <c r="K26" s="546">
        <v>0</v>
      </c>
      <c r="L26" s="546">
        <v>-0.2</v>
      </c>
      <c r="M26" s="546">
        <v>-0.1</v>
      </c>
      <c r="N26" s="546">
        <v>0.1</v>
      </c>
      <c r="O26" s="546">
        <v>0.2</v>
      </c>
      <c r="P26" s="546">
        <v>0.2</v>
      </c>
      <c r="Q26" s="546">
        <v>0.4</v>
      </c>
      <c r="R26" s="546">
        <v>0.5</v>
      </c>
      <c r="S26" s="546">
        <v>0.6</v>
      </c>
      <c r="T26" s="546">
        <v>1.1000000000000001</v>
      </c>
      <c r="U26" s="546">
        <v>1.8</v>
      </c>
      <c r="V26" s="546">
        <v>2</v>
      </c>
      <c r="W26" s="546">
        <v>1.5</v>
      </c>
      <c r="X26" s="546">
        <v>1.9</v>
      </c>
      <c r="Y26" s="546">
        <v>1.4</v>
      </c>
      <c r="Z26" s="546">
        <v>1.3</v>
      </c>
      <c r="AA26" s="546">
        <v>1.3</v>
      </c>
      <c r="AB26" s="546">
        <v>1.5</v>
      </c>
      <c r="AC26" s="546">
        <v>1.5</v>
      </c>
      <c r="AD26" s="546">
        <v>1.4</v>
      </c>
      <c r="AE26" s="546">
        <v>1.5</v>
      </c>
      <c r="AF26" s="546">
        <v>1.4</v>
      </c>
      <c r="AG26" s="546">
        <v>1.3</v>
      </c>
      <c r="AH26" s="546">
        <v>1.2</v>
      </c>
    </row>
    <row r="27" spans="1:68" x14ac:dyDescent="0.25">
      <c r="H27" s="110" t="s">
        <v>1033</v>
      </c>
      <c r="I27" s="34">
        <v>1.5149999999999999</v>
      </c>
      <c r="J27" s="34">
        <v>1.361</v>
      </c>
      <c r="K27" s="34">
        <v>1.407</v>
      </c>
      <c r="L27" s="34">
        <v>1.4710000000000001</v>
      </c>
      <c r="M27" s="34">
        <v>1.4750000000000001</v>
      </c>
      <c r="N27" s="34">
        <v>1.3180000000000001</v>
      </c>
      <c r="O27" s="34">
        <v>1.3395999999999999</v>
      </c>
      <c r="P27" s="34">
        <v>1.302</v>
      </c>
      <c r="Q27" s="34">
        <v>1.355</v>
      </c>
      <c r="R27" s="34">
        <v>1.4646999999999999</v>
      </c>
      <c r="S27" s="34">
        <v>1.619</v>
      </c>
      <c r="T27" s="34">
        <v>1.7435</v>
      </c>
      <c r="U27" s="34">
        <v>1.8</v>
      </c>
      <c r="V27" s="34">
        <v>1.696</v>
      </c>
      <c r="W27" s="34">
        <v>1.5597000000000001</v>
      </c>
      <c r="X27" s="34">
        <v>1.6267</v>
      </c>
      <c r="Y27" s="34">
        <v>1.5625</v>
      </c>
      <c r="Z27" s="34">
        <v>1.5791999999999999</v>
      </c>
      <c r="AA27" s="34">
        <v>1.62</v>
      </c>
      <c r="AB27" s="34">
        <v>1.605</v>
      </c>
      <c r="AC27" s="34">
        <v>1.6180000000000001</v>
      </c>
      <c r="AD27" s="34">
        <v>1.6597</v>
      </c>
      <c r="AE27" s="34">
        <v>1.6950000000000001</v>
      </c>
      <c r="AF27" s="34">
        <v>1.72</v>
      </c>
      <c r="AG27" s="34">
        <v>1.7310000000000001</v>
      </c>
      <c r="AH27" s="34">
        <v>1.7242</v>
      </c>
    </row>
    <row r="28" spans="1:68" x14ac:dyDescent="0.25">
      <c r="H28" s="110" t="s">
        <v>260</v>
      </c>
      <c r="I28" s="35">
        <v>2</v>
      </c>
      <c r="J28" s="35">
        <v>2</v>
      </c>
      <c r="K28" s="35">
        <v>2</v>
      </c>
      <c r="L28" s="35">
        <v>2</v>
      </c>
      <c r="M28" s="35">
        <v>2</v>
      </c>
      <c r="N28" s="35">
        <v>2</v>
      </c>
      <c r="O28" s="35">
        <v>2</v>
      </c>
      <c r="P28" s="35">
        <v>2</v>
      </c>
      <c r="Q28" s="35">
        <v>2</v>
      </c>
      <c r="R28" s="35">
        <v>2</v>
      </c>
      <c r="S28" s="35">
        <v>2</v>
      </c>
      <c r="T28" s="35">
        <v>2</v>
      </c>
      <c r="U28" s="35">
        <v>2</v>
      </c>
      <c r="V28" s="35">
        <v>2</v>
      </c>
      <c r="W28" s="35">
        <v>2</v>
      </c>
      <c r="X28" s="35">
        <v>2</v>
      </c>
      <c r="Y28" s="35">
        <v>2</v>
      </c>
      <c r="Z28" s="35">
        <v>2</v>
      </c>
      <c r="AA28" s="35">
        <v>2</v>
      </c>
      <c r="AB28" s="35">
        <v>2</v>
      </c>
      <c r="AC28" s="35">
        <v>2</v>
      </c>
      <c r="AD28" s="35">
        <v>2</v>
      </c>
      <c r="AE28" s="35">
        <v>2</v>
      </c>
      <c r="AF28" s="35">
        <v>2</v>
      </c>
      <c r="AG28" s="35">
        <v>2</v>
      </c>
      <c r="AH28" s="35">
        <v>2</v>
      </c>
      <c r="AI28" s="546"/>
      <c r="AJ28" s="546"/>
      <c r="AK28" s="546"/>
      <c r="AL28" s="546"/>
      <c r="AM28" s="546"/>
      <c r="AN28" s="546"/>
      <c r="AO28" s="546"/>
      <c r="AP28" s="546"/>
      <c r="AQ28" s="546"/>
      <c r="AR28" s="546"/>
      <c r="AS28" s="546"/>
      <c r="AT28" s="546"/>
      <c r="AU28" s="546"/>
      <c r="AV28" s="546"/>
      <c r="AW28" s="546"/>
      <c r="AX28" s="546"/>
      <c r="AY28" s="546"/>
      <c r="AZ28" s="546"/>
      <c r="BA28" s="546"/>
      <c r="BB28" s="546"/>
      <c r="BC28" s="546"/>
      <c r="BD28" s="546"/>
      <c r="BE28" s="546"/>
      <c r="BF28" s="546"/>
      <c r="BG28" s="546"/>
      <c r="BH28" s="546"/>
      <c r="BI28" s="546"/>
      <c r="BJ28" s="546"/>
      <c r="BK28" s="546"/>
      <c r="BL28" s="546"/>
      <c r="BM28" s="546"/>
      <c r="BN28" s="546"/>
      <c r="BO28" s="546"/>
      <c r="BP28" s="546"/>
    </row>
    <row r="32" spans="1:68" x14ac:dyDescent="0.25">
      <c r="A32" s="943" t="s">
        <v>406</v>
      </c>
      <c r="B32" s="943"/>
      <c r="D32" s="943" t="s">
        <v>493</v>
      </c>
      <c r="E32" s="943"/>
    </row>
  </sheetData>
  <mergeCells count="8">
    <mergeCell ref="A32:B32"/>
    <mergeCell ref="D32:E32"/>
    <mergeCell ref="D3:E3"/>
    <mergeCell ref="A3:B3"/>
    <mergeCell ref="A18:B18"/>
    <mergeCell ref="D18:E18"/>
    <mergeCell ref="A17:B17"/>
    <mergeCell ref="D17:E17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7"/>
  <dimension ref="A2:G50"/>
  <sheetViews>
    <sheetView showGridLines="0" topLeftCell="A16" zoomScale="90" zoomScaleNormal="90" workbookViewId="0">
      <selection activeCell="A28" sqref="A28:G28"/>
    </sheetView>
  </sheetViews>
  <sheetFormatPr defaultColWidth="9.140625" defaultRowHeight="13.5" x14ac:dyDescent="0.25"/>
  <cols>
    <col min="1" max="1" width="50.42578125" style="34" bestFit="1" customWidth="1"/>
    <col min="2" max="7" width="9" style="34" customWidth="1"/>
    <col min="8" max="16384" width="9.140625" style="34"/>
  </cols>
  <sheetData>
    <row r="2" spans="1:7" ht="27.6" customHeight="1" thickBot="1" x14ac:dyDescent="0.3">
      <c r="A2" s="1022" t="s">
        <v>1324</v>
      </c>
      <c r="B2" s="1022"/>
      <c r="C2" s="1022"/>
      <c r="D2" s="1022"/>
      <c r="E2" s="1022"/>
      <c r="F2" s="1022"/>
      <c r="G2" s="1022"/>
    </row>
    <row r="3" spans="1:7" ht="14.25" thickBot="1" x14ac:dyDescent="0.3">
      <c r="A3" s="529"/>
      <c r="B3" s="845">
        <v>2013</v>
      </c>
      <c r="C3" s="845">
        <v>2014</v>
      </c>
      <c r="D3" s="845">
        <v>2015</v>
      </c>
      <c r="E3" s="845">
        <v>2016</v>
      </c>
      <c r="F3" s="505">
        <v>2017</v>
      </c>
      <c r="G3" s="505">
        <v>2018</v>
      </c>
    </row>
    <row r="4" spans="1:7" x14ac:dyDescent="0.25">
      <c r="A4" s="1023" t="s">
        <v>1325</v>
      </c>
      <c r="B4" s="1023"/>
      <c r="C4" s="1023"/>
      <c r="D4" s="1023"/>
      <c r="E4" s="1023"/>
      <c r="F4" s="1023"/>
      <c r="G4" s="1023"/>
    </row>
    <row r="5" spans="1:7" x14ac:dyDescent="0.25">
      <c r="A5" s="433" t="s">
        <v>1326</v>
      </c>
      <c r="B5" s="129"/>
      <c r="C5" s="187">
        <v>5.9</v>
      </c>
      <c r="D5" s="187">
        <v>60.1</v>
      </c>
      <c r="E5" s="187">
        <v>104.5</v>
      </c>
      <c r="F5" s="187">
        <v>183.6</v>
      </c>
      <c r="G5" s="187">
        <v>268.7</v>
      </c>
    </row>
    <row r="6" spans="1:7" ht="14.25" thickBot="1" x14ac:dyDescent="0.3">
      <c r="A6" s="529" t="s">
        <v>1327</v>
      </c>
      <c r="B6" s="497"/>
      <c r="C6" s="497"/>
      <c r="D6" s="497"/>
      <c r="E6" s="497"/>
      <c r="F6" s="508">
        <v>29.3</v>
      </c>
      <c r="G6" s="508">
        <v>58.6</v>
      </c>
    </row>
    <row r="7" spans="1:7" ht="14.25" thickBot="1" x14ac:dyDescent="0.3">
      <c r="A7" s="529" t="s">
        <v>51</v>
      </c>
      <c r="B7" s="497"/>
      <c r="C7" s="508">
        <f t="shared" ref="C7:E7" si="0">C5+C6</f>
        <v>5.9</v>
      </c>
      <c r="D7" s="508">
        <f t="shared" si="0"/>
        <v>60.1</v>
      </c>
      <c r="E7" s="508">
        <f t="shared" si="0"/>
        <v>104.5</v>
      </c>
      <c r="F7" s="508">
        <f>F5+F6</f>
        <v>212.9</v>
      </c>
      <c r="G7" s="508">
        <f>G5+G6</f>
        <v>327.3</v>
      </c>
    </row>
    <row r="8" spans="1:7" ht="14.25" thickBot="1" x14ac:dyDescent="0.3">
      <c r="A8" s="1024" t="s">
        <v>1328</v>
      </c>
      <c r="B8" s="1024"/>
      <c r="C8" s="1024"/>
      <c r="D8" s="1024"/>
      <c r="E8" s="1024"/>
      <c r="F8" s="1024"/>
      <c r="G8" s="1024"/>
    </row>
    <row r="9" spans="1:7" x14ac:dyDescent="0.25">
      <c r="A9" s="433" t="s">
        <v>1329</v>
      </c>
      <c r="B9" s="129"/>
      <c r="C9" s="187">
        <v>-9.1999999999999993</v>
      </c>
      <c r="D9" s="187">
        <v>-9.3000000000000007</v>
      </c>
      <c r="E9" s="187">
        <v>-9.5</v>
      </c>
      <c r="F9" s="187">
        <v>-9.6</v>
      </c>
      <c r="G9" s="187">
        <v>-9.6999999999999993</v>
      </c>
    </row>
    <row r="10" spans="1:7" x14ac:dyDescent="0.25">
      <c r="A10" s="433" t="s">
        <v>1330</v>
      </c>
      <c r="B10" s="129"/>
      <c r="C10" s="129"/>
      <c r="D10" s="187">
        <v>-9.1</v>
      </c>
      <c r="E10" s="187">
        <v>-22.4</v>
      </c>
      <c r="F10" s="187">
        <v>-22.8</v>
      </c>
      <c r="G10" s="187">
        <v>-23.3</v>
      </c>
    </row>
    <row r="11" spans="1:7" x14ac:dyDescent="0.25">
      <c r="A11" s="433" t="s">
        <v>1331</v>
      </c>
      <c r="B11" s="129"/>
      <c r="C11" s="129"/>
      <c r="D11" s="129"/>
      <c r="E11" s="187">
        <v>-7.9</v>
      </c>
      <c r="F11" s="187">
        <v>-8.6999999999999993</v>
      </c>
      <c r="G11" s="187">
        <v>-9.6</v>
      </c>
    </row>
    <row r="12" spans="1:7" x14ac:dyDescent="0.25">
      <c r="A12" s="433" t="s">
        <v>1332</v>
      </c>
      <c r="B12" s="129"/>
      <c r="C12" s="129"/>
      <c r="D12" s="129"/>
      <c r="E12" s="187">
        <v>-2.9</v>
      </c>
      <c r="F12" s="187">
        <v>-3.2</v>
      </c>
      <c r="G12" s="187">
        <v>-3.5</v>
      </c>
    </row>
    <row r="13" spans="1:7" x14ac:dyDescent="0.25">
      <c r="A13" s="433" t="s">
        <v>1333</v>
      </c>
      <c r="B13" s="129"/>
      <c r="C13" s="129"/>
      <c r="D13" s="129"/>
      <c r="E13" s="129"/>
      <c r="F13" s="187">
        <v>-113.6</v>
      </c>
      <c r="G13" s="187">
        <v>-116</v>
      </c>
    </row>
    <row r="14" spans="1:7" x14ac:dyDescent="0.25">
      <c r="A14" s="433" t="s">
        <v>1334</v>
      </c>
      <c r="B14" s="129"/>
      <c r="C14" s="129"/>
      <c r="D14" s="129"/>
      <c r="E14" s="129"/>
      <c r="F14" s="129"/>
      <c r="G14" s="187">
        <v>-81.5</v>
      </c>
    </row>
    <row r="15" spans="1:7" ht="14.25" thickBot="1" x14ac:dyDescent="0.3">
      <c r="A15" s="529" t="s">
        <v>1335</v>
      </c>
      <c r="B15" s="497"/>
      <c r="C15" s="497"/>
      <c r="D15" s="497"/>
      <c r="E15" s="497"/>
      <c r="F15" s="497"/>
      <c r="G15" s="508">
        <v>-50.2</v>
      </c>
    </row>
    <row r="16" spans="1:7" ht="14.25" thickBot="1" x14ac:dyDescent="0.3">
      <c r="A16" s="529" t="s">
        <v>51</v>
      </c>
      <c r="B16" s="497"/>
      <c r="C16" s="508">
        <f>SUM(C9:C15)</f>
        <v>-9.1999999999999993</v>
      </c>
      <c r="D16" s="508">
        <f t="shared" ref="D16:G16" si="1">SUM(D9:D15)</f>
        <v>-18.399999999999999</v>
      </c>
      <c r="E16" s="508">
        <f t="shared" si="1"/>
        <v>-42.699999999999996</v>
      </c>
      <c r="F16" s="508">
        <f t="shared" si="1"/>
        <v>-157.89999999999998</v>
      </c>
      <c r="G16" s="508">
        <f t="shared" si="1"/>
        <v>-293.8</v>
      </c>
    </row>
    <row r="17" spans="1:7" x14ac:dyDescent="0.25">
      <c r="A17" s="1023" t="s">
        <v>1336</v>
      </c>
      <c r="B17" s="1023"/>
      <c r="C17" s="1023"/>
      <c r="D17" s="1023"/>
      <c r="E17" s="1023"/>
      <c r="F17" s="1023"/>
      <c r="G17" s="1023"/>
    </row>
    <row r="18" spans="1:7" x14ac:dyDescent="0.25">
      <c r="A18" s="433" t="s">
        <v>1337</v>
      </c>
      <c r="B18" s="187">
        <v>103.6</v>
      </c>
      <c r="C18" s="187">
        <v>110.8</v>
      </c>
      <c r="D18" s="187">
        <v>119.8</v>
      </c>
      <c r="E18" s="187">
        <v>128.82845782863834</v>
      </c>
      <c r="F18" s="187">
        <v>138.53732509603711</v>
      </c>
      <c r="G18" s="187">
        <v>148.97787933077777</v>
      </c>
    </row>
    <row r="19" spans="1:7" ht="14.25" thickBot="1" x14ac:dyDescent="0.3">
      <c r="A19" s="529" t="s">
        <v>1338</v>
      </c>
      <c r="B19" s="508"/>
      <c r="C19" s="508"/>
      <c r="D19" s="508"/>
      <c r="E19" s="508"/>
      <c r="F19" s="508">
        <v>67.2</v>
      </c>
      <c r="G19" s="508">
        <v>70.5</v>
      </c>
    </row>
    <row r="20" spans="1:7" ht="14.25" thickBot="1" x14ac:dyDescent="0.3">
      <c r="A20" s="529" t="s">
        <v>51</v>
      </c>
      <c r="B20" s="508">
        <f>SUM(B18:B19)</f>
        <v>103.6</v>
      </c>
      <c r="C20" s="508">
        <f t="shared" ref="C20:G20" si="2">SUM(C18:C19)</f>
        <v>110.8</v>
      </c>
      <c r="D20" s="508">
        <f t="shared" si="2"/>
        <v>119.8</v>
      </c>
      <c r="E20" s="508">
        <f t="shared" si="2"/>
        <v>128.82845782863834</v>
      </c>
      <c r="F20" s="508">
        <f t="shared" si="2"/>
        <v>205.73732509603713</v>
      </c>
      <c r="G20" s="508">
        <f t="shared" si="2"/>
        <v>219.47787933077777</v>
      </c>
    </row>
    <row r="21" spans="1:7" ht="14.25" thickBot="1" x14ac:dyDescent="0.3">
      <c r="A21" s="1024" t="s">
        <v>1339</v>
      </c>
      <c r="B21" s="1024"/>
      <c r="C21" s="1024"/>
      <c r="D21" s="1024"/>
      <c r="E21" s="1024"/>
      <c r="F21" s="1024"/>
      <c r="G21" s="1024"/>
    </row>
    <row r="22" spans="1:7" ht="14.25" thickBot="1" x14ac:dyDescent="0.3">
      <c r="A22" s="846" t="s">
        <v>51</v>
      </c>
      <c r="B22" s="508">
        <f>B20+B16+B7</f>
        <v>103.6</v>
      </c>
      <c r="C22" s="508">
        <f t="shared" ref="C22:G22" si="3">C20+C16+C7</f>
        <v>107.5</v>
      </c>
      <c r="D22" s="508">
        <f t="shared" si="3"/>
        <v>161.5</v>
      </c>
      <c r="E22" s="508">
        <f t="shared" si="3"/>
        <v>190.62845782863835</v>
      </c>
      <c r="F22" s="508">
        <f t="shared" si="3"/>
        <v>260.73732509603713</v>
      </c>
      <c r="G22" s="508">
        <f t="shared" si="3"/>
        <v>252.97787933077777</v>
      </c>
    </row>
    <row r="23" spans="1:7" ht="14.25" thickBot="1" x14ac:dyDescent="0.3">
      <c r="A23" s="846" t="s">
        <v>1340</v>
      </c>
      <c r="B23" s="508">
        <f>B22</f>
        <v>103.6</v>
      </c>
      <c r="C23" s="508">
        <f>B23+C22</f>
        <v>211.1</v>
      </c>
      <c r="D23" s="508">
        <f t="shared" ref="D23:G23" si="4">C23+D22</f>
        <v>372.6</v>
      </c>
      <c r="E23" s="508">
        <f t="shared" si="4"/>
        <v>563.2284578286384</v>
      </c>
      <c r="F23" s="508">
        <f t="shared" si="4"/>
        <v>823.96578292467552</v>
      </c>
      <c r="G23" s="508">
        <f t="shared" si="4"/>
        <v>1076.9436622554533</v>
      </c>
    </row>
    <row r="24" spans="1:7" x14ac:dyDescent="0.25">
      <c r="A24" s="953" t="s">
        <v>1341</v>
      </c>
      <c r="B24" s="953"/>
      <c r="C24" s="953"/>
      <c r="D24" s="953"/>
      <c r="E24" s="953"/>
      <c r="F24" s="953"/>
      <c r="G24" s="953"/>
    </row>
    <row r="25" spans="1:7" x14ac:dyDescent="0.25">
      <c r="A25" s="105"/>
      <c r="B25" s="105"/>
      <c r="C25" s="105"/>
      <c r="D25" s="105"/>
      <c r="E25" s="105"/>
      <c r="F25" s="105"/>
      <c r="G25" s="105"/>
    </row>
    <row r="28" spans="1:7" ht="14.25" thickBot="1" x14ac:dyDescent="0.3">
      <c r="A28" s="1022" t="s">
        <v>1539</v>
      </c>
      <c r="B28" s="1022"/>
      <c r="C28" s="1022"/>
      <c r="D28" s="1022"/>
      <c r="E28" s="1022"/>
      <c r="F28" s="1022"/>
      <c r="G28" s="1022"/>
    </row>
    <row r="29" spans="1:7" ht="14.25" thickBot="1" x14ac:dyDescent="0.3">
      <c r="A29" s="529"/>
      <c r="B29" s="845">
        <v>2013</v>
      </c>
      <c r="C29" s="845">
        <v>2014</v>
      </c>
      <c r="D29" s="845">
        <v>2015</v>
      </c>
      <c r="E29" s="845">
        <v>2016</v>
      </c>
      <c r="F29" s="505">
        <v>2017</v>
      </c>
      <c r="G29" s="505">
        <v>2018</v>
      </c>
    </row>
    <row r="30" spans="1:7" x14ac:dyDescent="0.25">
      <c r="A30" s="1023" t="s">
        <v>1534</v>
      </c>
      <c r="B30" s="1023"/>
      <c r="C30" s="1023"/>
      <c r="D30" s="1023"/>
      <c r="E30" s="1023"/>
      <c r="F30" s="1023"/>
      <c r="G30" s="1023"/>
    </row>
    <row r="31" spans="1:7" x14ac:dyDescent="0.25">
      <c r="A31" s="433" t="s">
        <v>1523</v>
      </c>
      <c r="B31" s="129"/>
      <c r="C31" s="187">
        <v>5.9</v>
      </c>
      <c r="D31" s="187">
        <v>60.1</v>
      </c>
      <c r="E31" s="187">
        <v>104.5</v>
      </c>
      <c r="F31" s="187">
        <v>183.6</v>
      </c>
      <c r="G31" s="187">
        <v>268.7</v>
      </c>
    </row>
    <row r="32" spans="1:7" ht="14.25" thickBot="1" x14ac:dyDescent="0.3">
      <c r="A32" s="529" t="s">
        <v>1524</v>
      </c>
      <c r="B32" s="497"/>
      <c r="C32" s="497"/>
      <c r="D32" s="497"/>
      <c r="E32" s="497"/>
      <c r="F32" s="508">
        <v>29.3</v>
      </c>
      <c r="G32" s="508">
        <v>58.6</v>
      </c>
    </row>
    <row r="33" spans="1:7" ht="14.25" thickBot="1" x14ac:dyDescent="0.3">
      <c r="A33" s="529" t="s">
        <v>339</v>
      </c>
      <c r="B33" s="497"/>
      <c r="C33" s="508">
        <f t="shared" ref="C33:E33" si="5">C31+C32</f>
        <v>5.9</v>
      </c>
      <c r="D33" s="508">
        <f t="shared" si="5"/>
        <v>60.1</v>
      </c>
      <c r="E33" s="508">
        <f t="shared" si="5"/>
        <v>104.5</v>
      </c>
      <c r="F33" s="508">
        <f>F31+F32</f>
        <v>212.9</v>
      </c>
      <c r="G33" s="508">
        <f>G31+G32</f>
        <v>327.3</v>
      </c>
    </row>
    <row r="34" spans="1:7" ht="14.25" thickBot="1" x14ac:dyDescent="0.3">
      <c r="A34" s="1024" t="s">
        <v>1535</v>
      </c>
      <c r="B34" s="1024"/>
      <c r="C34" s="1024"/>
      <c r="D34" s="1024"/>
      <c r="E34" s="1024"/>
      <c r="F34" s="1024"/>
      <c r="G34" s="1024"/>
    </row>
    <row r="35" spans="1:7" x14ac:dyDescent="0.25">
      <c r="A35" s="433" t="s">
        <v>1531</v>
      </c>
      <c r="B35" s="129"/>
      <c r="C35" s="187">
        <v>-9.1999999999999993</v>
      </c>
      <c r="D35" s="187">
        <v>-9.3000000000000007</v>
      </c>
      <c r="E35" s="187">
        <v>-9.5</v>
      </c>
      <c r="F35" s="187">
        <v>-9.6</v>
      </c>
      <c r="G35" s="187">
        <v>-9.6999999999999993</v>
      </c>
    </row>
    <row r="36" spans="1:7" x14ac:dyDescent="0.25">
      <c r="A36" s="433" t="s">
        <v>1525</v>
      </c>
      <c r="B36" s="129"/>
      <c r="C36" s="129"/>
      <c r="D36" s="187">
        <v>-9.1</v>
      </c>
      <c r="E36" s="187">
        <v>-22.4</v>
      </c>
      <c r="F36" s="187">
        <v>-22.8</v>
      </c>
      <c r="G36" s="187">
        <v>-23.3</v>
      </c>
    </row>
    <row r="37" spans="1:7" x14ac:dyDescent="0.25">
      <c r="A37" s="433" t="s">
        <v>1526</v>
      </c>
      <c r="B37" s="129"/>
      <c r="C37" s="129"/>
      <c r="D37" s="129"/>
      <c r="E37" s="187">
        <v>-7.9</v>
      </c>
      <c r="F37" s="187">
        <v>-8.6999999999999993</v>
      </c>
      <c r="G37" s="187">
        <v>-9.6</v>
      </c>
    </row>
    <row r="38" spans="1:7" x14ac:dyDescent="0.25">
      <c r="A38" s="433" t="s">
        <v>1527</v>
      </c>
      <c r="B38" s="129"/>
      <c r="C38" s="129"/>
      <c r="D38" s="129"/>
      <c r="E38" s="187">
        <v>-2.9</v>
      </c>
      <c r="F38" s="187">
        <v>-3.2</v>
      </c>
      <c r="G38" s="187">
        <v>-3.5</v>
      </c>
    </row>
    <row r="39" spans="1:7" x14ac:dyDescent="0.25">
      <c r="A39" s="433" t="s">
        <v>1528</v>
      </c>
      <c r="B39" s="129"/>
      <c r="C39" s="129"/>
      <c r="D39" s="129"/>
      <c r="E39" s="129"/>
      <c r="F39" s="187">
        <v>-113.6</v>
      </c>
      <c r="G39" s="187">
        <v>-116</v>
      </c>
    </row>
    <row r="40" spans="1:7" x14ac:dyDescent="0.25">
      <c r="A40" s="433" t="s">
        <v>1529</v>
      </c>
      <c r="B40" s="129"/>
      <c r="C40" s="129"/>
      <c r="D40" s="129"/>
      <c r="E40" s="129"/>
      <c r="F40" s="129"/>
      <c r="G40" s="187">
        <v>-81.5</v>
      </c>
    </row>
    <row r="41" spans="1:7" ht="14.25" thickBot="1" x14ac:dyDescent="0.3">
      <c r="A41" s="529" t="s">
        <v>1530</v>
      </c>
      <c r="B41" s="497"/>
      <c r="C41" s="497"/>
      <c r="D41" s="497"/>
      <c r="E41" s="497"/>
      <c r="F41" s="497"/>
      <c r="G41" s="508">
        <v>-50.2</v>
      </c>
    </row>
    <row r="42" spans="1:7" ht="14.25" thickBot="1" x14ac:dyDescent="0.3">
      <c r="A42" s="529" t="s">
        <v>339</v>
      </c>
      <c r="B42" s="497"/>
      <c r="C42" s="508">
        <f>SUM(C35:C41)</f>
        <v>-9.1999999999999993</v>
      </c>
      <c r="D42" s="508">
        <f t="shared" ref="D42:G42" si="6">SUM(D35:D41)</f>
        <v>-18.399999999999999</v>
      </c>
      <c r="E42" s="508">
        <f t="shared" si="6"/>
        <v>-42.699999999999996</v>
      </c>
      <c r="F42" s="508">
        <f t="shared" si="6"/>
        <v>-157.89999999999998</v>
      </c>
      <c r="G42" s="508">
        <f t="shared" si="6"/>
        <v>-293.8</v>
      </c>
    </row>
    <row r="43" spans="1:7" x14ac:dyDescent="0.25">
      <c r="A43" s="1023" t="s">
        <v>1536</v>
      </c>
      <c r="B43" s="1023"/>
      <c r="C43" s="1023"/>
      <c r="D43" s="1023"/>
      <c r="E43" s="1023"/>
      <c r="F43" s="1023"/>
      <c r="G43" s="1023"/>
    </row>
    <row r="44" spans="1:7" x14ac:dyDescent="0.25">
      <c r="A44" s="433" t="s">
        <v>1728</v>
      </c>
      <c r="B44" s="187">
        <v>103.6</v>
      </c>
      <c r="C44" s="187">
        <v>110.8</v>
      </c>
      <c r="D44" s="187">
        <v>119.8</v>
      </c>
      <c r="E44" s="187">
        <v>128.82845782863834</v>
      </c>
      <c r="F44" s="187">
        <v>138.53732509603711</v>
      </c>
      <c r="G44" s="187">
        <v>148.97787933077777</v>
      </c>
    </row>
    <row r="45" spans="1:7" ht="14.25" thickBot="1" x14ac:dyDescent="0.3">
      <c r="A45" s="529" t="s">
        <v>1532</v>
      </c>
      <c r="B45" s="508"/>
      <c r="C45" s="508"/>
      <c r="D45" s="508"/>
      <c r="E45" s="508"/>
      <c r="F45" s="508">
        <v>67.2</v>
      </c>
      <c r="G45" s="508">
        <v>70.5</v>
      </c>
    </row>
    <row r="46" spans="1:7" ht="14.25" thickBot="1" x14ac:dyDescent="0.3">
      <c r="A46" s="529" t="s">
        <v>339</v>
      </c>
      <c r="B46" s="508">
        <f>SUM(B44:B45)</f>
        <v>103.6</v>
      </c>
      <c r="C46" s="508">
        <f t="shared" ref="C46:G46" si="7">SUM(C44:C45)</f>
        <v>110.8</v>
      </c>
      <c r="D46" s="508">
        <f t="shared" si="7"/>
        <v>119.8</v>
      </c>
      <c r="E46" s="508">
        <f t="shared" si="7"/>
        <v>128.82845782863834</v>
      </c>
      <c r="F46" s="508">
        <f t="shared" si="7"/>
        <v>205.73732509603713</v>
      </c>
      <c r="G46" s="508">
        <f t="shared" si="7"/>
        <v>219.47787933077777</v>
      </c>
    </row>
    <row r="47" spans="1:7" ht="14.25" thickBot="1" x14ac:dyDescent="0.3">
      <c r="A47" s="1024" t="s">
        <v>1537</v>
      </c>
      <c r="B47" s="1024"/>
      <c r="C47" s="1024"/>
      <c r="D47" s="1024"/>
      <c r="E47" s="1024"/>
      <c r="F47" s="1024"/>
      <c r="G47" s="1024"/>
    </row>
    <row r="48" spans="1:7" ht="14.25" thickBot="1" x14ac:dyDescent="0.3">
      <c r="A48" s="846" t="s">
        <v>339</v>
      </c>
      <c r="B48" s="508">
        <f>B46+B42+B33</f>
        <v>103.6</v>
      </c>
      <c r="C48" s="508">
        <f t="shared" ref="C48:G48" si="8">C46+C42+C33</f>
        <v>107.5</v>
      </c>
      <c r="D48" s="508">
        <f t="shared" si="8"/>
        <v>161.5</v>
      </c>
      <c r="E48" s="508">
        <f t="shared" si="8"/>
        <v>190.62845782863835</v>
      </c>
      <c r="F48" s="508">
        <f t="shared" si="8"/>
        <v>260.73732509603713</v>
      </c>
      <c r="G48" s="508">
        <f t="shared" si="8"/>
        <v>252.97787933077777</v>
      </c>
    </row>
    <row r="49" spans="1:7" ht="14.25" thickBot="1" x14ac:dyDescent="0.3">
      <c r="A49" s="846" t="s">
        <v>1533</v>
      </c>
      <c r="B49" s="508">
        <f>B48</f>
        <v>103.6</v>
      </c>
      <c r="C49" s="508">
        <f>B49+C48</f>
        <v>211.1</v>
      </c>
      <c r="D49" s="508">
        <f t="shared" ref="D49" si="9">C49+D48</f>
        <v>372.6</v>
      </c>
      <c r="E49" s="508">
        <f t="shared" ref="E49" si="10">D49+E48</f>
        <v>563.2284578286384</v>
      </c>
      <c r="F49" s="508">
        <f t="shared" ref="F49" si="11">E49+F48</f>
        <v>823.96578292467552</v>
      </c>
      <c r="G49" s="508">
        <f t="shared" ref="G49" si="12">F49+G48</f>
        <v>1076.9436622554533</v>
      </c>
    </row>
    <row r="50" spans="1:7" x14ac:dyDescent="0.25">
      <c r="A50" s="953" t="s">
        <v>1538</v>
      </c>
      <c r="B50" s="953"/>
      <c r="C50" s="953"/>
      <c r="D50" s="953"/>
      <c r="E50" s="953"/>
      <c r="F50" s="953"/>
      <c r="G50" s="953"/>
    </row>
  </sheetData>
  <mergeCells count="12">
    <mergeCell ref="A50:G50"/>
    <mergeCell ref="A24:G24"/>
    <mergeCell ref="A2:G2"/>
    <mergeCell ref="A4:G4"/>
    <mergeCell ref="A8:G8"/>
    <mergeCell ref="A17:G17"/>
    <mergeCell ref="A21:G21"/>
    <mergeCell ref="A28:G28"/>
    <mergeCell ref="A30:G30"/>
    <mergeCell ref="A34:G34"/>
    <mergeCell ref="A43:G43"/>
    <mergeCell ref="A47:G47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5"/>
  <dimension ref="B2:Z54"/>
  <sheetViews>
    <sheetView showGridLines="0" topLeftCell="M1" zoomScale="90" zoomScaleNormal="90" workbookViewId="0">
      <selection activeCell="O29" sqref="O29:Y29"/>
    </sheetView>
  </sheetViews>
  <sheetFormatPr defaultColWidth="9.140625" defaultRowHeight="13.5" x14ac:dyDescent="0.25"/>
  <cols>
    <col min="1" max="1" width="18.140625" style="268" customWidth="1"/>
    <col min="2" max="2" width="20.7109375" style="268" customWidth="1"/>
    <col min="3" max="14" width="9.140625" style="268"/>
    <col min="15" max="15" width="20.7109375" style="268" customWidth="1"/>
    <col min="16" max="16384" width="9.140625" style="268"/>
  </cols>
  <sheetData>
    <row r="2" spans="2:26" ht="14.25" thickBot="1" x14ac:dyDescent="0.3">
      <c r="B2" s="1026" t="s">
        <v>1294</v>
      </c>
      <c r="C2" s="1026"/>
      <c r="D2" s="1026"/>
      <c r="E2" s="1026"/>
      <c r="F2" s="1026"/>
      <c r="G2" s="1026"/>
      <c r="H2" s="1026"/>
      <c r="I2" s="1026"/>
      <c r="J2" s="1026"/>
      <c r="K2" s="1026"/>
      <c r="L2" s="1026"/>
      <c r="M2" s="813"/>
      <c r="O2" s="977" t="s">
        <v>1296</v>
      </c>
      <c r="P2" s="977"/>
      <c r="Q2" s="977"/>
      <c r="R2" s="977"/>
      <c r="S2" s="977"/>
      <c r="T2" s="977"/>
      <c r="U2" s="977"/>
      <c r="V2" s="977"/>
      <c r="W2" s="977"/>
      <c r="X2" s="977"/>
      <c r="Y2" s="977"/>
      <c r="Z2" s="657"/>
    </row>
    <row r="20" spans="2:26" x14ac:dyDescent="0.25">
      <c r="B20" s="1025" t="s">
        <v>777</v>
      </c>
      <c r="C20" s="1025"/>
      <c r="D20" s="1025"/>
      <c r="E20" s="1025"/>
      <c r="F20" s="1025"/>
      <c r="G20" s="1025"/>
      <c r="H20" s="1025"/>
      <c r="I20" s="1025"/>
      <c r="J20" s="1025"/>
      <c r="K20" s="1025"/>
      <c r="L20" s="1025"/>
      <c r="M20" s="656"/>
      <c r="O20" s="1025" t="s">
        <v>780</v>
      </c>
      <c r="P20" s="1025"/>
      <c r="Q20" s="1025"/>
      <c r="R20" s="1025"/>
      <c r="S20" s="1025"/>
      <c r="T20" s="1025"/>
      <c r="U20" s="1025"/>
      <c r="V20" s="1025"/>
      <c r="W20" s="1025"/>
      <c r="X20" s="1025"/>
      <c r="Y20" s="1025"/>
    </row>
    <row r="21" spans="2:26" x14ac:dyDescent="0.25">
      <c r="B21" s="269"/>
      <c r="C21" s="276">
        <v>2007</v>
      </c>
      <c r="D21" s="276">
        <v>2008</v>
      </c>
      <c r="E21" s="276">
        <v>2009</v>
      </c>
      <c r="F21" s="276">
        <v>2010</v>
      </c>
      <c r="G21" s="276">
        <v>2011</v>
      </c>
      <c r="H21" s="276">
        <v>2012</v>
      </c>
      <c r="I21" s="276">
        <v>2013</v>
      </c>
      <c r="J21" s="276">
        <v>2014</v>
      </c>
      <c r="K21" s="276">
        <v>2015</v>
      </c>
      <c r="L21" s="276">
        <v>2016</v>
      </c>
      <c r="M21" s="276">
        <v>2017</v>
      </c>
      <c r="O21" s="269"/>
      <c r="P21" s="270">
        <v>2007</v>
      </c>
      <c r="Q21" s="270">
        <v>2008</v>
      </c>
      <c r="R21" s="270">
        <v>2009</v>
      </c>
      <c r="S21" s="270">
        <v>2010</v>
      </c>
      <c r="T21" s="270">
        <v>2011</v>
      </c>
      <c r="U21" s="270">
        <v>2012</v>
      </c>
      <c r="V21" s="270">
        <v>2013</v>
      </c>
      <c r="W21" s="270">
        <v>2014</v>
      </c>
      <c r="X21" s="270">
        <v>2015</v>
      </c>
      <c r="Y21" s="270">
        <v>2016</v>
      </c>
      <c r="Z21" s="276">
        <v>2017</v>
      </c>
    </row>
    <row r="22" spans="2:26" x14ac:dyDescent="0.25">
      <c r="B22" s="268" t="s">
        <v>737</v>
      </c>
      <c r="C22" s="271">
        <v>34.4</v>
      </c>
      <c r="D22" s="271">
        <v>34.5</v>
      </c>
      <c r="E22" s="271">
        <v>36.299999999999997</v>
      </c>
      <c r="F22" s="271">
        <v>34.700000000000003</v>
      </c>
      <c r="G22" s="271">
        <v>36.5</v>
      </c>
      <c r="H22" s="271">
        <v>36.299999999999997</v>
      </c>
      <c r="I22" s="271">
        <v>38.700000000000003</v>
      </c>
      <c r="J22" s="271">
        <v>39.299999999999997</v>
      </c>
      <c r="K22" s="271">
        <v>42.5</v>
      </c>
      <c r="L22" s="271">
        <v>39.299999999999997</v>
      </c>
      <c r="M22" s="658">
        <v>39.4</v>
      </c>
      <c r="O22" s="268" t="s">
        <v>737</v>
      </c>
      <c r="P22" s="271">
        <v>29</v>
      </c>
      <c r="Q22" s="271">
        <v>28.9</v>
      </c>
      <c r="R22" s="271">
        <v>28.8</v>
      </c>
      <c r="S22" s="271">
        <v>28</v>
      </c>
      <c r="T22" s="271">
        <v>28.5</v>
      </c>
      <c r="U22" s="271">
        <v>28.2</v>
      </c>
      <c r="V22" s="271">
        <v>30.1</v>
      </c>
      <c r="W22" s="271">
        <v>31</v>
      </c>
      <c r="X22" s="271">
        <v>32.1</v>
      </c>
      <c r="Y22" s="271">
        <v>32.299999999999997</v>
      </c>
      <c r="Z22" s="658">
        <v>32.803149988765092</v>
      </c>
    </row>
    <row r="23" spans="2:26" x14ac:dyDescent="0.25">
      <c r="B23" s="268" t="s">
        <v>736</v>
      </c>
      <c r="C23" s="272">
        <v>44.7</v>
      </c>
      <c r="D23" s="272">
        <v>44.5</v>
      </c>
      <c r="E23" s="272">
        <v>44.5</v>
      </c>
      <c r="F23" s="272">
        <v>44.4</v>
      </c>
      <c r="G23" s="272">
        <v>45</v>
      </c>
      <c r="H23" s="272">
        <v>46.1</v>
      </c>
      <c r="I23" s="272">
        <v>46.8</v>
      </c>
      <c r="J23" s="272">
        <v>46.7</v>
      </c>
      <c r="K23" s="272">
        <v>46.3</v>
      </c>
      <c r="L23" s="289">
        <v>46.1</v>
      </c>
      <c r="M23" s="289">
        <v>46.2</v>
      </c>
      <c r="O23" s="268" t="s">
        <v>773</v>
      </c>
      <c r="P23" s="272">
        <v>39.700000000000003</v>
      </c>
      <c r="Q23" s="272">
        <v>39.299999999999997</v>
      </c>
      <c r="R23" s="272">
        <v>38.900000000000006</v>
      </c>
      <c r="S23" s="272">
        <v>38.9</v>
      </c>
      <c r="T23" s="272">
        <v>39.4</v>
      </c>
      <c r="U23" s="272">
        <v>40.400000000000006</v>
      </c>
      <c r="V23" s="272">
        <v>41.1</v>
      </c>
      <c r="W23" s="272">
        <v>41</v>
      </c>
      <c r="X23" s="272">
        <v>40.799999999999997</v>
      </c>
      <c r="Y23" s="289">
        <v>40.900000000000006</v>
      </c>
      <c r="Z23" s="289">
        <v>41.2</v>
      </c>
    </row>
    <row r="24" spans="2:26" x14ac:dyDescent="0.25">
      <c r="B24" s="268" t="s">
        <v>738</v>
      </c>
      <c r="C24" s="271">
        <f>AVERAGE(C25:C27)</f>
        <v>41.966666666666661</v>
      </c>
      <c r="D24" s="271">
        <f t="shared" ref="D24:M24" si="0">AVERAGE(D25:D27)</f>
        <v>41.433333333333337</v>
      </c>
      <c r="E24" s="271">
        <f t="shared" si="0"/>
        <v>40.766666666666666</v>
      </c>
      <c r="F24" s="271">
        <f t="shared" si="0"/>
        <v>40.866666666666667</v>
      </c>
      <c r="G24" s="271">
        <f t="shared" si="0"/>
        <v>41.133333333333333</v>
      </c>
      <c r="H24" s="271">
        <f t="shared" si="0"/>
        <v>41.9</v>
      </c>
      <c r="I24" s="271">
        <f t="shared" si="0"/>
        <v>42.2</v>
      </c>
      <c r="J24" s="271">
        <f t="shared" si="0"/>
        <v>41.9</v>
      </c>
      <c r="K24" s="271">
        <f t="shared" si="0"/>
        <v>42.733333333333327</v>
      </c>
      <c r="L24" s="271">
        <f t="shared" si="0"/>
        <v>41.300000000000004</v>
      </c>
      <c r="M24" s="271">
        <f t="shared" si="0"/>
        <v>41.5</v>
      </c>
      <c r="O24" s="268" t="s">
        <v>738</v>
      </c>
      <c r="P24" s="271">
        <f>AVERAGE(P25:P27)</f>
        <v>37.766666666666666</v>
      </c>
      <c r="Q24" s="271">
        <f t="shared" ref="Q24:Z24" si="1">AVERAGE(Q25:Q27)</f>
        <v>37.233333333333341</v>
      </c>
      <c r="R24" s="271">
        <f t="shared" si="1"/>
        <v>36.633333333333333</v>
      </c>
      <c r="S24" s="271">
        <f t="shared" si="1"/>
        <v>36.166666666666664</v>
      </c>
      <c r="T24" s="271">
        <f t="shared" si="1"/>
        <v>36.5</v>
      </c>
      <c r="U24" s="271">
        <f t="shared" si="1"/>
        <v>37.6</v>
      </c>
      <c r="V24" s="271">
        <f t="shared" si="1"/>
        <v>37.900000000000006</v>
      </c>
      <c r="W24" s="271">
        <f t="shared" si="1"/>
        <v>37.56666666666667</v>
      </c>
      <c r="X24" s="271">
        <f t="shared" si="1"/>
        <v>37.799999999999997</v>
      </c>
      <c r="Y24" s="289">
        <f t="shared" si="1"/>
        <v>38.233333333333334</v>
      </c>
      <c r="Z24" s="289">
        <f t="shared" si="1"/>
        <v>38.200000000000003</v>
      </c>
    </row>
    <row r="25" spans="2:26" x14ac:dyDescent="0.25">
      <c r="B25" s="273" t="s">
        <v>774</v>
      </c>
      <c r="C25" s="271">
        <v>39.700000000000003</v>
      </c>
      <c r="D25" s="271">
        <v>38.700000000000003</v>
      </c>
      <c r="E25" s="271">
        <v>38.700000000000003</v>
      </c>
      <c r="F25" s="271">
        <v>39.299999999999997</v>
      </c>
      <c r="G25" s="271">
        <v>40.299999999999997</v>
      </c>
      <c r="H25" s="271">
        <v>40.5</v>
      </c>
      <c r="I25" s="271">
        <v>41.4</v>
      </c>
      <c r="J25" s="271">
        <v>40.299999999999997</v>
      </c>
      <c r="K25" s="271">
        <v>41.1</v>
      </c>
      <c r="L25" s="289">
        <v>40.200000000000003</v>
      </c>
      <c r="M25" s="289">
        <v>40.4</v>
      </c>
      <c r="O25" s="273" t="s">
        <v>774</v>
      </c>
      <c r="P25" s="271">
        <v>34.4</v>
      </c>
      <c r="Q25" s="271">
        <v>33.1</v>
      </c>
      <c r="R25" s="271">
        <v>32.099999999999994</v>
      </c>
      <c r="S25" s="271">
        <v>32.5</v>
      </c>
      <c r="T25" s="271">
        <v>33.599999999999994</v>
      </c>
      <c r="U25" s="271">
        <v>34.1</v>
      </c>
      <c r="V25" s="271">
        <v>34.700000000000003</v>
      </c>
      <c r="W25" s="271">
        <v>33.700000000000003</v>
      </c>
      <c r="X25" s="271">
        <v>33.799999999999997</v>
      </c>
      <c r="Y25" s="289">
        <v>34.599999999999994</v>
      </c>
      <c r="Z25" s="289">
        <v>35.200000000000003</v>
      </c>
    </row>
    <row r="26" spans="2:26" x14ac:dyDescent="0.25">
      <c r="B26" s="273" t="s">
        <v>775</v>
      </c>
      <c r="C26" s="271">
        <v>41.4</v>
      </c>
      <c r="D26" s="271">
        <v>40.700000000000003</v>
      </c>
      <c r="E26" s="271">
        <v>37.799999999999997</v>
      </c>
      <c r="F26" s="271">
        <v>38.5</v>
      </c>
      <c r="G26" s="271">
        <v>39.1</v>
      </c>
      <c r="H26" s="271">
        <v>39.1</v>
      </c>
      <c r="I26" s="271">
        <v>38.5</v>
      </c>
      <c r="J26" s="271">
        <v>38.6</v>
      </c>
      <c r="K26" s="271">
        <v>38.9</v>
      </c>
      <c r="L26" s="289">
        <v>38.799999999999997</v>
      </c>
      <c r="M26" s="289">
        <v>39.6</v>
      </c>
      <c r="O26" s="273" t="s">
        <v>775</v>
      </c>
      <c r="P26" s="271">
        <v>39.700000000000003</v>
      </c>
      <c r="Q26" s="271">
        <v>39.299999999999997</v>
      </c>
      <c r="R26" s="271">
        <v>38.900000000000006</v>
      </c>
      <c r="S26" s="271">
        <v>38.9</v>
      </c>
      <c r="T26" s="271">
        <v>39.4</v>
      </c>
      <c r="U26" s="271">
        <v>40.400000000000006</v>
      </c>
      <c r="V26" s="271">
        <v>41.1</v>
      </c>
      <c r="W26" s="271">
        <v>41</v>
      </c>
      <c r="X26" s="271">
        <v>40.799999999999997</v>
      </c>
      <c r="Y26" s="289">
        <v>40.900000000000006</v>
      </c>
      <c r="Z26" s="289">
        <v>41.2</v>
      </c>
    </row>
    <row r="27" spans="2:26" x14ac:dyDescent="0.25">
      <c r="B27" s="274" t="s">
        <v>776</v>
      </c>
      <c r="C27" s="275">
        <v>44.8</v>
      </c>
      <c r="D27" s="275">
        <v>44.9</v>
      </c>
      <c r="E27" s="275">
        <v>45.8</v>
      </c>
      <c r="F27" s="275">
        <v>44.8</v>
      </c>
      <c r="G27" s="275">
        <v>44</v>
      </c>
      <c r="H27" s="275">
        <v>46.1</v>
      </c>
      <c r="I27" s="275">
        <v>46.7</v>
      </c>
      <c r="J27" s="275">
        <v>46.8</v>
      </c>
      <c r="K27" s="275">
        <v>48.2</v>
      </c>
      <c r="L27" s="290">
        <v>44.9</v>
      </c>
      <c r="M27" s="290">
        <v>44.5</v>
      </c>
      <c r="O27" s="274" t="s">
        <v>776</v>
      </c>
      <c r="P27" s="275">
        <v>39.200000000000003</v>
      </c>
      <c r="Q27" s="275">
        <v>39.300000000000004</v>
      </c>
      <c r="R27" s="275">
        <v>38.9</v>
      </c>
      <c r="S27" s="275">
        <v>37.1</v>
      </c>
      <c r="T27" s="275">
        <v>36.5</v>
      </c>
      <c r="U27" s="275">
        <v>38.299999999999997</v>
      </c>
      <c r="V27" s="275">
        <v>37.9</v>
      </c>
      <c r="W27" s="275">
        <v>38</v>
      </c>
      <c r="X27" s="275">
        <v>38.799999999999997</v>
      </c>
      <c r="Y27" s="290">
        <v>39.200000000000003</v>
      </c>
      <c r="Z27" s="290">
        <v>38.200000000000003</v>
      </c>
    </row>
    <row r="29" spans="2:26" ht="15.75" customHeight="1" thickBot="1" x14ac:dyDescent="0.3">
      <c r="B29" s="1026" t="s">
        <v>1295</v>
      </c>
      <c r="C29" s="1026"/>
      <c r="D29" s="1026"/>
      <c r="E29" s="1026"/>
      <c r="F29" s="1026"/>
      <c r="G29" s="1026"/>
      <c r="H29" s="1026"/>
      <c r="I29" s="1026"/>
      <c r="J29" s="1026"/>
      <c r="K29" s="1026"/>
      <c r="L29" s="1026"/>
      <c r="M29" s="813"/>
      <c r="O29" s="977" t="s">
        <v>1297</v>
      </c>
      <c r="P29" s="977"/>
      <c r="Q29" s="977"/>
      <c r="R29" s="977"/>
      <c r="S29" s="977"/>
      <c r="T29" s="977"/>
      <c r="U29" s="977"/>
      <c r="V29" s="977"/>
      <c r="W29" s="977"/>
      <c r="X29" s="977"/>
      <c r="Y29" s="977"/>
      <c r="Z29" s="657"/>
    </row>
    <row r="36" spans="2:26" x14ac:dyDescent="0.25">
      <c r="G36" s="277"/>
    </row>
    <row r="47" spans="2:26" x14ac:dyDescent="0.25">
      <c r="B47" s="1025" t="s">
        <v>778</v>
      </c>
      <c r="C47" s="1025"/>
      <c r="D47" s="1025"/>
      <c r="E47" s="1025"/>
      <c r="F47" s="1025"/>
      <c r="G47" s="1025"/>
      <c r="H47" s="1025"/>
      <c r="I47" s="1025"/>
      <c r="J47" s="1025"/>
      <c r="K47" s="1025"/>
      <c r="L47" s="1025"/>
      <c r="M47" s="656"/>
      <c r="O47" s="1025" t="s">
        <v>781</v>
      </c>
      <c r="P47" s="1025"/>
      <c r="Q47" s="1025"/>
      <c r="R47" s="1025"/>
      <c r="S47" s="1025"/>
      <c r="T47" s="1025"/>
      <c r="U47" s="1025"/>
      <c r="V47" s="1025"/>
      <c r="W47" s="1025"/>
      <c r="X47" s="1025"/>
      <c r="Y47" s="1025"/>
    </row>
    <row r="48" spans="2:26" x14ac:dyDescent="0.25">
      <c r="B48" s="269"/>
      <c r="C48" s="276">
        <v>2007</v>
      </c>
      <c r="D48" s="276">
        <v>2008</v>
      </c>
      <c r="E48" s="276">
        <v>2009</v>
      </c>
      <c r="F48" s="276">
        <v>2010</v>
      </c>
      <c r="G48" s="276">
        <v>2011</v>
      </c>
      <c r="H48" s="276">
        <v>2012</v>
      </c>
      <c r="I48" s="276">
        <v>2013</v>
      </c>
      <c r="J48" s="276">
        <v>2014</v>
      </c>
      <c r="K48" s="276">
        <v>2015</v>
      </c>
      <c r="L48" s="276">
        <v>2016</v>
      </c>
      <c r="M48" s="276">
        <v>2017</v>
      </c>
      <c r="O48" s="269"/>
      <c r="P48" s="270">
        <v>2007</v>
      </c>
      <c r="Q48" s="270">
        <v>2008</v>
      </c>
      <c r="R48" s="270">
        <v>2009</v>
      </c>
      <c r="S48" s="270">
        <v>2010</v>
      </c>
      <c r="T48" s="270">
        <v>2011</v>
      </c>
      <c r="U48" s="270">
        <v>2012</v>
      </c>
      <c r="V48" s="270">
        <v>2013</v>
      </c>
      <c r="W48" s="270">
        <v>2014</v>
      </c>
      <c r="X48" s="270">
        <v>2015</v>
      </c>
      <c r="Y48" s="270">
        <v>2016</v>
      </c>
      <c r="Z48" s="276">
        <v>2017</v>
      </c>
    </row>
    <row r="49" spans="2:26" x14ac:dyDescent="0.25">
      <c r="B49" s="268" t="s">
        <v>737</v>
      </c>
      <c r="C49" s="271">
        <v>34.4</v>
      </c>
      <c r="D49" s="271">
        <v>34.5</v>
      </c>
      <c r="E49" s="271">
        <v>36.299999999999997</v>
      </c>
      <c r="F49" s="271">
        <v>34.700000000000003</v>
      </c>
      <c r="G49" s="271">
        <v>36.5</v>
      </c>
      <c r="H49" s="271">
        <v>36.299999999999997</v>
      </c>
      <c r="I49" s="271">
        <v>38.700000000000003</v>
      </c>
      <c r="J49" s="271">
        <v>39.299999999999997</v>
      </c>
      <c r="K49" s="271">
        <v>42.5</v>
      </c>
      <c r="L49" s="271">
        <v>39.299999999999997</v>
      </c>
      <c r="M49" s="658">
        <v>39.4</v>
      </c>
      <c r="O49" s="268" t="s">
        <v>737</v>
      </c>
      <c r="P49" s="271">
        <v>29</v>
      </c>
      <c r="Q49" s="271">
        <v>28.9</v>
      </c>
      <c r="R49" s="271">
        <v>28.8</v>
      </c>
      <c r="S49" s="271">
        <v>28</v>
      </c>
      <c r="T49" s="271">
        <v>28.5</v>
      </c>
      <c r="U49" s="271">
        <v>28.2</v>
      </c>
      <c r="V49" s="271">
        <v>30.1</v>
      </c>
      <c r="W49" s="271">
        <v>31</v>
      </c>
      <c r="X49" s="271">
        <v>32.1</v>
      </c>
      <c r="Y49" s="271">
        <v>32.299999999999997</v>
      </c>
      <c r="Z49" s="658">
        <v>32.803149988765092</v>
      </c>
    </row>
    <row r="50" spans="2:26" x14ac:dyDescent="0.25">
      <c r="B50" s="268" t="s">
        <v>779</v>
      </c>
      <c r="C50" s="272">
        <v>44.7</v>
      </c>
      <c r="D50" s="272">
        <v>44.5</v>
      </c>
      <c r="E50" s="272">
        <v>44.5</v>
      </c>
      <c r="F50" s="272">
        <v>44.4</v>
      </c>
      <c r="G50" s="272">
        <v>45</v>
      </c>
      <c r="H50" s="272">
        <v>46.1</v>
      </c>
      <c r="I50" s="272">
        <v>46.8</v>
      </c>
      <c r="J50" s="272">
        <v>46.7</v>
      </c>
      <c r="K50" s="272">
        <v>46.3</v>
      </c>
      <c r="L50" s="289">
        <v>46.1</v>
      </c>
      <c r="M50" s="289">
        <v>46.2</v>
      </c>
      <c r="O50" s="268" t="s">
        <v>779</v>
      </c>
      <c r="P50" s="272">
        <v>39.700000000000003</v>
      </c>
      <c r="Q50" s="272">
        <v>39.299999999999997</v>
      </c>
      <c r="R50" s="272">
        <v>38.900000000000006</v>
      </c>
      <c r="S50" s="272">
        <v>38.9</v>
      </c>
      <c r="T50" s="272">
        <v>39.4</v>
      </c>
      <c r="U50" s="272">
        <v>40.400000000000006</v>
      </c>
      <c r="V50" s="272">
        <v>41.1</v>
      </c>
      <c r="W50" s="272">
        <v>41</v>
      </c>
      <c r="X50" s="272">
        <v>40.799999999999997</v>
      </c>
      <c r="Y50" s="289">
        <v>40.900000000000006</v>
      </c>
      <c r="Z50" s="289">
        <v>41.2</v>
      </c>
    </row>
    <row r="51" spans="2:26" x14ac:dyDescent="0.25">
      <c r="B51" s="268" t="s">
        <v>738</v>
      </c>
      <c r="C51" s="271">
        <f>AVERAGE(C52:C54)</f>
        <v>41.966666666666661</v>
      </c>
      <c r="D51" s="271">
        <f t="shared" ref="D51:M51" si="2">AVERAGE(D52:D54)</f>
        <v>41.433333333333337</v>
      </c>
      <c r="E51" s="271">
        <f t="shared" si="2"/>
        <v>40.766666666666666</v>
      </c>
      <c r="F51" s="271">
        <f t="shared" si="2"/>
        <v>40.866666666666667</v>
      </c>
      <c r="G51" s="271">
        <f t="shared" si="2"/>
        <v>41.133333333333333</v>
      </c>
      <c r="H51" s="271">
        <f t="shared" si="2"/>
        <v>41.9</v>
      </c>
      <c r="I51" s="271">
        <f t="shared" si="2"/>
        <v>42.2</v>
      </c>
      <c r="J51" s="271">
        <f t="shared" si="2"/>
        <v>41.9</v>
      </c>
      <c r="K51" s="271">
        <f t="shared" si="2"/>
        <v>42.733333333333327</v>
      </c>
      <c r="L51" s="271">
        <f t="shared" si="2"/>
        <v>41.300000000000004</v>
      </c>
      <c r="M51" s="271">
        <f t="shared" si="2"/>
        <v>41.5</v>
      </c>
      <c r="O51" s="268" t="s">
        <v>738</v>
      </c>
      <c r="P51" s="271">
        <f>AVERAGE(P52:P54)</f>
        <v>37.766666666666666</v>
      </c>
      <c r="Q51" s="271">
        <f t="shared" ref="Q51:Z51" si="3">AVERAGE(Q52:Q54)</f>
        <v>37.233333333333341</v>
      </c>
      <c r="R51" s="271">
        <f t="shared" si="3"/>
        <v>36.633333333333333</v>
      </c>
      <c r="S51" s="271">
        <f t="shared" si="3"/>
        <v>36.166666666666664</v>
      </c>
      <c r="T51" s="271">
        <f t="shared" si="3"/>
        <v>36.5</v>
      </c>
      <c r="U51" s="271">
        <f t="shared" si="3"/>
        <v>37.6</v>
      </c>
      <c r="V51" s="271">
        <f t="shared" si="3"/>
        <v>37.900000000000006</v>
      </c>
      <c r="W51" s="271">
        <f t="shared" si="3"/>
        <v>37.56666666666667</v>
      </c>
      <c r="X51" s="271">
        <f t="shared" si="3"/>
        <v>37.799999999999997</v>
      </c>
      <c r="Y51" s="289">
        <f t="shared" si="3"/>
        <v>38.233333333333334</v>
      </c>
      <c r="Z51" s="289">
        <f t="shared" si="3"/>
        <v>38.200000000000003</v>
      </c>
    </row>
    <row r="52" spans="2:26" x14ac:dyDescent="0.25">
      <c r="B52" s="273" t="s">
        <v>774</v>
      </c>
      <c r="C52" s="271">
        <v>39.700000000000003</v>
      </c>
      <c r="D52" s="271">
        <v>38.700000000000003</v>
      </c>
      <c r="E52" s="271">
        <v>38.700000000000003</v>
      </c>
      <c r="F52" s="271">
        <v>39.299999999999997</v>
      </c>
      <c r="G52" s="271">
        <v>40.299999999999997</v>
      </c>
      <c r="H52" s="271">
        <v>40.5</v>
      </c>
      <c r="I52" s="271">
        <v>41.4</v>
      </c>
      <c r="J52" s="271">
        <v>40.299999999999997</v>
      </c>
      <c r="K52" s="271">
        <v>41.1</v>
      </c>
      <c r="L52" s="289">
        <v>40.200000000000003</v>
      </c>
      <c r="M52" s="289">
        <v>40.4</v>
      </c>
      <c r="O52" s="273" t="s">
        <v>774</v>
      </c>
      <c r="P52" s="271">
        <v>34.4</v>
      </c>
      <c r="Q52" s="271">
        <v>33.1</v>
      </c>
      <c r="R52" s="271">
        <v>32.099999999999994</v>
      </c>
      <c r="S52" s="271">
        <v>32.5</v>
      </c>
      <c r="T52" s="271">
        <v>33.599999999999994</v>
      </c>
      <c r="U52" s="271">
        <v>34.1</v>
      </c>
      <c r="V52" s="271">
        <v>34.700000000000003</v>
      </c>
      <c r="W52" s="271">
        <v>33.700000000000003</v>
      </c>
      <c r="X52" s="271">
        <v>33.799999999999997</v>
      </c>
      <c r="Y52" s="289">
        <v>34.599999999999994</v>
      </c>
      <c r="Z52" s="289">
        <v>35.200000000000003</v>
      </c>
    </row>
    <row r="53" spans="2:26" x14ac:dyDescent="0.25">
      <c r="B53" s="273" t="s">
        <v>775</v>
      </c>
      <c r="C53" s="271">
        <v>41.4</v>
      </c>
      <c r="D53" s="271">
        <v>40.700000000000003</v>
      </c>
      <c r="E53" s="271">
        <v>37.799999999999997</v>
      </c>
      <c r="F53" s="271">
        <v>38.5</v>
      </c>
      <c r="G53" s="271">
        <v>39.1</v>
      </c>
      <c r="H53" s="271">
        <v>39.1</v>
      </c>
      <c r="I53" s="271">
        <v>38.5</v>
      </c>
      <c r="J53" s="271">
        <v>38.6</v>
      </c>
      <c r="K53" s="271">
        <v>38.9</v>
      </c>
      <c r="L53" s="289">
        <v>38.799999999999997</v>
      </c>
      <c r="M53" s="289">
        <v>39.6</v>
      </c>
      <c r="O53" s="273" t="s">
        <v>775</v>
      </c>
      <c r="P53" s="271">
        <v>39.700000000000003</v>
      </c>
      <c r="Q53" s="271">
        <v>39.299999999999997</v>
      </c>
      <c r="R53" s="271">
        <v>38.900000000000006</v>
      </c>
      <c r="S53" s="271">
        <v>38.9</v>
      </c>
      <c r="T53" s="271">
        <v>39.4</v>
      </c>
      <c r="U53" s="271">
        <v>40.400000000000006</v>
      </c>
      <c r="V53" s="271">
        <v>41.1</v>
      </c>
      <c r="W53" s="271">
        <v>41</v>
      </c>
      <c r="X53" s="271">
        <v>40.799999999999997</v>
      </c>
      <c r="Y53" s="289">
        <v>40.900000000000006</v>
      </c>
      <c r="Z53" s="289">
        <v>41.2</v>
      </c>
    </row>
    <row r="54" spans="2:26" x14ac:dyDescent="0.25">
      <c r="B54" s="274" t="s">
        <v>776</v>
      </c>
      <c r="C54" s="275">
        <v>44.8</v>
      </c>
      <c r="D54" s="275">
        <v>44.9</v>
      </c>
      <c r="E54" s="275">
        <v>45.8</v>
      </c>
      <c r="F54" s="275">
        <v>44.8</v>
      </c>
      <c r="G54" s="275">
        <v>44</v>
      </c>
      <c r="H54" s="275">
        <v>46.1</v>
      </c>
      <c r="I54" s="275">
        <v>46.7</v>
      </c>
      <c r="J54" s="275">
        <v>46.8</v>
      </c>
      <c r="K54" s="275">
        <v>48.2</v>
      </c>
      <c r="L54" s="290">
        <v>44.9</v>
      </c>
      <c r="M54" s="290">
        <v>44.5</v>
      </c>
      <c r="O54" s="274" t="s">
        <v>776</v>
      </c>
      <c r="P54" s="275">
        <v>39.200000000000003</v>
      </c>
      <c r="Q54" s="275">
        <v>39.300000000000004</v>
      </c>
      <c r="R54" s="275">
        <v>38.9</v>
      </c>
      <c r="S54" s="275">
        <v>37.1</v>
      </c>
      <c r="T54" s="275">
        <v>36.5</v>
      </c>
      <c r="U54" s="275">
        <v>38.299999999999997</v>
      </c>
      <c r="V54" s="275">
        <v>37.9</v>
      </c>
      <c r="W54" s="275">
        <v>38</v>
      </c>
      <c r="X54" s="275">
        <v>38.799999999999997</v>
      </c>
      <c r="Y54" s="290">
        <v>39.200000000000003</v>
      </c>
      <c r="Z54" s="290">
        <v>38.200000000000003</v>
      </c>
    </row>
  </sheetData>
  <mergeCells count="8">
    <mergeCell ref="O47:Y47"/>
    <mergeCell ref="O29:Y29"/>
    <mergeCell ref="B20:L20"/>
    <mergeCell ref="B47:L47"/>
    <mergeCell ref="B2:L2"/>
    <mergeCell ref="B29:L29"/>
    <mergeCell ref="O2:Y2"/>
    <mergeCell ref="O20:Y20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6">
    <pageSetUpPr fitToPage="1"/>
  </sheetPr>
  <dimension ref="B3:K57"/>
  <sheetViews>
    <sheetView showGridLines="0" zoomScale="90" zoomScaleNormal="90" workbookViewId="0">
      <selection activeCell="B31" sqref="B31"/>
    </sheetView>
  </sheetViews>
  <sheetFormatPr defaultColWidth="9.140625" defaultRowHeight="13.5" x14ac:dyDescent="0.25"/>
  <cols>
    <col min="1" max="1" width="12.140625" style="278" customWidth="1"/>
    <col min="2" max="2" width="26.140625" style="278" customWidth="1"/>
    <col min="3" max="7" width="10.42578125" style="278" customWidth="1"/>
    <col min="8" max="8" width="10.42578125" style="280" customWidth="1"/>
    <col min="9" max="9" width="11.140625" style="280" customWidth="1"/>
    <col min="10" max="16384" width="9.140625" style="278"/>
  </cols>
  <sheetData>
    <row r="3" spans="2:10" ht="14.25" thickBot="1" x14ac:dyDescent="0.3">
      <c r="B3" s="423" t="s">
        <v>1298</v>
      </c>
      <c r="C3" s="423"/>
      <c r="D3" s="423"/>
      <c r="E3" s="423"/>
      <c r="F3" s="423"/>
      <c r="G3" s="423"/>
      <c r="H3" s="423"/>
      <c r="I3" s="279"/>
      <c r="J3" s="424"/>
    </row>
    <row r="4" spans="2:10" x14ac:dyDescent="0.25">
      <c r="F4" s="279"/>
      <c r="G4" s="279"/>
      <c r="H4" s="279"/>
      <c r="I4" s="279"/>
    </row>
    <row r="5" spans="2:10" x14ac:dyDescent="0.25">
      <c r="F5" s="279"/>
      <c r="G5" s="279"/>
      <c r="H5" s="279"/>
      <c r="I5" s="279"/>
    </row>
    <row r="6" spans="2:10" x14ac:dyDescent="0.25">
      <c r="F6" s="279"/>
      <c r="G6" s="279"/>
      <c r="H6" s="279"/>
      <c r="I6" s="279"/>
    </row>
    <row r="7" spans="2:10" x14ac:dyDescent="0.25">
      <c r="F7" s="279"/>
      <c r="G7" s="279"/>
      <c r="H7" s="279"/>
      <c r="I7" s="279"/>
    </row>
    <row r="8" spans="2:10" x14ac:dyDescent="0.25">
      <c r="F8" s="279"/>
      <c r="G8" s="279"/>
      <c r="H8" s="279"/>
      <c r="I8" s="279"/>
    </row>
    <row r="9" spans="2:10" x14ac:dyDescent="0.25">
      <c r="F9" s="279"/>
      <c r="G9" s="279"/>
      <c r="H9" s="279"/>
      <c r="I9" s="279"/>
    </row>
    <row r="10" spans="2:10" x14ac:dyDescent="0.25">
      <c r="F10" s="279"/>
      <c r="G10" s="279"/>
      <c r="H10" s="279"/>
      <c r="I10" s="279"/>
    </row>
    <row r="11" spans="2:10" x14ac:dyDescent="0.25">
      <c r="F11" s="279"/>
      <c r="G11" s="279"/>
      <c r="H11" s="279"/>
      <c r="I11" s="279"/>
    </row>
    <row r="12" spans="2:10" x14ac:dyDescent="0.25">
      <c r="F12" s="279"/>
      <c r="G12" s="279"/>
      <c r="H12" s="279"/>
      <c r="I12" s="279"/>
    </row>
    <row r="13" spans="2:10" x14ac:dyDescent="0.25">
      <c r="F13" s="279"/>
      <c r="G13" s="279"/>
      <c r="H13" s="279"/>
      <c r="I13" s="279"/>
    </row>
    <row r="14" spans="2:10" x14ac:dyDescent="0.25">
      <c r="F14" s="279"/>
      <c r="G14" s="279"/>
      <c r="H14" s="279"/>
      <c r="I14" s="279"/>
    </row>
    <row r="15" spans="2:10" x14ac:dyDescent="0.25">
      <c r="F15" s="279"/>
      <c r="G15" s="279"/>
      <c r="H15" s="279"/>
      <c r="I15" s="279"/>
    </row>
    <row r="16" spans="2:10" x14ac:dyDescent="0.25">
      <c r="F16" s="279"/>
      <c r="G16" s="279"/>
      <c r="H16" s="279"/>
      <c r="I16" s="279"/>
    </row>
    <row r="17" spans="2:11" x14ac:dyDescent="0.25">
      <c r="F17" s="279"/>
      <c r="G17" s="279"/>
      <c r="H17" s="279"/>
      <c r="I17" s="279"/>
    </row>
    <row r="18" spans="2:11" x14ac:dyDescent="0.25">
      <c r="F18" s="279"/>
      <c r="G18" s="279"/>
      <c r="H18" s="279"/>
      <c r="I18" s="279"/>
    </row>
    <row r="20" spans="2:11" ht="14.25" thickBot="1" x14ac:dyDescent="0.3">
      <c r="B20" s="423" t="s">
        <v>789</v>
      </c>
      <c r="C20" s="423"/>
      <c r="D20" s="423"/>
      <c r="E20" s="423"/>
      <c r="F20" s="423"/>
      <c r="G20" s="423"/>
      <c r="H20" s="423"/>
      <c r="I20" s="291"/>
    </row>
    <row r="21" spans="2:11" s="280" customFormat="1" x14ac:dyDescent="0.25">
      <c r="B21" s="281"/>
      <c r="C21" s="282">
        <v>2016</v>
      </c>
      <c r="D21" s="282">
        <v>2017</v>
      </c>
      <c r="E21" s="282">
        <v>2018</v>
      </c>
      <c r="F21" s="282">
        <v>2019</v>
      </c>
      <c r="G21" s="282">
        <v>2020</v>
      </c>
      <c r="H21" s="282">
        <v>2021</v>
      </c>
      <c r="J21" s="278"/>
      <c r="K21" s="278"/>
    </row>
    <row r="22" spans="2:11" s="280" customFormat="1" x14ac:dyDescent="0.25">
      <c r="B22" s="425" t="s">
        <v>782</v>
      </c>
      <c r="C22" s="283">
        <v>8.1133922734553483</v>
      </c>
      <c r="D22" s="283">
        <v>8.3619150746602244</v>
      </c>
      <c r="E22" s="283">
        <v>8.3671829835179281</v>
      </c>
      <c r="F22" s="283">
        <v>8.2782262383547156</v>
      </c>
      <c r="G22" s="283">
        <v>8.2367245126834003</v>
      </c>
      <c r="H22" s="283">
        <v>8.1532187945747285</v>
      </c>
      <c r="J22" s="278"/>
      <c r="K22" s="278"/>
    </row>
    <row r="23" spans="2:11" s="280" customFormat="1" x14ac:dyDescent="0.25">
      <c r="B23" s="426" t="s">
        <v>784</v>
      </c>
      <c r="C23" s="283">
        <v>6.6782318439002717</v>
      </c>
      <c r="D23" s="283">
        <v>7.0065760050602597</v>
      </c>
      <c r="E23" s="283">
        <v>6.8171038041494683</v>
      </c>
      <c r="F23" s="283">
        <v>6.7807409003327379</v>
      </c>
      <c r="G23" s="283">
        <v>6.7015898828240976</v>
      </c>
      <c r="H23" s="283">
        <v>6.6320597555995802</v>
      </c>
      <c r="J23" s="278"/>
      <c r="K23" s="278"/>
    </row>
    <row r="24" spans="2:11" s="280" customFormat="1" x14ac:dyDescent="0.25">
      <c r="B24" s="284" t="s">
        <v>785</v>
      </c>
      <c r="C24" s="285">
        <v>4.5101331200910355</v>
      </c>
      <c r="D24" s="285">
        <v>4.429897894447735</v>
      </c>
      <c r="E24" s="285">
        <v>4.2818236049477427</v>
      </c>
      <c r="F24" s="285">
        <v>4.0396383445507089</v>
      </c>
      <c r="G24" s="285">
        <v>3.7087800257457171</v>
      </c>
      <c r="H24" s="285">
        <v>3.3132526034804295</v>
      </c>
      <c r="J24" s="278"/>
      <c r="K24" s="278"/>
    </row>
    <row r="25" spans="2:11" s="280" customFormat="1" x14ac:dyDescent="0.25">
      <c r="B25" s="427" t="s">
        <v>783</v>
      </c>
      <c r="C25" s="283">
        <v>3.6735647572910985</v>
      </c>
      <c r="D25" s="283">
        <v>3.908005274507075</v>
      </c>
      <c r="E25" s="283">
        <v>3.9899894172964272</v>
      </c>
      <c r="F25" s="283">
        <v>4.0807237843443316</v>
      </c>
      <c r="G25" s="283">
        <v>4.0827701796020417</v>
      </c>
      <c r="H25" s="283">
        <v>4.0859007854263227</v>
      </c>
      <c r="J25" s="278"/>
      <c r="K25" s="278"/>
    </row>
    <row r="26" spans="2:11" s="280" customFormat="1" x14ac:dyDescent="0.25">
      <c r="B26" s="284" t="s">
        <v>786</v>
      </c>
      <c r="C26" s="283">
        <v>3.4860243305915568</v>
      </c>
      <c r="D26" s="283">
        <v>3.2060574662554617</v>
      </c>
      <c r="E26" s="283">
        <v>3.0519108133839774</v>
      </c>
      <c r="F26" s="283">
        <v>3.0194969216966689</v>
      </c>
      <c r="G26" s="283">
        <v>3.0042032797937921</v>
      </c>
      <c r="H26" s="283">
        <v>2.9905700985530368</v>
      </c>
      <c r="J26" s="278"/>
      <c r="K26" s="278"/>
    </row>
    <row r="27" spans="2:11" s="280" customFormat="1" x14ac:dyDescent="0.25">
      <c r="B27" s="284" t="s">
        <v>787</v>
      </c>
      <c r="C27" s="283">
        <v>3.3049142662972257</v>
      </c>
      <c r="D27" s="283">
        <v>3.3832184778624756</v>
      </c>
      <c r="E27" s="283">
        <v>3.4348605320031438</v>
      </c>
      <c r="F27" s="283">
        <v>3.440427663633725</v>
      </c>
      <c r="G27" s="283">
        <v>3.48118981823868</v>
      </c>
      <c r="H27" s="283">
        <v>3.5135396056791528</v>
      </c>
      <c r="J27" s="278"/>
      <c r="K27" s="278"/>
    </row>
    <row r="28" spans="2:11" s="280" customFormat="1" x14ac:dyDescent="0.25">
      <c r="B28" s="281" t="s">
        <v>788</v>
      </c>
      <c r="C28" s="283">
        <v>2.6787156649867243</v>
      </c>
      <c r="D28" s="283">
        <v>2.6470815167718089</v>
      </c>
      <c r="E28" s="283">
        <v>2.590274087139802</v>
      </c>
      <c r="F28" s="283">
        <v>2.5368111296926199</v>
      </c>
      <c r="G28" s="283">
        <v>2.4527377146567639</v>
      </c>
      <c r="H28" s="283">
        <v>2.371118905909213</v>
      </c>
      <c r="J28" s="278"/>
      <c r="K28" s="278"/>
    </row>
    <row r="29" spans="2:11" s="280" customFormat="1" x14ac:dyDescent="0.25">
      <c r="B29" s="286" t="s">
        <v>51</v>
      </c>
      <c r="C29" s="287">
        <f t="shared" ref="C29:H29" si="0">SUM(C22:C28)</f>
        <v>32.444976256613266</v>
      </c>
      <c r="D29" s="287">
        <f t="shared" si="0"/>
        <v>32.942751709565037</v>
      </c>
      <c r="E29" s="287">
        <f t="shared" si="0"/>
        <v>32.533145242438486</v>
      </c>
      <c r="F29" s="287">
        <f t="shared" si="0"/>
        <v>32.17606498260551</v>
      </c>
      <c r="G29" s="287">
        <f t="shared" si="0"/>
        <v>31.667995413544492</v>
      </c>
      <c r="H29" s="287">
        <f t="shared" si="0"/>
        <v>31.05966054922246</v>
      </c>
      <c r="J29" s="278"/>
      <c r="K29" s="278"/>
    </row>
    <row r="30" spans="2:11" s="280" customFormat="1" x14ac:dyDescent="0.25">
      <c r="B30" s="278"/>
      <c r="C30" s="278"/>
      <c r="D30" s="278"/>
      <c r="E30" s="278"/>
      <c r="F30" s="288"/>
      <c r="G30" s="288"/>
      <c r="H30" s="288"/>
      <c r="I30" s="288"/>
      <c r="J30" s="278"/>
      <c r="K30" s="278"/>
    </row>
    <row r="31" spans="2:11" ht="14.25" thickBot="1" x14ac:dyDescent="0.3">
      <c r="B31" s="423" t="s">
        <v>1299</v>
      </c>
      <c r="C31" s="423"/>
      <c r="D31" s="423"/>
      <c r="E31" s="423"/>
      <c r="F31" s="423"/>
      <c r="G31" s="423"/>
      <c r="H31" s="423"/>
    </row>
    <row r="32" spans="2:11" x14ac:dyDescent="0.25">
      <c r="F32" s="279"/>
      <c r="G32" s="279"/>
      <c r="H32" s="279"/>
    </row>
    <row r="33" spans="2:8" x14ac:dyDescent="0.25">
      <c r="F33" s="279"/>
      <c r="G33" s="279"/>
      <c r="H33" s="279"/>
    </row>
    <row r="34" spans="2:8" x14ac:dyDescent="0.25">
      <c r="F34" s="279"/>
      <c r="G34" s="279"/>
      <c r="H34" s="279"/>
    </row>
    <row r="35" spans="2:8" x14ac:dyDescent="0.25">
      <c r="F35" s="279"/>
      <c r="G35" s="279"/>
      <c r="H35" s="279"/>
    </row>
    <row r="36" spans="2:8" x14ac:dyDescent="0.25">
      <c r="F36" s="279"/>
      <c r="G36" s="279"/>
      <c r="H36" s="279"/>
    </row>
    <row r="37" spans="2:8" x14ac:dyDescent="0.25">
      <c r="F37" s="279"/>
      <c r="G37" s="279"/>
      <c r="H37" s="279"/>
    </row>
    <row r="38" spans="2:8" x14ac:dyDescent="0.25">
      <c r="F38" s="279"/>
      <c r="G38" s="279"/>
      <c r="H38" s="279"/>
    </row>
    <row r="39" spans="2:8" x14ac:dyDescent="0.25">
      <c r="F39" s="279"/>
      <c r="G39" s="279"/>
      <c r="H39" s="279"/>
    </row>
    <row r="40" spans="2:8" x14ac:dyDescent="0.25">
      <c r="F40" s="279"/>
      <c r="G40" s="279"/>
      <c r="H40" s="279"/>
    </row>
    <row r="41" spans="2:8" x14ac:dyDescent="0.25">
      <c r="F41" s="279"/>
      <c r="G41" s="279"/>
      <c r="H41" s="279"/>
    </row>
    <row r="42" spans="2:8" x14ac:dyDescent="0.25">
      <c r="F42" s="279"/>
      <c r="G42" s="279"/>
      <c r="H42" s="279"/>
    </row>
    <row r="43" spans="2:8" x14ac:dyDescent="0.25">
      <c r="F43" s="279"/>
      <c r="G43" s="279"/>
      <c r="H43" s="279"/>
    </row>
    <row r="44" spans="2:8" x14ac:dyDescent="0.25">
      <c r="F44" s="279"/>
      <c r="G44" s="279"/>
      <c r="H44" s="279"/>
    </row>
    <row r="45" spans="2:8" x14ac:dyDescent="0.25">
      <c r="F45" s="279"/>
      <c r="G45" s="279"/>
      <c r="H45" s="279"/>
    </row>
    <row r="46" spans="2:8" x14ac:dyDescent="0.25">
      <c r="F46" s="279"/>
      <c r="G46" s="279"/>
      <c r="H46" s="279"/>
    </row>
    <row r="48" spans="2:8" ht="14.25" thickBot="1" x14ac:dyDescent="0.3">
      <c r="B48" s="423" t="s">
        <v>790</v>
      </c>
      <c r="C48" s="423"/>
      <c r="D48" s="423"/>
      <c r="E48" s="423"/>
      <c r="F48" s="423"/>
      <c r="G48" s="423"/>
      <c r="H48" s="423"/>
    </row>
    <row r="49" spans="2:8" x14ac:dyDescent="0.25">
      <c r="B49" s="281"/>
      <c r="C49" s="282">
        <v>2016</v>
      </c>
      <c r="D49" s="282">
        <v>2017</v>
      </c>
      <c r="E49" s="282">
        <v>2018</v>
      </c>
      <c r="F49" s="282">
        <v>2019</v>
      </c>
      <c r="G49" s="282">
        <v>2020</v>
      </c>
      <c r="H49" s="282">
        <v>2021</v>
      </c>
    </row>
    <row r="50" spans="2:8" x14ac:dyDescent="0.25">
      <c r="B50" s="425" t="s">
        <v>793</v>
      </c>
      <c r="C50" s="283">
        <v>8.1133922734553483</v>
      </c>
      <c r="D50" s="283">
        <v>8.3619150746602244</v>
      </c>
      <c r="E50" s="283">
        <v>8.3671829835179281</v>
      </c>
      <c r="F50" s="283">
        <v>8.2782262383547156</v>
      </c>
      <c r="G50" s="283">
        <v>8.2367245126834003</v>
      </c>
      <c r="H50" s="283">
        <v>8.1532187945747285</v>
      </c>
    </row>
    <row r="51" spans="2:8" x14ac:dyDescent="0.25">
      <c r="B51" s="426" t="s">
        <v>791</v>
      </c>
      <c r="C51" s="283">
        <v>6.6782318439002717</v>
      </c>
      <c r="D51" s="283">
        <v>7.0065760050602597</v>
      </c>
      <c r="E51" s="283">
        <v>6.8171038041494683</v>
      </c>
      <c r="F51" s="283">
        <v>6.7807409003327379</v>
      </c>
      <c r="G51" s="283">
        <v>6.7015898828240976</v>
      </c>
      <c r="H51" s="283">
        <v>6.6320597555995802</v>
      </c>
    </row>
    <row r="52" spans="2:8" x14ac:dyDescent="0.25">
      <c r="B52" s="284" t="s">
        <v>792</v>
      </c>
      <c r="C52" s="285">
        <v>4.5101331200910355</v>
      </c>
      <c r="D52" s="285">
        <v>4.429897894447735</v>
      </c>
      <c r="E52" s="285">
        <v>4.2818236049477427</v>
      </c>
      <c r="F52" s="285">
        <v>4.0396383445507089</v>
      </c>
      <c r="G52" s="285">
        <v>3.7087800257457171</v>
      </c>
      <c r="H52" s="285">
        <v>3.3132526034804295</v>
      </c>
    </row>
    <row r="53" spans="2:8" x14ac:dyDescent="0.25">
      <c r="B53" s="427" t="s">
        <v>797</v>
      </c>
      <c r="C53" s="283">
        <v>3.6735647572910985</v>
      </c>
      <c r="D53" s="283">
        <v>3.908005274507075</v>
      </c>
      <c r="E53" s="283">
        <v>3.9899894172964272</v>
      </c>
      <c r="F53" s="283">
        <v>4.0807237843443316</v>
      </c>
      <c r="G53" s="283">
        <v>4.0827701796020417</v>
      </c>
      <c r="H53" s="283">
        <v>4.0859007854263227</v>
      </c>
    </row>
    <row r="54" spans="2:8" x14ac:dyDescent="0.25">
      <c r="B54" s="284" t="s">
        <v>794</v>
      </c>
      <c r="C54" s="283">
        <v>3.4860243305915568</v>
      </c>
      <c r="D54" s="283">
        <v>3.2060574662554617</v>
      </c>
      <c r="E54" s="283">
        <v>3.0519108133839774</v>
      </c>
      <c r="F54" s="283">
        <v>3.0194969216966689</v>
      </c>
      <c r="G54" s="283">
        <v>3.0042032797937921</v>
      </c>
      <c r="H54" s="283">
        <v>2.9905700985530368</v>
      </c>
    </row>
    <row r="55" spans="2:8" x14ac:dyDescent="0.25">
      <c r="B55" s="284" t="s">
        <v>795</v>
      </c>
      <c r="C55" s="283">
        <v>3.3049142662972257</v>
      </c>
      <c r="D55" s="283">
        <v>3.3832184778624756</v>
      </c>
      <c r="E55" s="283">
        <v>3.4348605320031438</v>
      </c>
      <c r="F55" s="283">
        <v>3.440427663633725</v>
      </c>
      <c r="G55" s="283">
        <v>3.48118981823868</v>
      </c>
      <c r="H55" s="283">
        <v>3.5135396056791528</v>
      </c>
    </row>
    <row r="56" spans="2:8" x14ac:dyDescent="0.25">
      <c r="B56" s="281" t="s">
        <v>796</v>
      </c>
      <c r="C56" s="283">
        <v>2.6787156649867243</v>
      </c>
      <c r="D56" s="283">
        <v>2.6470815167718089</v>
      </c>
      <c r="E56" s="283">
        <v>2.590274087139802</v>
      </c>
      <c r="F56" s="283">
        <v>2.5368111296926199</v>
      </c>
      <c r="G56" s="283">
        <v>2.4527377146567639</v>
      </c>
      <c r="H56" s="283">
        <v>2.371118905909213</v>
      </c>
    </row>
    <row r="57" spans="2:8" x14ac:dyDescent="0.25">
      <c r="B57" s="286" t="s">
        <v>339</v>
      </c>
      <c r="C57" s="287">
        <f t="shared" ref="C57:H57" si="1">SUM(C50:C56)</f>
        <v>32.444976256613266</v>
      </c>
      <c r="D57" s="287">
        <f t="shared" si="1"/>
        <v>32.942751709565037</v>
      </c>
      <c r="E57" s="287">
        <f t="shared" si="1"/>
        <v>32.533145242438486</v>
      </c>
      <c r="F57" s="287">
        <f t="shared" si="1"/>
        <v>32.17606498260551</v>
      </c>
      <c r="G57" s="287">
        <f t="shared" si="1"/>
        <v>31.667995413544492</v>
      </c>
      <c r="H57" s="287">
        <f t="shared" si="1"/>
        <v>31.05966054922246</v>
      </c>
    </row>
  </sheetData>
  <pageMargins left="0" right="0" top="0" bottom="0" header="0" footer="0"/>
  <pageSetup paperSize="8" scale="8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8"/>
  <dimension ref="B2:AM48"/>
  <sheetViews>
    <sheetView showGridLines="0" topLeftCell="V1" zoomScale="90" zoomScaleNormal="90" workbookViewId="0">
      <selection activeCell="V26" sqref="V26:AK26"/>
    </sheetView>
  </sheetViews>
  <sheetFormatPr defaultColWidth="9.140625" defaultRowHeight="13.5" x14ac:dyDescent="0.25"/>
  <cols>
    <col min="1" max="1" width="16.7109375" style="34" customWidth="1"/>
    <col min="2" max="2" width="17.7109375" style="34" customWidth="1"/>
    <col min="3" max="21" width="9.140625" style="34"/>
    <col min="22" max="22" width="17.85546875" style="34" customWidth="1"/>
    <col min="23" max="16384" width="9.140625" style="34"/>
  </cols>
  <sheetData>
    <row r="2" spans="2:39" ht="15.75" customHeight="1" thickBot="1" x14ac:dyDescent="0.3">
      <c r="B2" s="977" t="s">
        <v>1300</v>
      </c>
      <c r="C2" s="977"/>
      <c r="D2" s="977"/>
      <c r="E2" s="977"/>
      <c r="F2" s="977"/>
      <c r="G2" s="977"/>
      <c r="H2" s="977"/>
      <c r="I2" s="977"/>
      <c r="J2" s="977"/>
      <c r="K2" s="977"/>
      <c r="L2" s="977"/>
      <c r="M2" s="977"/>
      <c r="N2" s="977"/>
      <c r="O2" s="977"/>
      <c r="P2" s="977"/>
      <c r="Q2" s="977"/>
      <c r="R2" s="977"/>
      <c r="S2" s="977"/>
      <c r="T2" s="977"/>
      <c r="V2" s="977" t="s">
        <v>1302</v>
      </c>
      <c r="W2" s="977"/>
      <c r="X2" s="977"/>
      <c r="Y2" s="977"/>
      <c r="Z2" s="977"/>
      <c r="AA2" s="977"/>
      <c r="AB2" s="977"/>
      <c r="AC2" s="977"/>
      <c r="AD2" s="977"/>
      <c r="AE2" s="977"/>
      <c r="AF2" s="977"/>
      <c r="AG2" s="977"/>
      <c r="AH2" s="977"/>
      <c r="AI2" s="977"/>
      <c r="AJ2" s="977"/>
      <c r="AK2" s="977"/>
      <c r="AL2" s="639"/>
      <c r="AM2" s="299"/>
    </row>
    <row r="20" spans="2:39" ht="15.75" customHeight="1" thickBot="1" x14ac:dyDescent="0.3">
      <c r="B20" s="977" t="s">
        <v>812</v>
      </c>
      <c r="C20" s="977"/>
      <c r="D20" s="977"/>
      <c r="E20" s="977"/>
      <c r="F20" s="977"/>
      <c r="G20" s="977"/>
      <c r="H20" s="977"/>
      <c r="I20" s="977"/>
      <c r="J20" s="977"/>
      <c r="K20" s="977"/>
      <c r="L20" s="977"/>
      <c r="M20" s="977"/>
      <c r="N20" s="977"/>
      <c r="O20" s="977"/>
      <c r="P20" s="977"/>
      <c r="Q20" s="977"/>
      <c r="R20" s="977"/>
      <c r="S20" s="977"/>
      <c r="T20" s="805"/>
      <c r="V20" s="977" t="s">
        <v>815</v>
      </c>
      <c r="W20" s="977"/>
      <c r="X20" s="977"/>
      <c r="Y20" s="977"/>
      <c r="Z20" s="977"/>
      <c r="AA20" s="977"/>
      <c r="AB20" s="977"/>
      <c r="AC20" s="977"/>
      <c r="AD20" s="977"/>
      <c r="AE20" s="977"/>
      <c r="AF20" s="977"/>
      <c r="AG20" s="977"/>
      <c r="AH20" s="977"/>
      <c r="AI20" s="977"/>
      <c r="AJ20" s="977"/>
      <c r="AK20" s="977"/>
      <c r="AL20" s="299"/>
      <c r="AM20" s="299"/>
    </row>
    <row r="21" spans="2:39" x14ac:dyDescent="0.25">
      <c r="B21" s="292"/>
      <c r="C21" s="295">
        <v>2000</v>
      </c>
      <c r="D21" s="295">
        <v>2001</v>
      </c>
      <c r="E21" s="295">
        <v>2002</v>
      </c>
      <c r="F21" s="295">
        <v>2003</v>
      </c>
      <c r="G21" s="295">
        <v>2004</v>
      </c>
      <c r="H21" s="295">
        <v>2005</v>
      </c>
      <c r="I21" s="295">
        <v>2006</v>
      </c>
      <c r="J21" s="295">
        <v>2007</v>
      </c>
      <c r="K21" s="295">
        <v>2008</v>
      </c>
      <c r="L21" s="295">
        <v>2009</v>
      </c>
      <c r="M21" s="295">
        <v>2010</v>
      </c>
      <c r="N21" s="295">
        <v>2011</v>
      </c>
      <c r="O21" s="295">
        <v>2012</v>
      </c>
      <c r="P21" s="295">
        <v>2013</v>
      </c>
      <c r="Q21" s="295">
        <v>2014</v>
      </c>
      <c r="R21" s="295">
        <v>2015</v>
      </c>
      <c r="S21" s="295">
        <v>2016</v>
      </c>
      <c r="T21" s="295">
        <v>2017</v>
      </c>
      <c r="V21" s="292"/>
      <c r="W21" s="295">
        <v>2001</v>
      </c>
      <c r="X21" s="295">
        <v>2002</v>
      </c>
      <c r="Y21" s="295">
        <v>2003</v>
      </c>
      <c r="Z21" s="295">
        <v>2004</v>
      </c>
      <c r="AA21" s="295">
        <v>2005</v>
      </c>
      <c r="AB21" s="295">
        <v>2006</v>
      </c>
      <c r="AC21" s="295">
        <v>2007</v>
      </c>
      <c r="AD21" s="295">
        <v>2008</v>
      </c>
      <c r="AE21" s="295">
        <v>2009</v>
      </c>
      <c r="AF21" s="295">
        <v>2010</v>
      </c>
      <c r="AG21" s="295">
        <v>2011</v>
      </c>
      <c r="AH21" s="295">
        <v>2012</v>
      </c>
      <c r="AI21" s="295">
        <v>2013</v>
      </c>
      <c r="AJ21" s="295">
        <v>2014</v>
      </c>
      <c r="AK21" s="295">
        <v>2015</v>
      </c>
      <c r="AL21" s="295">
        <v>2016</v>
      </c>
      <c r="AM21" s="295">
        <v>2017</v>
      </c>
    </row>
    <row r="22" spans="2:39" x14ac:dyDescent="0.25">
      <c r="B22" s="293" t="s">
        <v>811</v>
      </c>
      <c r="C22" s="294">
        <v>20.775559748625561</v>
      </c>
      <c r="D22" s="294">
        <v>18.187786430225263</v>
      </c>
      <c r="E22" s="294">
        <v>20.493409739518064</v>
      </c>
      <c r="F22" s="294">
        <v>15.755854037187575</v>
      </c>
      <c r="G22" s="294">
        <v>23.505997745706981</v>
      </c>
      <c r="H22" s="294">
        <v>21.512613425555564</v>
      </c>
      <c r="I22" s="294">
        <v>26.620713930615381</v>
      </c>
      <c r="J22" s="294">
        <v>31.445393334253612</v>
      </c>
      <c r="K22" s="294">
        <v>31.291388711534946</v>
      </c>
      <c r="L22" s="294">
        <v>34.885719420069556</v>
      </c>
      <c r="M22" s="294">
        <v>35.570030029159078</v>
      </c>
      <c r="N22" s="294">
        <v>38.170190959965581</v>
      </c>
      <c r="O22" s="294">
        <v>41.026340504407891</v>
      </c>
      <c r="P22" s="294">
        <v>37.188997199389782</v>
      </c>
      <c r="Q22" s="294">
        <v>32.297287388144731</v>
      </c>
      <c r="R22" s="294">
        <v>31.645083867662567</v>
      </c>
      <c r="S22" s="294">
        <v>28.33411862300737</v>
      </c>
      <c r="T22" s="294">
        <v>26.304068831915533</v>
      </c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296"/>
      <c r="AH22" s="296"/>
      <c r="AI22" s="296"/>
      <c r="AJ22" s="296"/>
      <c r="AK22" s="296"/>
      <c r="AL22" s="296"/>
      <c r="AM22" s="296"/>
    </row>
    <row r="23" spans="2:39" x14ac:dyDescent="0.25"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</row>
    <row r="24" spans="2:39" ht="14.25" thickBot="1" x14ac:dyDescent="0.3">
      <c r="B24" s="977" t="s">
        <v>1301</v>
      </c>
      <c r="C24" s="977"/>
      <c r="D24" s="977"/>
      <c r="E24" s="977"/>
      <c r="F24" s="977"/>
      <c r="G24" s="977"/>
      <c r="H24" s="977"/>
      <c r="I24" s="977"/>
      <c r="J24" s="977"/>
      <c r="K24" s="977"/>
      <c r="L24" s="977"/>
      <c r="M24" s="977"/>
      <c r="N24" s="977"/>
      <c r="O24" s="977"/>
      <c r="P24" s="977"/>
      <c r="Q24" s="977"/>
      <c r="R24" s="977"/>
      <c r="S24" s="977"/>
      <c r="T24" s="804"/>
      <c r="V24" s="297" t="s">
        <v>737</v>
      </c>
      <c r="W24" s="298">
        <v>45.276207928715209</v>
      </c>
      <c r="X24" s="298">
        <v>43.506451742111118</v>
      </c>
      <c r="Y24" s="298">
        <v>54.447197916238352</v>
      </c>
      <c r="Z24" s="298">
        <v>60.067130803699911</v>
      </c>
      <c r="AA24" s="298">
        <v>60.569168808598036</v>
      </c>
      <c r="AB24" s="298">
        <v>57.385555484904813</v>
      </c>
      <c r="AC24" s="298">
        <v>53.328516686896741</v>
      </c>
      <c r="AD24" s="298">
        <v>53.480838453825385</v>
      </c>
      <c r="AE24" s="298">
        <v>48.491048053411156</v>
      </c>
      <c r="AF24" s="298">
        <v>47.281090840180696</v>
      </c>
      <c r="AG24" s="298">
        <v>48.863452534122978</v>
      </c>
      <c r="AH24" s="298">
        <v>43.895503510249355</v>
      </c>
      <c r="AI24" s="298">
        <v>47.049315682635118</v>
      </c>
      <c r="AJ24" s="298">
        <v>48.917649621223113</v>
      </c>
      <c r="AK24" s="298">
        <v>49.73024808895596</v>
      </c>
      <c r="AL24" s="298">
        <v>50.677632043157139</v>
      </c>
      <c r="AM24" s="298">
        <v>53.181527606471398</v>
      </c>
    </row>
    <row r="26" spans="2:39" ht="14.25" thickBot="1" x14ac:dyDescent="0.3">
      <c r="V26" s="977" t="s">
        <v>1303</v>
      </c>
      <c r="W26" s="977"/>
      <c r="X26" s="977"/>
      <c r="Y26" s="977"/>
      <c r="Z26" s="977"/>
      <c r="AA26" s="977"/>
      <c r="AB26" s="977"/>
      <c r="AC26" s="977"/>
      <c r="AD26" s="977"/>
      <c r="AE26" s="977"/>
      <c r="AF26" s="977"/>
      <c r="AG26" s="977"/>
      <c r="AH26" s="977"/>
      <c r="AI26" s="977"/>
      <c r="AJ26" s="977"/>
      <c r="AK26" s="977"/>
      <c r="AL26" s="46"/>
    </row>
    <row r="42" spans="2:39" ht="14.25" thickBot="1" x14ac:dyDescent="0.3">
      <c r="B42" s="977" t="s">
        <v>813</v>
      </c>
      <c r="C42" s="977"/>
      <c r="D42" s="977"/>
      <c r="E42" s="977"/>
      <c r="F42" s="977"/>
      <c r="G42" s="977"/>
      <c r="H42" s="977"/>
      <c r="I42" s="977"/>
      <c r="J42" s="977"/>
      <c r="K42" s="977"/>
      <c r="L42" s="977"/>
      <c r="M42" s="977"/>
      <c r="N42" s="977"/>
      <c r="O42" s="977"/>
      <c r="P42" s="977"/>
      <c r="Q42" s="977"/>
      <c r="R42" s="977"/>
      <c r="S42" s="977"/>
      <c r="T42" s="805"/>
    </row>
    <row r="43" spans="2:39" x14ac:dyDescent="0.25">
      <c r="B43" s="292"/>
      <c r="C43" s="295">
        <v>2000</v>
      </c>
      <c r="D43" s="295">
        <v>2001</v>
      </c>
      <c r="E43" s="295">
        <v>2002</v>
      </c>
      <c r="F43" s="295">
        <v>2003</v>
      </c>
      <c r="G43" s="295">
        <v>2004</v>
      </c>
      <c r="H43" s="295">
        <v>2005</v>
      </c>
      <c r="I43" s="295">
        <v>2006</v>
      </c>
      <c r="J43" s="295">
        <v>2007</v>
      </c>
      <c r="K43" s="295">
        <v>2008</v>
      </c>
      <c r="L43" s="295">
        <v>2009</v>
      </c>
      <c r="M43" s="295">
        <v>2010</v>
      </c>
      <c r="N43" s="295">
        <v>2011</v>
      </c>
      <c r="O43" s="295">
        <v>2012</v>
      </c>
      <c r="P43" s="295">
        <v>2013</v>
      </c>
      <c r="Q43" s="295">
        <v>2014</v>
      </c>
      <c r="R43" s="295">
        <v>2015</v>
      </c>
      <c r="S43" s="295">
        <v>2016</v>
      </c>
      <c r="T43" s="295">
        <v>2017</v>
      </c>
    </row>
    <row r="44" spans="2:39" ht="14.25" thickBot="1" x14ac:dyDescent="0.3">
      <c r="B44" s="293" t="s">
        <v>814</v>
      </c>
      <c r="C44" s="294">
        <v>20.775559748625561</v>
      </c>
      <c r="D44" s="294">
        <v>18.187786430225263</v>
      </c>
      <c r="E44" s="294">
        <v>20.493409739518064</v>
      </c>
      <c r="F44" s="294">
        <v>15.755854037187575</v>
      </c>
      <c r="G44" s="294">
        <v>23.505997745706981</v>
      </c>
      <c r="H44" s="294">
        <v>21.512613425555564</v>
      </c>
      <c r="I44" s="294">
        <v>26.620713930615381</v>
      </c>
      <c r="J44" s="294">
        <v>31.445393334253612</v>
      </c>
      <c r="K44" s="294">
        <v>31.291388711534946</v>
      </c>
      <c r="L44" s="294">
        <v>34.885719420069556</v>
      </c>
      <c r="M44" s="294">
        <v>35.570030029159078</v>
      </c>
      <c r="N44" s="294">
        <v>38.170190959965581</v>
      </c>
      <c r="O44" s="294">
        <v>41.026340504407891</v>
      </c>
      <c r="P44" s="294">
        <v>37.188997199389782</v>
      </c>
      <c r="Q44" s="294">
        <v>32.297287388144731</v>
      </c>
      <c r="R44" s="294">
        <v>31.645083867662567</v>
      </c>
      <c r="S44" s="294">
        <v>28.33411862300737</v>
      </c>
      <c r="T44" s="294">
        <v>26.304068831915533</v>
      </c>
      <c r="V44" s="977" t="s">
        <v>815</v>
      </c>
      <c r="W44" s="977"/>
      <c r="X44" s="977"/>
      <c r="Y44" s="977"/>
      <c r="Z44" s="977"/>
      <c r="AA44" s="977"/>
      <c r="AB44" s="977"/>
      <c r="AC44" s="977"/>
      <c r="AD44" s="977"/>
      <c r="AE44" s="977"/>
      <c r="AF44" s="977"/>
      <c r="AG44" s="977"/>
      <c r="AH44" s="977"/>
      <c r="AI44" s="977"/>
      <c r="AJ44" s="977"/>
      <c r="AK44" s="977"/>
    </row>
    <row r="45" spans="2:39" x14ac:dyDescent="0.25">
      <c r="V45" s="292"/>
      <c r="W45" s="295">
        <v>2001</v>
      </c>
      <c r="X45" s="295">
        <v>2002</v>
      </c>
      <c r="Y45" s="295">
        <v>2003</v>
      </c>
      <c r="Z45" s="295">
        <v>2004</v>
      </c>
      <c r="AA45" s="295">
        <v>2005</v>
      </c>
      <c r="AB45" s="295">
        <v>2006</v>
      </c>
      <c r="AC45" s="295">
        <v>2007</v>
      </c>
      <c r="AD45" s="295">
        <v>2008</v>
      </c>
      <c r="AE45" s="295">
        <v>2009</v>
      </c>
      <c r="AF45" s="295">
        <v>2010</v>
      </c>
      <c r="AG45" s="295">
        <v>2011</v>
      </c>
      <c r="AH45" s="295">
        <v>2012</v>
      </c>
      <c r="AI45" s="295">
        <v>2013</v>
      </c>
      <c r="AJ45" s="295">
        <v>2014</v>
      </c>
      <c r="AK45" s="295">
        <v>2015</v>
      </c>
      <c r="AL45" s="295">
        <v>2016</v>
      </c>
      <c r="AM45" s="295">
        <f>AM21</f>
        <v>2017</v>
      </c>
    </row>
    <row r="46" spans="2:39" x14ac:dyDescent="0.25"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296"/>
    </row>
    <row r="47" spans="2:39" x14ac:dyDescent="0.25"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296"/>
    </row>
    <row r="48" spans="2:39" x14ac:dyDescent="0.25">
      <c r="V48" s="297" t="s">
        <v>737</v>
      </c>
      <c r="W48" s="298">
        <v>45.276207928715209</v>
      </c>
      <c r="X48" s="298">
        <v>43.506451742111118</v>
      </c>
      <c r="Y48" s="298">
        <v>54.447197916238352</v>
      </c>
      <c r="Z48" s="298">
        <v>60.067130803699911</v>
      </c>
      <c r="AA48" s="298">
        <v>60.569168808598036</v>
      </c>
      <c r="AB48" s="298">
        <v>57.385555484904813</v>
      </c>
      <c r="AC48" s="298">
        <v>53.328516686896741</v>
      </c>
      <c r="AD48" s="298">
        <v>53.480838453825385</v>
      </c>
      <c r="AE48" s="298">
        <v>48.491048053411156</v>
      </c>
      <c r="AF48" s="298">
        <v>47.281090840180696</v>
      </c>
      <c r="AG48" s="298">
        <v>48.863452534122978</v>
      </c>
      <c r="AH48" s="298">
        <v>43.895503510249355</v>
      </c>
      <c r="AI48" s="298">
        <v>47.049315682635118</v>
      </c>
      <c r="AJ48" s="298">
        <v>48.917649621223113</v>
      </c>
      <c r="AK48" s="298">
        <v>49.73024808895596</v>
      </c>
      <c r="AL48" s="298">
        <v>50.677632043157139</v>
      </c>
      <c r="AM48" s="298">
        <f t="shared" ref="AM48" si="0">AM24</f>
        <v>53.181527606471398</v>
      </c>
    </row>
  </sheetData>
  <mergeCells count="8">
    <mergeCell ref="V44:AK44"/>
    <mergeCell ref="B20:S20"/>
    <mergeCell ref="B24:S24"/>
    <mergeCell ref="B42:S42"/>
    <mergeCell ref="V2:AK2"/>
    <mergeCell ref="V20:AK20"/>
    <mergeCell ref="V26:AK26"/>
    <mergeCell ref="B2:T2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9"/>
  <dimension ref="B2:Z44"/>
  <sheetViews>
    <sheetView showGridLines="0" topLeftCell="N1" zoomScale="90" zoomScaleNormal="90" workbookViewId="0">
      <selection activeCell="Q22" sqref="Q22:Z22"/>
    </sheetView>
  </sheetViews>
  <sheetFormatPr defaultColWidth="9.140625" defaultRowHeight="13.5" x14ac:dyDescent="0.25"/>
  <cols>
    <col min="1" max="1" width="17" style="34" customWidth="1"/>
    <col min="2" max="2" width="11.140625" style="34" customWidth="1"/>
    <col min="3" max="16" width="9.140625" style="34"/>
    <col min="17" max="17" width="26.28515625" style="34" customWidth="1"/>
    <col min="18" max="16384" width="9.140625" style="34"/>
  </cols>
  <sheetData>
    <row r="2" spans="2:26" ht="15.75" customHeight="1" thickBot="1" x14ac:dyDescent="0.3">
      <c r="B2" s="639" t="s">
        <v>1304</v>
      </c>
      <c r="C2" s="639"/>
      <c r="D2" s="639"/>
      <c r="E2" s="639"/>
      <c r="F2" s="639"/>
      <c r="G2" s="639"/>
      <c r="H2" s="639"/>
      <c r="I2" s="639"/>
      <c r="J2" s="639"/>
      <c r="K2" s="639"/>
      <c r="L2" s="639"/>
      <c r="M2" s="639"/>
      <c r="N2" s="639"/>
      <c r="O2" s="639"/>
      <c r="Q2" s="639" t="s">
        <v>1306</v>
      </c>
      <c r="R2" s="639"/>
      <c r="S2" s="639"/>
      <c r="T2" s="639"/>
      <c r="U2" s="639"/>
      <c r="V2" s="639"/>
      <c r="W2" s="639"/>
      <c r="X2" s="639"/>
      <c r="Y2" s="639"/>
      <c r="Z2" s="639"/>
    </row>
    <row r="3" spans="2:26" x14ac:dyDescent="0.25">
      <c r="O3" s="300"/>
    </row>
    <row r="17" spans="2:26" ht="15.75" customHeight="1" thickBot="1" x14ac:dyDescent="0.3">
      <c r="B17" s="639" t="s">
        <v>816</v>
      </c>
      <c r="C17" s="639"/>
      <c r="D17" s="639"/>
      <c r="E17" s="639"/>
      <c r="F17" s="639"/>
      <c r="G17" s="639"/>
      <c r="H17" s="639"/>
      <c r="I17" s="639"/>
      <c r="J17" s="639"/>
      <c r="K17" s="639"/>
      <c r="L17" s="639"/>
      <c r="M17" s="639"/>
      <c r="N17" s="639"/>
      <c r="O17" s="639"/>
      <c r="Q17" s="977" t="s">
        <v>1013</v>
      </c>
      <c r="R17" s="977"/>
      <c r="S17" s="977"/>
      <c r="T17" s="977"/>
      <c r="U17" s="977"/>
      <c r="V17" s="977"/>
      <c r="W17" s="977"/>
      <c r="X17" s="977"/>
      <c r="Y17" s="977"/>
      <c r="Z17" s="977"/>
    </row>
    <row r="18" spans="2:26" x14ac:dyDescent="0.25">
      <c r="B18" s="297"/>
      <c r="C18" s="301">
        <v>2004</v>
      </c>
      <c r="D18" s="301">
        <v>2005</v>
      </c>
      <c r="E18" s="301">
        <v>2006</v>
      </c>
      <c r="F18" s="301">
        <v>2007</v>
      </c>
      <c r="G18" s="301">
        <v>2008</v>
      </c>
      <c r="H18" s="301">
        <v>2009</v>
      </c>
      <c r="I18" s="301">
        <v>2010</v>
      </c>
      <c r="J18" s="301">
        <v>2011</v>
      </c>
      <c r="K18" s="301">
        <v>2012</v>
      </c>
      <c r="L18" s="301">
        <v>2013</v>
      </c>
      <c r="M18" s="301">
        <v>2014</v>
      </c>
      <c r="N18" s="301">
        <v>2015</v>
      </c>
      <c r="O18" s="301" t="s">
        <v>1023</v>
      </c>
      <c r="Q18" s="297"/>
      <c r="R18" s="301">
        <v>2008</v>
      </c>
      <c r="S18" s="301">
        <v>2009</v>
      </c>
      <c r="T18" s="301">
        <v>2010</v>
      </c>
      <c r="U18" s="301">
        <v>2011</v>
      </c>
      <c r="V18" s="301">
        <v>2012</v>
      </c>
      <c r="W18" s="301">
        <v>2013</v>
      </c>
      <c r="X18" s="301">
        <v>2014</v>
      </c>
      <c r="Y18" s="301">
        <v>2015</v>
      </c>
      <c r="Z18" s="301">
        <v>2016</v>
      </c>
    </row>
    <row r="19" spans="2:26" x14ac:dyDescent="0.25">
      <c r="B19" s="297" t="s">
        <v>1021</v>
      </c>
      <c r="C19" s="298">
        <v>18.713599522657901</v>
      </c>
      <c r="D19" s="298">
        <v>21.490793825832643</v>
      </c>
      <c r="E19" s="298">
        <v>18.843062587856547</v>
      </c>
      <c r="F19" s="298">
        <v>18.140236451408249</v>
      </c>
      <c r="G19" s="298">
        <v>18.883600568541983</v>
      </c>
      <c r="H19" s="298">
        <v>21.690015655841016</v>
      </c>
      <c r="I19" s="298">
        <v>18.026393351779486</v>
      </c>
      <c r="J19" s="298">
        <v>17.54052004162666</v>
      </c>
      <c r="K19" s="298">
        <v>16.954688835285907</v>
      </c>
      <c r="L19" s="298">
        <v>21.267097921603295</v>
      </c>
      <c r="M19" s="298">
        <v>24.910030591759316</v>
      </c>
      <c r="N19" s="298">
        <v>28.617106346271008</v>
      </c>
      <c r="O19" s="298">
        <v>27.294768637280477</v>
      </c>
      <c r="Q19" s="34" t="s">
        <v>1015</v>
      </c>
      <c r="R19" s="43">
        <v>3.9632223763069221</v>
      </c>
      <c r="S19" s="43">
        <v>14.455528418697355</v>
      </c>
      <c r="T19" s="43">
        <v>9.1613676893393219</v>
      </c>
      <c r="U19" s="43">
        <v>6.6062590740131881</v>
      </c>
      <c r="V19" s="43">
        <v>13.533356586604251</v>
      </c>
      <c r="W19" s="43">
        <v>15.103391312336603</v>
      </c>
      <c r="X19" s="43">
        <v>16.817607503360954</v>
      </c>
      <c r="Y19" s="43">
        <v>16.630067028010185</v>
      </c>
      <c r="Z19" s="43">
        <v>17.217511226508186</v>
      </c>
    </row>
    <row r="20" spans="2:26" x14ac:dyDescent="0.25">
      <c r="B20" s="297" t="s">
        <v>1022</v>
      </c>
      <c r="C20" s="298">
        <v>15.63670016748698</v>
      </c>
      <c r="D20" s="298">
        <v>18.185088010539967</v>
      </c>
      <c r="E20" s="298">
        <v>16.314233252291729</v>
      </c>
      <c r="F20" s="298">
        <v>15.544200742613395</v>
      </c>
      <c r="G20" s="298">
        <v>16.25550313452538</v>
      </c>
      <c r="H20" s="298">
        <v>17.872918712190771</v>
      </c>
      <c r="I20" s="298">
        <v>15.48971427949952</v>
      </c>
      <c r="J20" s="298">
        <v>15.20423221446126</v>
      </c>
      <c r="K20" s="298">
        <v>14.776185893583527</v>
      </c>
      <c r="L20" s="298">
        <v>18.562692850685625</v>
      </c>
      <c r="M20" s="298">
        <v>21.646479005583455</v>
      </c>
      <c r="N20" s="298">
        <v>24.981420343838199</v>
      </c>
      <c r="O20" s="298">
        <v>23.719501808109118</v>
      </c>
      <c r="Q20" s="297" t="s">
        <v>1016</v>
      </c>
      <c r="R20" s="635">
        <v>10.324910788971732</v>
      </c>
      <c r="S20" s="635">
        <v>19.892895485091486</v>
      </c>
      <c r="T20" s="635">
        <v>14.612685439505341</v>
      </c>
      <c r="U20" s="635">
        <v>12.224176691092133</v>
      </c>
      <c r="V20" s="635">
        <v>19.281725834692395</v>
      </c>
      <c r="W20" s="635">
        <v>21.265805224374095</v>
      </c>
      <c r="X20" s="635">
        <v>21.493646883079467</v>
      </c>
      <c r="Y20" s="635">
        <v>20.697729063514288</v>
      </c>
      <c r="Z20" s="635">
        <v>20.49284008586778</v>
      </c>
    </row>
    <row r="21" spans="2:26" x14ac:dyDescent="0.25">
      <c r="B21" s="300" t="s">
        <v>1028</v>
      </c>
      <c r="C21" s="645"/>
      <c r="D21" s="645"/>
      <c r="E21" s="645"/>
      <c r="F21" s="645"/>
      <c r="G21" s="645"/>
      <c r="H21" s="645"/>
      <c r="I21" s="645"/>
      <c r="J21" s="645"/>
      <c r="K21" s="645"/>
      <c r="L21" s="645"/>
      <c r="M21" s="645"/>
      <c r="N21" s="645"/>
      <c r="O21" s="645"/>
    </row>
    <row r="22" spans="2:26" ht="14.25" thickBot="1" x14ac:dyDescent="0.3">
      <c r="B22" s="34" t="s">
        <v>1024</v>
      </c>
      <c r="Q22" s="977" t="s">
        <v>1307</v>
      </c>
      <c r="R22" s="977"/>
      <c r="S22" s="977"/>
      <c r="T22" s="977"/>
      <c r="U22" s="977"/>
      <c r="V22" s="977"/>
      <c r="W22" s="977"/>
      <c r="X22" s="977"/>
      <c r="Y22" s="977"/>
      <c r="Z22" s="977"/>
    </row>
    <row r="24" spans="2:26" ht="15.75" customHeight="1" thickBot="1" x14ac:dyDescent="0.3">
      <c r="B24" s="977" t="s">
        <v>1305</v>
      </c>
      <c r="C24" s="977"/>
      <c r="D24" s="977"/>
      <c r="E24" s="977"/>
      <c r="F24" s="977"/>
      <c r="G24" s="977"/>
      <c r="H24" s="977"/>
      <c r="I24" s="977"/>
      <c r="J24" s="977"/>
      <c r="K24" s="977"/>
      <c r="L24" s="977"/>
      <c r="M24" s="977"/>
      <c r="N24" s="977"/>
      <c r="O24" s="977"/>
    </row>
    <row r="37" spans="2:26" ht="14.25" thickBot="1" x14ac:dyDescent="0.3">
      <c r="Q37" s="639" t="s">
        <v>1014</v>
      </c>
      <c r="R37" s="639"/>
      <c r="S37" s="639"/>
      <c r="T37" s="639"/>
      <c r="U37" s="639"/>
      <c r="V37" s="639"/>
      <c r="W37" s="639"/>
      <c r="X37" s="639"/>
      <c r="Y37" s="639"/>
      <c r="Z37" s="639"/>
    </row>
    <row r="38" spans="2:26" x14ac:dyDescent="0.25">
      <c r="Q38" s="297"/>
      <c r="R38" s="301">
        <v>2008</v>
      </c>
      <c r="S38" s="301">
        <v>2009</v>
      </c>
      <c r="T38" s="301">
        <v>2010</v>
      </c>
      <c r="U38" s="301">
        <v>2011</v>
      </c>
      <c r="V38" s="301">
        <v>2012</v>
      </c>
      <c r="W38" s="301">
        <v>2013</v>
      </c>
      <c r="X38" s="301">
        <v>2014</v>
      </c>
      <c r="Y38" s="301">
        <v>2015</v>
      </c>
      <c r="Z38" s="301">
        <v>2016</v>
      </c>
    </row>
    <row r="39" spans="2:26" ht="15.75" customHeight="1" thickBot="1" x14ac:dyDescent="0.3">
      <c r="B39" s="977" t="s">
        <v>817</v>
      </c>
      <c r="C39" s="977"/>
      <c r="D39" s="977"/>
      <c r="E39" s="977"/>
      <c r="F39" s="977"/>
      <c r="G39" s="977"/>
      <c r="H39" s="977"/>
      <c r="I39" s="977"/>
      <c r="J39" s="977"/>
      <c r="K39" s="977"/>
      <c r="L39" s="977"/>
      <c r="M39" s="977"/>
      <c r="N39" s="977"/>
      <c r="O39" s="977"/>
      <c r="Q39" s="34" t="s">
        <v>1017</v>
      </c>
      <c r="R39" s="43">
        <v>3.9632223763069221</v>
      </c>
      <c r="S39" s="43">
        <v>14.455528418697355</v>
      </c>
      <c r="T39" s="43">
        <v>9.1613676893393219</v>
      </c>
      <c r="U39" s="43">
        <v>6.6062590740131881</v>
      </c>
      <c r="V39" s="43">
        <v>13.533356586604251</v>
      </c>
      <c r="W39" s="43">
        <v>15.103391312336603</v>
      </c>
      <c r="X39" s="43">
        <v>16.817607503360954</v>
      </c>
      <c r="Y39" s="43">
        <v>16.630067028010185</v>
      </c>
      <c r="Z39" s="43">
        <v>17.217511226508186</v>
      </c>
    </row>
    <row r="40" spans="2:26" x14ac:dyDescent="0.25">
      <c r="B40" s="297"/>
      <c r="C40" s="301">
        <v>2004</v>
      </c>
      <c r="D40" s="301">
        <v>2005</v>
      </c>
      <c r="E40" s="301">
        <v>2006</v>
      </c>
      <c r="F40" s="301">
        <v>2007</v>
      </c>
      <c r="G40" s="301">
        <v>2008</v>
      </c>
      <c r="H40" s="301">
        <v>2009</v>
      </c>
      <c r="I40" s="301">
        <v>2010</v>
      </c>
      <c r="J40" s="301">
        <v>2011</v>
      </c>
      <c r="K40" s="301">
        <v>2012</v>
      </c>
      <c r="L40" s="301">
        <v>2013</v>
      </c>
      <c r="M40" s="301">
        <v>2014</v>
      </c>
      <c r="N40" s="301">
        <v>2015</v>
      </c>
      <c r="O40" s="301" t="s">
        <v>1023</v>
      </c>
      <c r="Q40" s="297" t="s">
        <v>1018</v>
      </c>
      <c r="R40" s="635">
        <v>10.324910788971732</v>
      </c>
      <c r="S40" s="635">
        <v>19.892895485091486</v>
      </c>
      <c r="T40" s="635">
        <v>14.612685439505341</v>
      </c>
      <c r="U40" s="635">
        <v>12.224176691092133</v>
      </c>
      <c r="V40" s="635">
        <v>19.281725834692395</v>
      </c>
      <c r="W40" s="635">
        <v>21.265805224374095</v>
      </c>
      <c r="X40" s="635">
        <v>21.493646883079467</v>
      </c>
      <c r="Y40" s="635">
        <v>20.697729063514288</v>
      </c>
      <c r="Z40" s="635">
        <v>20.49284008586778</v>
      </c>
    </row>
    <row r="41" spans="2:26" x14ac:dyDescent="0.25">
      <c r="B41" s="297" t="s">
        <v>1025</v>
      </c>
      <c r="C41" s="298">
        <v>18.713599522657901</v>
      </c>
      <c r="D41" s="298">
        <v>21.490793825832643</v>
      </c>
      <c r="E41" s="298">
        <v>18.843062587856547</v>
      </c>
      <c r="F41" s="298">
        <v>18.140236451408249</v>
      </c>
      <c r="G41" s="298">
        <v>18.883600568541983</v>
      </c>
      <c r="H41" s="298">
        <v>21.690015655841016</v>
      </c>
      <c r="I41" s="298">
        <v>18.026393351779486</v>
      </c>
      <c r="J41" s="298">
        <v>17.54052004162666</v>
      </c>
      <c r="K41" s="298">
        <v>16.954688835285907</v>
      </c>
      <c r="L41" s="298">
        <v>21.267097921603295</v>
      </c>
      <c r="M41" s="298">
        <v>24.910030591759316</v>
      </c>
      <c r="N41" s="298">
        <v>28.617106346271008</v>
      </c>
      <c r="O41" s="298">
        <v>27.294768637280477</v>
      </c>
    </row>
    <row r="42" spans="2:26" x14ac:dyDescent="0.25">
      <c r="B42" s="297" t="s">
        <v>1026</v>
      </c>
      <c r="C42" s="298">
        <v>15.63670016748698</v>
      </c>
      <c r="D42" s="298">
        <v>18.185088010539967</v>
      </c>
      <c r="E42" s="298">
        <v>16.314233252291729</v>
      </c>
      <c r="F42" s="298">
        <v>15.544200742613395</v>
      </c>
      <c r="G42" s="298">
        <v>16.25550313452538</v>
      </c>
      <c r="H42" s="298">
        <v>17.872918712190771</v>
      </c>
      <c r="I42" s="298">
        <v>15.48971427949952</v>
      </c>
      <c r="J42" s="298">
        <v>15.20423221446126</v>
      </c>
      <c r="K42" s="298">
        <v>14.776185893583527</v>
      </c>
      <c r="L42" s="298">
        <v>18.562692850685625</v>
      </c>
      <c r="M42" s="298">
        <v>21.646479005583455</v>
      </c>
      <c r="N42" s="298">
        <v>24.981420343838199</v>
      </c>
      <c r="O42" s="298">
        <v>23.719501808109118</v>
      </c>
    </row>
    <row r="43" spans="2:26" x14ac:dyDescent="0.25">
      <c r="B43" s="300" t="s">
        <v>1027</v>
      </c>
      <c r="C43" s="645"/>
      <c r="D43" s="645"/>
      <c r="E43" s="645"/>
      <c r="F43" s="645"/>
      <c r="G43" s="645"/>
    </row>
    <row r="44" spans="2:26" x14ac:dyDescent="0.25">
      <c r="B44" s="34" t="s">
        <v>1029</v>
      </c>
    </row>
  </sheetData>
  <mergeCells count="6">
    <mergeCell ref="Q22:Z22"/>
    <mergeCell ref="Q17:Z17"/>
    <mergeCell ref="B24:K24"/>
    <mergeCell ref="L24:O24"/>
    <mergeCell ref="B39:K39"/>
    <mergeCell ref="L39:O39"/>
  </mergeCells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8"/>
  <dimension ref="A3:AB40"/>
  <sheetViews>
    <sheetView showGridLines="0" zoomScale="90" zoomScaleNormal="90" workbookViewId="0">
      <selection activeCell="A20" sqref="A20"/>
    </sheetView>
  </sheetViews>
  <sheetFormatPr defaultColWidth="9.140625" defaultRowHeight="13.5" x14ac:dyDescent="0.25"/>
  <cols>
    <col min="1" max="16384" width="9.140625" style="34"/>
  </cols>
  <sheetData>
    <row r="3" spans="1:28" x14ac:dyDescent="0.25">
      <c r="A3" s="334" t="s">
        <v>1556</v>
      </c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</row>
    <row r="4" spans="1:28" x14ac:dyDescent="0.25"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</row>
    <row r="5" spans="1:28" x14ac:dyDescent="0.25">
      <c r="K5" s="105"/>
      <c r="L5" s="903" t="s">
        <v>1540</v>
      </c>
      <c r="M5" s="903" t="s">
        <v>1541</v>
      </c>
      <c r="N5" s="903" t="s">
        <v>1542</v>
      </c>
      <c r="O5" s="903" t="s">
        <v>1543</v>
      </c>
      <c r="P5" s="903" t="s">
        <v>1544</v>
      </c>
      <c r="Q5" s="903" t="s">
        <v>1545</v>
      </c>
      <c r="R5" s="903" t="s">
        <v>1546</v>
      </c>
      <c r="S5" s="903" t="s">
        <v>1547</v>
      </c>
      <c r="T5" s="903" t="s">
        <v>1548</v>
      </c>
      <c r="U5" s="903" t="s">
        <v>1549</v>
      </c>
      <c r="V5" s="903" t="s">
        <v>1550</v>
      </c>
      <c r="W5" s="903" t="s">
        <v>1551</v>
      </c>
      <c r="X5" s="903" t="s">
        <v>1552</v>
      </c>
      <c r="Y5" s="105"/>
      <c r="Z5" s="105"/>
      <c r="AA5" s="105"/>
      <c r="AB5" s="105"/>
    </row>
    <row r="6" spans="1:28" x14ac:dyDescent="0.25">
      <c r="K6" s="105"/>
      <c r="L6" s="903" t="s">
        <v>1553</v>
      </c>
      <c r="M6" s="887">
        <v>41.4</v>
      </c>
      <c r="N6" s="887">
        <v>40.4</v>
      </c>
      <c r="O6" s="887">
        <v>40.6</v>
      </c>
      <c r="P6" s="887">
        <v>44.2</v>
      </c>
      <c r="Q6" s="887">
        <v>43.5</v>
      </c>
      <c r="R6" s="887">
        <v>43</v>
      </c>
      <c r="S6" s="887">
        <v>44.5</v>
      </c>
      <c r="T6" s="887">
        <v>42.6</v>
      </c>
      <c r="U6" s="887">
        <v>42.2</v>
      </c>
      <c r="V6" s="887">
        <v>41.7</v>
      </c>
      <c r="W6" s="887">
        <v>39.4</v>
      </c>
      <c r="X6" s="887">
        <v>38.799999999999997</v>
      </c>
      <c r="Y6" s="105"/>
      <c r="Z6" s="105"/>
      <c r="AA6" s="105"/>
      <c r="AB6" s="105"/>
    </row>
    <row r="7" spans="1:28" x14ac:dyDescent="0.25">
      <c r="K7" s="105"/>
      <c r="L7" s="903" t="s">
        <v>736</v>
      </c>
      <c r="M7" s="887">
        <v>46.1</v>
      </c>
      <c r="N7" s="887">
        <v>45.4</v>
      </c>
      <c r="O7" s="887">
        <v>46.6</v>
      </c>
      <c r="P7" s="887">
        <v>50.7</v>
      </c>
      <c r="Q7" s="887">
        <v>50.6</v>
      </c>
      <c r="R7" s="887">
        <v>49.2</v>
      </c>
      <c r="S7" s="887">
        <v>49.8</v>
      </c>
      <c r="T7" s="887">
        <v>49.8</v>
      </c>
      <c r="U7" s="887">
        <v>49.2</v>
      </c>
      <c r="V7" s="887">
        <v>48.3</v>
      </c>
      <c r="W7" s="887">
        <v>47.6</v>
      </c>
      <c r="X7" s="887">
        <v>47.1</v>
      </c>
      <c r="Y7" s="105"/>
      <c r="Z7" s="105"/>
      <c r="AA7" s="105"/>
      <c r="AB7" s="105"/>
    </row>
    <row r="8" spans="1:28" x14ac:dyDescent="0.25">
      <c r="K8" s="105"/>
      <c r="L8" s="903" t="s">
        <v>1554</v>
      </c>
      <c r="M8" s="887">
        <v>45.2</v>
      </c>
      <c r="N8" s="887">
        <v>44.6</v>
      </c>
      <c r="O8" s="887">
        <v>46.2</v>
      </c>
      <c r="P8" s="887">
        <v>50.1</v>
      </c>
      <c r="Q8" s="887">
        <v>49.9</v>
      </c>
      <c r="R8" s="887">
        <v>48.6</v>
      </c>
      <c r="S8" s="887">
        <v>48.9</v>
      </c>
      <c r="T8" s="887">
        <v>48.6</v>
      </c>
      <c r="U8" s="887">
        <v>48</v>
      </c>
      <c r="V8" s="887">
        <v>47</v>
      </c>
      <c r="W8" s="887">
        <v>46.3</v>
      </c>
      <c r="X8" s="887">
        <v>45.8</v>
      </c>
      <c r="Y8" s="105"/>
      <c r="Z8" s="105"/>
      <c r="AA8" s="105"/>
      <c r="AB8" s="105"/>
    </row>
    <row r="9" spans="1:28" x14ac:dyDescent="0.25">
      <c r="K9" s="105"/>
      <c r="L9" s="903" t="s">
        <v>248</v>
      </c>
      <c r="M9" s="887">
        <v>51.4</v>
      </c>
      <c r="N9" s="887">
        <v>49.8</v>
      </c>
      <c r="O9" s="887">
        <v>48.6</v>
      </c>
      <c r="P9" s="887">
        <v>50.4</v>
      </c>
      <c r="Q9" s="887">
        <v>49.2</v>
      </c>
      <c r="R9" s="887">
        <v>49.4</v>
      </c>
      <c r="S9" s="887">
        <v>48.5</v>
      </c>
      <c r="T9" s="887">
        <v>49.3</v>
      </c>
      <c r="U9" s="887">
        <v>49.4</v>
      </c>
      <c r="V9" s="887">
        <v>50.1</v>
      </c>
      <c r="W9" s="887">
        <v>46.5</v>
      </c>
      <c r="X9" s="887">
        <v>46.5</v>
      </c>
      <c r="Y9" s="105"/>
      <c r="Z9" s="105"/>
      <c r="AA9" s="105"/>
      <c r="AB9" s="105"/>
    </row>
    <row r="10" spans="1:28" x14ac:dyDescent="0.25">
      <c r="K10" s="105"/>
      <c r="L10" s="903" t="s">
        <v>247</v>
      </c>
      <c r="M10" s="887">
        <v>44.7</v>
      </c>
      <c r="N10" s="887">
        <v>43.2</v>
      </c>
      <c r="O10" s="887">
        <v>44.3</v>
      </c>
      <c r="P10" s="887">
        <v>45</v>
      </c>
      <c r="Q10" s="887">
        <v>45.8</v>
      </c>
      <c r="R10" s="887">
        <v>43.9</v>
      </c>
      <c r="S10" s="887">
        <v>42.9</v>
      </c>
      <c r="T10" s="887">
        <v>42.6</v>
      </c>
      <c r="U10" s="887">
        <v>42.3</v>
      </c>
      <c r="V10" s="887">
        <v>41.6</v>
      </c>
      <c r="W10" s="887">
        <v>41.1</v>
      </c>
      <c r="X10" s="887">
        <v>41.2</v>
      </c>
      <c r="Y10" s="105"/>
      <c r="Z10" s="105"/>
      <c r="AA10" s="105"/>
      <c r="AB10" s="105"/>
    </row>
    <row r="11" spans="1:28" x14ac:dyDescent="0.25">
      <c r="K11" s="105"/>
      <c r="L11" s="903" t="s">
        <v>737</v>
      </c>
      <c r="M11" s="887">
        <v>38.799999999999997</v>
      </c>
      <c r="N11" s="887">
        <v>36.299999999999997</v>
      </c>
      <c r="O11" s="887">
        <v>36.9</v>
      </c>
      <c r="P11" s="887">
        <v>44.1</v>
      </c>
      <c r="Q11" s="887">
        <v>42.1</v>
      </c>
      <c r="R11" s="887">
        <v>40.799999999999997</v>
      </c>
      <c r="S11" s="887">
        <v>40.6</v>
      </c>
      <c r="T11" s="887">
        <v>41.4</v>
      </c>
      <c r="U11" s="887">
        <v>42</v>
      </c>
      <c r="V11" s="887">
        <v>45.2</v>
      </c>
      <c r="W11" s="887">
        <v>41.5</v>
      </c>
      <c r="X11" s="887">
        <v>40.41949449264056</v>
      </c>
      <c r="Y11" s="105"/>
      <c r="Z11" s="105"/>
      <c r="AA11" s="105"/>
      <c r="AB11" s="105"/>
    </row>
    <row r="12" spans="1:28" x14ac:dyDescent="0.25">
      <c r="K12" s="105"/>
      <c r="L12" s="903" t="s">
        <v>738</v>
      </c>
      <c r="M12" s="887">
        <f>AVERAGE(M6,M9,M10)</f>
        <v>45.833333333333336</v>
      </c>
      <c r="N12" s="887">
        <f t="shared" ref="N12:X12" si="0">AVERAGE(N6,N9,N10)</f>
        <v>44.466666666666661</v>
      </c>
      <c r="O12" s="887">
        <f t="shared" si="0"/>
        <v>44.5</v>
      </c>
      <c r="P12" s="887">
        <f t="shared" si="0"/>
        <v>46.533333333333331</v>
      </c>
      <c r="Q12" s="887">
        <f t="shared" si="0"/>
        <v>46.166666666666664</v>
      </c>
      <c r="R12" s="887">
        <f t="shared" si="0"/>
        <v>45.433333333333337</v>
      </c>
      <c r="S12" s="887">
        <f t="shared" si="0"/>
        <v>45.300000000000004</v>
      </c>
      <c r="T12" s="887">
        <f t="shared" si="0"/>
        <v>44.833333333333336</v>
      </c>
      <c r="U12" s="887">
        <f t="shared" si="0"/>
        <v>44.633333333333326</v>
      </c>
      <c r="V12" s="887">
        <f t="shared" si="0"/>
        <v>44.466666666666669</v>
      </c>
      <c r="W12" s="887">
        <f t="shared" si="0"/>
        <v>42.333333333333336</v>
      </c>
      <c r="X12" s="887">
        <f t="shared" si="0"/>
        <v>42.166666666666664</v>
      </c>
      <c r="Y12" s="105"/>
      <c r="Z12" s="105"/>
      <c r="AA12" s="105"/>
      <c r="AB12" s="105"/>
    </row>
    <row r="13" spans="1:28" x14ac:dyDescent="0.25"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</row>
    <row r="14" spans="1:28" x14ac:dyDescent="0.25"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</row>
    <row r="15" spans="1:28" x14ac:dyDescent="0.25"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</row>
    <row r="16" spans="1:28" x14ac:dyDescent="0.25"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</row>
    <row r="17" spans="1:28" x14ac:dyDescent="0.25"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</row>
    <row r="18" spans="1:28" x14ac:dyDescent="0.25"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</row>
    <row r="19" spans="1:28" x14ac:dyDescent="0.25"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</row>
    <row r="20" spans="1:28" x14ac:dyDescent="0.25">
      <c r="A20" s="334" t="s">
        <v>1555</v>
      </c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</row>
    <row r="21" spans="1:28" x14ac:dyDescent="0.25"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</row>
    <row r="22" spans="1:28" x14ac:dyDescent="0.25"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</row>
    <row r="23" spans="1:28" x14ac:dyDescent="0.25"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</row>
    <row r="24" spans="1:28" x14ac:dyDescent="0.25"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</row>
    <row r="25" spans="1:28" x14ac:dyDescent="0.25">
      <c r="K25" s="105"/>
      <c r="L25" s="903" t="s">
        <v>1540</v>
      </c>
      <c r="M25" s="903" t="s">
        <v>1541</v>
      </c>
      <c r="N25" s="903" t="s">
        <v>1542</v>
      </c>
      <c r="O25" s="903" t="s">
        <v>1543</v>
      </c>
      <c r="P25" s="903" t="s">
        <v>1544</v>
      </c>
      <c r="Q25" s="903" t="s">
        <v>1545</v>
      </c>
      <c r="R25" s="903" t="s">
        <v>1546</v>
      </c>
      <c r="S25" s="903" t="s">
        <v>1547</v>
      </c>
      <c r="T25" s="903" t="s">
        <v>1548</v>
      </c>
      <c r="U25" s="903" t="s">
        <v>1549</v>
      </c>
      <c r="V25" s="903" t="s">
        <v>1550</v>
      </c>
      <c r="W25" s="903" t="s">
        <v>1551</v>
      </c>
      <c r="X25" s="903" t="s">
        <v>1552</v>
      </c>
      <c r="Y25" s="105"/>
      <c r="Z25" s="105"/>
      <c r="AA25" s="105"/>
      <c r="AB25" s="105"/>
    </row>
    <row r="26" spans="1:28" x14ac:dyDescent="0.25">
      <c r="K26" s="105"/>
      <c r="L26" s="903" t="s">
        <v>1553</v>
      </c>
      <c r="M26" s="887">
        <v>5.2</v>
      </c>
      <c r="N26" s="887">
        <v>4.8</v>
      </c>
      <c r="O26" s="887">
        <v>5.3</v>
      </c>
      <c r="P26" s="887">
        <v>6</v>
      </c>
      <c r="Q26" s="887">
        <v>5.0999999999999996</v>
      </c>
      <c r="R26" s="887">
        <v>4.5</v>
      </c>
      <c r="S26" s="887">
        <v>4.2</v>
      </c>
      <c r="T26" s="887">
        <v>3.7</v>
      </c>
      <c r="U26" s="887">
        <v>4.0999999999999996</v>
      </c>
      <c r="V26" s="887">
        <v>5.0999999999999996</v>
      </c>
      <c r="W26" s="887">
        <v>3.3</v>
      </c>
      <c r="X26" s="887">
        <v>3.3</v>
      </c>
      <c r="Y26" s="105"/>
      <c r="Z26" s="105"/>
      <c r="AA26" s="105"/>
      <c r="AB26" s="105"/>
    </row>
    <row r="27" spans="1:28" x14ac:dyDescent="0.25">
      <c r="K27" s="105"/>
      <c r="L27" s="903" t="s">
        <v>736</v>
      </c>
      <c r="M27" s="887">
        <v>3.2</v>
      </c>
      <c r="N27" s="887">
        <v>3.2</v>
      </c>
      <c r="O27" s="887">
        <v>3.3</v>
      </c>
      <c r="P27" s="887">
        <v>3.6</v>
      </c>
      <c r="Q27" s="887">
        <v>3.4</v>
      </c>
      <c r="R27" s="887">
        <v>3.1</v>
      </c>
      <c r="S27" s="887">
        <v>2.9</v>
      </c>
      <c r="T27" s="887">
        <v>2.8</v>
      </c>
      <c r="U27" s="887">
        <v>2.7</v>
      </c>
      <c r="V27" s="887">
        <v>2.7</v>
      </c>
      <c r="W27" s="887">
        <v>2.6</v>
      </c>
      <c r="X27" s="887">
        <v>2.6</v>
      </c>
      <c r="Y27" s="105"/>
      <c r="Z27" s="105"/>
      <c r="AA27" s="105"/>
      <c r="AB27" s="105"/>
    </row>
    <row r="28" spans="1:28" x14ac:dyDescent="0.25">
      <c r="K28" s="105"/>
      <c r="L28" s="903" t="s">
        <v>1554</v>
      </c>
      <c r="M28" s="887">
        <v>3.2</v>
      </c>
      <c r="N28" s="887">
        <v>3.2</v>
      </c>
      <c r="O28" s="887">
        <v>3.4</v>
      </c>
      <c r="P28" s="887">
        <v>3.7</v>
      </c>
      <c r="Q28" s="887">
        <v>3.5</v>
      </c>
      <c r="R28" s="887">
        <v>3.3</v>
      </c>
      <c r="S28" s="887">
        <v>3.1</v>
      </c>
      <c r="T28" s="887">
        <v>2.9</v>
      </c>
      <c r="U28" s="887">
        <v>2.9</v>
      </c>
      <c r="V28" s="887">
        <v>2.9</v>
      </c>
      <c r="W28" s="887">
        <v>2.7</v>
      </c>
      <c r="X28" s="887">
        <v>2.7</v>
      </c>
      <c r="Y28" s="105"/>
      <c r="Z28" s="105"/>
      <c r="AA28" s="105"/>
      <c r="AB28" s="105"/>
    </row>
    <row r="29" spans="1:28" x14ac:dyDescent="0.25">
      <c r="K29" s="105"/>
      <c r="L29" s="903" t="s">
        <v>248</v>
      </c>
      <c r="M29" s="887">
        <v>5.0999999999999996</v>
      </c>
      <c r="N29" s="887">
        <v>4.2</v>
      </c>
      <c r="O29" s="887">
        <v>3.2</v>
      </c>
      <c r="P29" s="887">
        <v>3.4</v>
      </c>
      <c r="Q29" s="887">
        <v>3.7</v>
      </c>
      <c r="R29" s="887">
        <v>3.3</v>
      </c>
      <c r="S29" s="887">
        <v>3.7</v>
      </c>
      <c r="T29" s="887">
        <v>4.4000000000000004</v>
      </c>
      <c r="U29" s="887">
        <v>5.3</v>
      </c>
      <c r="V29" s="887">
        <v>6.6</v>
      </c>
      <c r="W29" s="887">
        <v>3.1</v>
      </c>
      <c r="X29" s="887">
        <v>4.4000000000000004</v>
      </c>
      <c r="Y29" s="105"/>
      <c r="Z29" s="105"/>
      <c r="AA29" s="105"/>
      <c r="AB29" s="105"/>
    </row>
    <row r="30" spans="1:28" x14ac:dyDescent="0.25">
      <c r="K30" s="105"/>
      <c r="L30" s="903" t="s">
        <v>247</v>
      </c>
      <c r="M30" s="887">
        <v>4</v>
      </c>
      <c r="N30" s="887">
        <v>4.5</v>
      </c>
      <c r="O30" s="887">
        <v>4.8</v>
      </c>
      <c r="P30" s="887">
        <v>5</v>
      </c>
      <c r="Q30" s="887">
        <v>5.6</v>
      </c>
      <c r="R30" s="887">
        <v>5.9</v>
      </c>
      <c r="S30" s="887">
        <v>4.7</v>
      </c>
      <c r="T30" s="887">
        <v>4.0999999999999996</v>
      </c>
      <c r="U30" s="887">
        <v>4.5</v>
      </c>
      <c r="V30" s="887">
        <v>4.4000000000000004</v>
      </c>
      <c r="W30" s="887">
        <v>3.3</v>
      </c>
      <c r="X30" s="887">
        <v>3.7</v>
      </c>
      <c r="Y30" s="105"/>
      <c r="Z30" s="105"/>
      <c r="AA30" s="105"/>
      <c r="AB30" s="105"/>
    </row>
    <row r="31" spans="1:28" x14ac:dyDescent="0.25">
      <c r="K31" s="105"/>
      <c r="L31" s="904" t="s">
        <v>737</v>
      </c>
      <c r="M31" s="888">
        <v>3.8</v>
      </c>
      <c r="N31" s="888">
        <v>3.2</v>
      </c>
      <c r="O31" s="888">
        <v>3.4</v>
      </c>
      <c r="P31" s="888">
        <v>3.9</v>
      </c>
      <c r="Q31" s="888">
        <v>3.6</v>
      </c>
      <c r="R31" s="888">
        <v>3.8</v>
      </c>
      <c r="S31" s="888">
        <v>3.4</v>
      </c>
      <c r="T31" s="888">
        <v>3.3</v>
      </c>
      <c r="U31" s="888">
        <v>4</v>
      </c>
      <c r="V31" s="888">
        <v>6.3</v>
      </c>
      <c r="W31" s="888">
        <v>3.2</v>
      </c>
      <c r="X31" s="888">
        <v>3.1725044523050561</v>
      </c>
      <c r="Y31" s="105"/>
      <c r="Z31" s="105"/>
      <c r="AA31" s="105"/>
      <c r="AB31" s="105"/>
    </row>
    <row r="32" spans="1:28" x14ac:dyDescent="0.25">
      <c r="K32" s="105"/>
      <c r="L32" s="905" t="s">
        <v>738</v>
      </c>
      <c r="M32" s="889">
        <f>AVERAGE(M26,M29,M30)</f>
        <v>4.7666666666666666</v>
      </c>
      <c r="N32" s="889">
        <f t="shared" ref="N32:X32" si="1">AVERAGE(N26,N29,N30)</f>
        <v>4.5</v>
      </c>
      <c r="O32" s="889">
        <f t="shared" si="1"/>
        <v>4.4333333333333336</v>
      </c>
      <c r="P32" s="889">
        <f t="shared" si="1"/>
        <v>4.8</v>
      </c>
      <c r="Q32" s="889">
        <f t="shared" si="1"/>
        <v>4.8</v>
      </c>
      <c r="R32" s="889">
        <f t="shared" si="1"/>
        <v>4.5666666666666664</v>
      </c>
      <c r="S32" s="889">
        <f t="shared" si="1"/>
        <v>4.2</v>
      </c>
      <c r="T32" s="889">
        <f t="shared" si="1"/>
        <v>4.0666666666666673</v>
      </c>
      <c r="U32" s="889">
        <f t="shared" si="1"/>
        <v>4.6333333333333329</v>
      </c>
      <c r="V32" s="889">
        <f t="shared" si="1"/>
        <v>5.3666666666666671</v>
      </c>
      <c r="W32" s="889">
        <f t="shared" si="1"/>
        <v>3.2333333333333329</v>
      </c>
      <c r="X32" s="889">
        <f t="shared" si="1"/>
        <v>3.8000000000000003</v>
      </c>
      <c r="Y32" s="105"/>
      <c r="Z32" s="105"/>
      <c r="AA32" s="105"/>
      <c r="AB32" s="105"/>
    </row>
    <row r="33" spans="11:28" x14ac:dyDescent="0.25"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</row>
    <row r="34" spans="11:28" x14ac:dyDescent="0.25"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</row>
    <row r="35" spans="11:28" x14ac:dyDescent="0.25"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</row>
    <row r="36" spans="11:28" x14ac:dyDescent="0.25"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</row>
    <row r="37" spans="11:28" x14ac:dyDescent="0.25"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</row>
    <row r="38" spans="11:28" x14ac:dyDescent="0.25"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</row>
    <row r="39" spans="11:28" x14ac:dyDescent="0.25"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</row>
    <row r="40" spans="11:28" x14ac:dyDescent="0.25"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</row>
  </sheetData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3"/>
  <dimension ref="B1:W30"/>
  <sheetViews>
    <sheetView zoomScale="90" zoomScaleNormal="90" workbookViewId="0">
      <selection activeCell="B17" sqref="B17:G17"/>
    </sheetView>
  </sheetViews>
  <sheetFormatPr defaultColWidth="9.140625" defaultRowHeight="13.5" x14ac:dyDescent="0.25"/>
  <cols>
    <col min="1" max="1" width="22.42578125" style="353" customWidth="1"/>
    <col min="2" max="2" width="29.42578125" style="353" customWidth="1"/>
    <col min="3" max="3" width="9.7109375" style="353" customWidth="1"/>
    <col min="4" max="4" width="11.5703125" style="353" customWidth="1"/>
    <col min="5" max="5" width="13.140625" style="353" customWidth="1"/>
    <col min="6" max="7" width="9.7109375" style="353" customWidth="1"/>
    <col min="8" max="8" width="9" style="353" customWidth="1"/>
    <col min="9" max="9" width="9.140625" style="353"/>
    <col min="10" max="10" width="14.28515625" style="353" bestFit="1" customWidth="1"/>
    <col min="11" max="11" width="14.140625" style="353" bestFit="1" customWidth="1"/>
    <col min="12" max="12" width="11.42578125" style="353" bestFit="1" customWidth="1"/>
    <col min="13" max="13" width="9.140625" style="353"/>
    <col min="14" max="14" width="24.5703125" style="353" customWidth="1"/>
    <col min="15" max="15" width="8" style="353" customWidth="1"/>
    <col min="16" max="16" width="8.140625" style="353" hidden="1" customWidth="1"/>
    <col min="17" max="18" width="7.7109375" style="353" hidden="1" customWidth="1"/>
    <col min="19" max="19" width="6.7109375" style="353" hidden="1" customWidth="1"/>
    <col min="20" max="21" width="8" style="353" hidden="1" customWidth="1"/>
    <col min="22" max="23" width="0" style="353" hidden="1" customWidth="1"/>
    <col min="24" max="16384" width="9.140625" style="353"/>
  </cols>
  <sheetData>
    <row r="1" spans="2:23" ht="27.75" thickBot="1" x14ac:dyDescent="0.3">
      <c r="B1" s="1027" t="s">
        <v>1312</v>
      </c>
      <c r="C1" s="1027"/>
      <c r="D1" s="1027"/>
      <c r="E1" s="1027"/>
      <c r="F1" s="1027"/>
      <c r="G1" s="1027"/>
      <c r="P1" s="405" t="s">
        <v>705</v>
      </c>
      <c r="Q1" s="406" t="s">
        <v>706</v>
      </c>
      <c r="R1" s="407" t="s">
        <v>707</v>
      </c>
      <c r="S1" s="407"/>
      <c r="T1" s="408" t="s">
        <v>708</v>
      </c>
      <c r="U1" s="408"/>
      <c r="V1" s="407" t="s">
        <v>709</v>
      </c>
      <c r="W1" s="407"/>
    </row>
    <row r="2" spans="2:23" ht="15.75" customHeight="1" thickBot="1" x14ac:dyDescent="0.3">
      <c r="B2" s="405" t="s">
        <v>705</v>
      </c>
      <c r="C2" s="406" t="s">
        <v>706</v>
      </c>
      <c r="D2" s="763" t="s">
        <v>1311</v>
      </c>
      <c r="E2" s="764" t="s">
        <v>1310</v>
      </c>
      <c r="F2" s="764" t="s">
        <v>1309</v>
      </c>
      <c r="G2" s="764" t="s">
        <v>1308</v>
      </c>
      <c r="P2" s="360"/>
      <c r="Q2" s="409"/>
      <c r="R2" s="360" t="s">
        <v>49</v>
      </c>
      <c r="S2" s="360" t="s">
        <v>710</v>
      </c>
      <c r="T2" s="360" t="s">
        <v>49</v>
      </c>
      <c r="U2" s="360" t="s">
        <v>710</v>
      </c>
      <c r="V2" s="360" t="s">
        <v>49</v>
      </c>
      <c r="W2" s="360" t="s">
        <v>710</v>
      </c>
    </row>
    <row r="3" spans="2:23" ht="14.25" thickBot="1" x14ac:dyDescent="0.3">
      <c r="B3" s="360"/>
      <c r="C3" s="409"/>
      <c r="D3" s="360" t="s">
        <v>49</v>
      </c>
      <c r="E3" s="360" t="s">
        <v>49</v>
      </c>
      <c r="F3" s="360" t="s">
        <v>49</v>
      </c>
      <c r="G3" s="360" t="s">
        <v>49</v>
      </c>
      <c r="P3" s="375" t="s">
        <v>711</v>
      </c>
      <c r="Q3" s="410">
        <v>1</v>
      </c>
      <c r="R3" s="357">
        <v>5.5310612764211582</v>
      </c>
      <c r="S3" s="357">
        <v>13.466304057009564</v>
      </c>
      <c r="T3" s="411">
        <v>5.5310612764211582</v>
      </c>
      <c r="U3" s="411">
        <v>13.466304057009564</v>
      </c>
      <c r="V3" s="354">
        <v>6.0333333333333341</v>
      </c>
      <c r="W3" s="354">
        <v>13.300000000000002</v>
      </c>
    </row>
    <row r="4" spans="2:23" x14ac:dyDescent="0.25">
      <c r="B4" s="375" t="s">
        <v>711</v>
      </c>
      <c r="C4" s="410">
        <v>1</v>
      </c>
      <c r="D4" s="357">
        <v>5.3</v>
      </c>
      <c r="E4" s="412">
        <v>4.5999999999999996</v>
      </c>
      <c r="F4" s="354">
        <v>5.6</v>
      </c>
      <c r="G4" s="355">
        <v>6.3</v>
      </c>
      <c r="P4" s="375" t="s">
        <v>712</v>
      </c>
      <c r="Q4" s="410">
        <v>2</v>
      </c>
      <c r="R4" s="357">
        <v>1.1285800253642155</v>
      </c>
      <c r="S4" s="357">
        <v>2.7477189303633507</v>
      </c>
      <c r="T4" s="411">
        <v>1.1285800253642155</v>
      </c>
      <c r="U4" s="411">
        <v>2.7477189303633507</v>
      </c>
      <c r="V4" s="357">
        <v>1</v>
      </c>
      <c r="W4" s="357">
        <v>2.3666666666666667</v>
      </c>
    </row>
    <row r="5" spans="2:23" x14ac:dyDescent="0.25">
      <c r="B5" s="375" t="s">
        <v>712</v>
      </c>
      <c r="C5" s="410">
        <v>2</v>
      </c>
      <c r="D5" s="357">
        <v>1</v>
      </c>
      <c r="E5" s="412">
        <v>1.6</v>
      </c>
      <c r="F5" s="357">
        <v>1</v>
      </c>
      <c r="G5" s="358">
        <v>1.2</v>
      </c>
      <c r="P5" s="375" t="s">
        <v>713</v>
      </c>
      <c r="Q5" s="410">
        <v>3</v>
      </c>
      <c r="R5" s="357">
        <v>2.2017388909129649</v>
      </c>
      <c r="S5" s="357">
        <v>5.3605056746652791</v>
      </c>
      <c r="T5" s="411">
        <v>2.2017388909129649</v>
      </c>
      <c r="U5" s="411">
        <v>5.3605056746652791</v>
      </c>
      <c r="V5" s="357">
        <v>2.0333333333333332</v>
      </c>
      <c r="W5" s="357">
        <v>4.5999999999999996</v>
      </c>
    </row>
    <row r="6" spans="2:23" x14ac:dyDescent="0.25">
      <c r="B6" s="375" t="s">
        <v>713</v>
      </c>
      <c r="C6" s="410">
        <v>3</v>
      </c>
      <c r="D6" s="357">
        <v>2.2999999999999998</v>
      </c>
      <c r="E6" s="412">
        <v>1.8</v>
      </c>
      <c r="F6" s="357">
        <v>2.1</v>
      </c>
      <c r="G6" s="358">
        <v>1.7</v>
      </c>
      <c r="P6" s="375" t="s">
        <v>714</v>
      </c>
      <c r="Q6" s="410">
        <v>4</v>
      </c>
      <c r="R6" s="357">
        <v>4.879307532136572</v>
      </c>
      <c r="S6" s="357">
        <v>11.879499345905439</v>
      </c>
      <c r="T6" s="411">
        <v>4.879307532136572</v>
      </c>
      <c r="U6" s="411">
        <v>11.879499345905439</v>
      </c>
      <c r="V6" s="357">
        <v>6.5999999999999988</v>
      </c>
      <c r="W6" s="357">
        <v>14.666666666666666</v>
      </c>
    </row>
    <row r="7" spans="2:23" x14ac:dyDescent="0.25">
      <c r="B7" s="375" t="s">
        <v>714</v>
      </c>
      <c r="C7" s="410">
        <v>4</v>
      </c>
      <c r="D7" s="357">
        <v>4.5</v>
      </c>
      <c r="E7" s="412">
        <v>3.6</v>
      </c>
      <c r="F7" s="357">
        <v>5.7</v>
      </c>
      <c r="G7" s="358">
        <v>4.2</v>
      </c>
      <c r="P7" s="375" t="s">
        <v>715</v>
      </c>
      <c r="Q7" s="410">
        <v>5</v>
      </c>
      <c r="R7" s="357">
        <v>0.44517898792499772</v>
      </c>
      <c r="S7" s="357">
        <v>1.0838635320758523</v>
      </c>
      <c r="T7" s="411">
        <v>0.44517898792499772</v>
      </c>
      <c r="U7" s="411">
        <v>1.0838635320758523</v>
      </c>
      <c r="V7" s="357">
        <v>0.96666666666666679</v>
      </c>
      <c r="W7" s="357">
        <v>2.1999999999999997</v>
      </c>
    </row>
    <row r="8" spans="2:23" x14ac:dyDescent="0.25">
      <c r="B8" s="375" t="s">
        <v>715</v>
      </c>
      <c r="C8" s="410">
        <v>5</v>
      </c>
      <c r="D8" s="357">
        <v>0.7</v>
      </c>
      <c r="E8" s="412">
        <v>0.6</v>
      </c>
      <c r="F8" s="357">
        <v>0.5</v>
      </c>
      <c r="G8" s="358">
        <v>0.8</v>
      </c>
      <c r="P8" s="375" t="s">
        <v>716</v>
      </c>
      <c r="Q8" s="410">
        <v>6</v>
      </c>
      <c r="R8" s="357">
        <v>0.46780630843226839</v>
      </c>
      <c r="S8" s="357">
        <v>1.1389535704461147</v>
      </c>
      <c r="T8" s="411">
        <v>0.46780630843226839</v>
      </c>
      <c r="U8" s="411">
        <v>1.1389535704461147</v>
      </c>
      <c r="V8" s="357">
        <v>0.83333333333333337</v>
      </c>
      <c r="W8" s="357">
        <v>1.8333333333333333</v>
      </c>
    </row>
    <row r="9" spans="2:23" x14ac:dyDescent="0.25">
      <c r="B9" s="375" t="s">
        <v>716</v>
      </c>
      <c r="C9" s="410">
        <v>6</v>
      </c>
      <c r="D9" s="357">
        <v>0.5</v>
      </c>
      <c r="E9" s="412">
        <v>0.5</v>
      </c>
      <c r="F9" s="357">
        <v>0.7</v>
      </c>
      <c r="G9" s="358">
        <v>0.6</v>
      </c>
      <c r="P9" s="375" t="s">
        <v>717</v>
      </c>
      <c r="Q9" s="410">
        <v>7</v>
      </c>
      <c r="R9" s="357">
        <v>1.9341995490982429</v>
      </c>
      <c r="S9" s="357">
        <v>4.7091359023852633</v>
      </c>
      <c r="T9" s="411">
        <v>1.9341995490982429</v>
      </c>
      <c r="U9" s="411">
        <v>4.7091359023852633</v>
      </c>
      <c r="V9" s="357">
        <v>5.8666666666666671</v>
      </c>
      <c r="W9" s="357">
        <v>13.333333333333334</v>
      </c>
    </row>
    <row r="10" spans="2:23" x14ac:dyDescent="0.25">
      <c r="B10" s="375" t="s">
        <v>717</v>
      </c>
      <c r="C10" s="410">
        <v>7</v>
      </c>
      <c r="D10" s="357">
        <v>7.4</v>
      </c>
      <c r="E10" s="412">
        <v>6.7</v>
      </c>
      <c r="F10" s="357">
        <v>5.6</v>
      </c>
      <c r="G10" s="358">
        <v>7.1</v>
      </c>
      <c r="P10" s="375" t="s">
        <v>718</v>
      </c>
      <c r="Q10" s="410">
        <v>8</v>
      </c>
      <c r="R10" s="357">
        <v>0.99198744591053856</v>
      </c>
      <c r="S10" s="357">
        <v>2.4151611959741515</v>
      </c>
      <c r="T10" s="411">
        <v>0.99198744591053856</v>
      </c>
      <c r="U10" s="411">
        <v>2.4151611959741515</v>
      </c>
      <c r="V10" s="357">
        <v>1.5</v>
      </c>
      <c r="W10" s="357">
        <v>3.4</v>
      </c>
    </row>
    <row r="11" spans="2:23" x14ac:dyDescent="0.25">
      <c r="B11" s="375" t="s">
        <v>718</v>
      </c>
      <c r="C11" s="410">
        <v>8</v>
      </c>
      <c r="D11" s="357">
        <v>1</v>
      </c>
      <c r="E11" s="412">
        <v>0.9</v>
      </c>
      <c r="F11" s="357">
        <v>1.9</v>
      </c>
      <c r="G11" s="358">
        <v>1.1000000000000001</v>
      </c>
      <c r="P11" s="375" t="s">
        <v>719</v>
      </c>
      <c r="Q11" s="410">
        <v>9</v>
      </c>
      <c r="R11" s="357">
        <v>4.0166488255105524</v>
      </c>
      <c r="S11" s="357">
        <v>9.7792108370120427</v>
      </c>
      <c r="T11" s="411">
        <v>4.0166488255105524</v>
      </c>
      <c r="U11" s="411">
        <v>9.7792108370120427</v>
      </c>
      <c r="V11" s="357">
        <v>5.1000000000000005</v>
      </c>
      <c r="W11" s="357">
        <v>11.566666666666668</v>
      </c>
    </row>
    <row r="12" spans="2:23" ht="14.25" thickBot="1" x14ac:dyDescent="0.3">
      <c r="B12" s="375" t="s">
        <v>719</v>
      </c>
      <c r="C12" s="410">
        <v>9</v>
      </c>
      <c r="D12" s="357">
        <v>3.8</v>
      </c>
      <c r="E12" s="412">
        <v>4</v>
      </c>
      <c r="F12" s="357">
        <v>4.8</v>
      </c>
      <c r="G12" s="358">
        <v>4.5999999999999996</v>
      </c>
      <c r="P12" s="413" t="s">
        <v>720</v>
      </c>
      <c r="Q12" s="409">
        <v>10</v>
      </c>
      <c r="R12" s="359">
        <v>19.476834319154484</v>
      </c>
      <c r="S12" s="359">
        <v>47.419646954162943</v>
      </c>
      <c r="T12" s="414">
        <v>19.476834319154484</v>
      </c>
      <c r="U12" s="414">
        <v>47.419646954162943</v>
      </c>
      <c r="V12" s="359">
        <v>14.533333333333333</v>
      </c>
      <c r="W12" s="359">
        <v>32.766666666666673</v>
      </c>
    </row>
    <row r="13" spans="2:23" ht="14.25" thickBot="1" x14ac:dyDescent="0.3">
      <c r="B13" s="413" t="s">
        <v>720</v>
      </c>
      <c r="C13" s="409">
        <v>10</v>
      </c>
      <c r="D13" s="359">
        <v>15.1</v>
      </c>
      <c r="E13" s="359">
        <v>12.8</v>
      </c>
      <c r="F13" s="359">
        <v>14.5</v>
      </c>
      <c r="G13" s="360">
        <v>20</v>
      </c>
      <c r="P13" s="405" t="s">
        <v>721</v>
      </c>
      <c r="Q13" s="406" t="s">
        <v>617</v>
      </c>
      <c r="R13" s="415">
        <v>41.073343160866003</v>
      </c>
      <c r="S13" s="415">
        <v>100</v>
      </c>
      <c r="T13" s="416">
        <v>41.073343160866003</v>
      </c>
      <c r="U13" s="415">
        <v>100</v>
      </c>
      <c r="V13" s="361">
        <v>44.5</v>
      </c>
      <c r="W13" s="361">
        <v>100</v>
      </c>
    </row>
    <row r="14" spans="2:23" ht="14.25" thickBot="1" x14ac:dyDescent="0.3">
      <c r="B14" s="405" t="s">
        <v>721</v>
      </c>
      <c r="C14" s="406" t="s">
        <v>617</v>
      </c>
      <c r="D14" s="415">
        <v>41.5</v>
      </c>
      <c r="E14" s="415">
        <v>37.1</v>
      </c>
      <c r="F14" s="361">
        <v>42.4</v>
      </c>
      <c r="G14" s="361">
        <v>47.6</v>
      </c>
      <c r="N14" s="362"/>
    </row>
    <row r="15" spans="2:23" ht="38.25" customHeight="1" x14ac:dyDescent="0.25">
      <c r="B15" s="1028"/>
      <c r="C15" s="1028"/>
      <c r="D15" s="1028"/>
      <c r="E15" s="1028"/>
      <c r="F15" s="1028"/>
      <c r="G15" s="765" t="s">
        <v>722</v>
      </c>
    </row>
    <row r="17" spans="2:7" ht="14.25" thickBot="1" x14ac:dyDescent="0.3">
      <c r="B17" s="1027" t="s">
        <v>1313</v>
      </c>
      <c r="C17" s="1027"/>
      <c r="D17" s="1027"/>
      <c r="E17" s="1027"/>
      <c r="F17" s="1027"/>
      <c r="G17" s="1027"/>
    </row>
    <row r="18" spans="2:7" ht="23.25" customHeight="1" thickBot="1" x14ac:dyDescent="0.3">
      <c r="B18" s="405" t="s">
        <v>741</v>
      </c>
      <c r="C18" s="406" t="s">
        <v>742</v>
      </c>
      <c r="D18" s="763" t="s">
        <v>1311</v>
      </c>
      <c r="E18" s="764" t="s">
        <v>1310</v>
      </c>
      <c r="F18" s="764" t="s">
        <v>1309</v>
      </c>
      <c r="G18" s="764" t="s">
        <v>1308</v>
      </c>
    </row>
    <row r="19" spans="2:7" ht="14.25" thickBot="1" x14ac:dyDescent="0.3">
      <c r="B19" s="360"/>
      <c r="C19" s="409"/>
      <c r="D19" s="360" t="s">
        <v>743</v>
      </c>
      <c r="E19" s="360" t="s">
        <v>743</v>
      </c>
      <c r="F19" s="360" t="s">
        <v>743</v>
      </c>
      <c r="G19" s="360" t="s">
        <v>743</v>
      </c>
    </row>
    <row r="20" spans="2:7" x14ac:dyDescent="0.25">
      <c r="B20" s="375" t="s">
        <v>694</v>
      </c>
      <c r="C20" s="410">
        <v>1</v>
      </c>
      <c r="D20" s="357">
        <f>D4</f>
        <v>5.3</v>
      </c>
      <c r="E20" s="357">
        <f t="shared" ref="E20:G20" si="0">E4</f>
        <v>4.5999999999999996</v>
      </c>
      <c r="F20" s="357">
        <f t="shared" si="0"/>
        <v>5.6</v>
      </c>
      <c r="G20" s="357">
        <f t="shared" si="0"/>
        <v>6.3</v>
      </c>
    </row>
    <row r="21" spans="2:7" x14ac:dyDescent="0.25">
      <c r="B21" s="375" t="s">
        <v>695</v>
      </c>
      <c r="C21" s="410">
        <v>2</v>
      </c>
      <c r="D21" s="357">
        <f t="shared" ref="D21:G21" si="1">D5</f>
        <v>1</v>
      </c>
      <c r="E21" s="412">
        <f t="shared" si="1"/>
        <v>1.6</v>
      </c>
      <c r="F21" s="357">
        <f t="shared" si="1"/>
        <v>1</v>
      </c>
      <c r="G21" s="358">
        <f t="shared" si="1"/>
        <v>1.2</v>
      </c>
    </row>
    <row r="22" spans="2:7" x14ac:dyDescent="0.25">
      <c r="B22" s="375" t="s">
        <v>696</v>
      </c>
      <c r="C22" s="410">
        <v>3</v>
      </c>
      <c r="D22" s="357">
        <f t="shared" ref="D22:G22" si="2">D6</f>
        <v>2.2999999999999998</v>
      </c>
      <c r="E22" s="412">
        <f t="shared" si="2"/>
        <v>1.8</v>
      </c>
      <c r="F22" s="357">
        <f t="shared" si="2"/>
        <v>2.1</v>
      </c>
      <c r="G22" s="358">
        <f t="shared" si="2"/>
        <v>1.7</v>
      </c>
    </row>
    <row r="23" spans="2:7" x14ac:dyDescent="0.25">
      <c r="B23" s="375" t="s">
        <v>697</v>
      </c>
      <c r="C23" s="410">
        <v>4</v>
      </c>
      <c r="D23" s="357">
        <f t="shared" ref="D23:G23" si="3">D7</f>
        <v>4.5</v>
      </c>
      <c r="E23" s="412">
        <f t="shared" si="3"/>
        <v>3.6</v>
      </c>
      <c r="F23" s="357">
        <f t="shared" si="3"/>
        <v>5.7</v>
      </c>
      <c r="G23" s="358">
        <f t="shared" si="3"/>
        <v>4.2</v>
      </c>
    </row>
    <row r="24" spans="2:7" x14ac:dyDescent="0.25">
      <c r="B24" s="375" t="s">
        <v>698</v>
      </c>
      <c r="C24" s="410">
        <v>5</v>
      </c>
      <c r="D24" s="357">
        <f t="shared" ref="D24:G24" si="4">D8</f>
        <v>0.7</v>
      </c>
      <c r="E24" s="412">
        <f t="shared" si="4"/>
        <v>0.6</v>
      </c>
      <c r="F24" s="357">
        <f t="shared" si="4"/>
        <v>0.5</v>
      </c>
      <c r="G24" s="358">
        <f t="shared" si="4"/>
        <v>0.8</v>
      </c>
    </row>
    <row r="25" spans="2:7" x14ac:dyDescent="0.25">
      <c r="B25" s="375" t="s">
        <v>745</v>
      </c>
      <c r="C25" s="410">
        <v>6</v>
      </c>
      <c r="D25" s="357">
        <f t="shared" ref="D25:G25" si="5">D9</f>
        <v>0.5</v>
      </c>
      <c r="E25" s="412">
        <f t="shared" si="5"/>
        <v>0.5</v>
      </c>
      <c r="F25" s="357">
        <f t="shared" si="5"/>
        <v>0.7</v>
      </c>
      <c r="G25" s="358">
        <f t="shared" si="5"/>
        <v>0.6</v>
      </c>
    </row>
    <row r="26" spans="2:7" x14ac:dyDescent="0.25">
      <c r="B26" s="375" t="s">
        <v>700</v>
      </c>
      <c r="C26" s="410">
        <v>7</v>
      </c>
      <c r="D26" s="357">
        <f t="shared" ref="D26:G26" si="6">D10</f>
        <v>7.4</v>
      </c>
      <c r="E26" s="412">
        <f t="shared" si="6"/>
        <v>6.7</v>
      </c>
      <c r="F26" s="357">
        <f t="shared" si="6"/>
        <v>5.6</v>
      </c>
      <c r="G26" s="358">
        <f t="shared" si="6"/>
        <v>7.1</v>
      </c>
    </row>
    <row r="27" spans="2:7" x14ac:dyDescent="0.25">
      <c r="B27" s="375" t="s">
        <v>701</v>
      </c>
      <c r="C27" s="410">
        <v>8</v>
      </c>
      <c r="D27" s="357">
        <f t="shared" ref="D27:G27" si="7">D11</f>
        <v>1</v>
      </c>
      <c r="E27" s="412">
        <f t="shared" si="7"/>
        <v>0.9</v>
      </c>
      <c r="F27" s="357">
        <f t="shared" si="7"/>
        <v>1.9</v>
      </c>
      <c r="G27" s="358">
        <f t="shared" si="7"/>
        <v>1.1000000000000001</v>
      </c>
    </row>
    <row r="28" spans="2:7" x14ac:dyDescent="0.25">
      <c r="B28" s="375" t="s">
        <v>702</v>
      </c>
      <c r="C28" s="410">
        <v>9</v>
      </c>
      <c r="D28" s="357">
        <f t="shared" ref="D28:G28" si="8">D12</f>
        <v>3.8</v>
      </c>
      <c r="E28" s="412">
        <f t="shared" si="8"/>
        <v>4</v>
      </c>
      <c r="F28" s="357">
        <f t="shared" si="8"/>
        <v>4.8</v>
      </c>
      <c r="G28" s="358">
        <f t="shared" si="8"/>
        <v>4.5999999999999996</v>
      </c>
    </row>
    <row r="29" spans="2:7" ht="14.25" thickBot="1" x14ac:dyDescent="0.3">
      <c r="B29" s="413" t="s">
        <v>703</v>
      </c>
      <c r="C29" s="409">
        <v>10</v>
      </c>
      <c r="D29" s="359">
        <f t="shared" ref="D29:G29" si="9">D13</f>
        <v>15.1</v>
      </c>
      <c r="E29" s="359">
        <f t="shared" si="9"/>
        <v>12.8</v>
      </c>
      <c r="F29" s="359">
        <f t="shared" si="9"/>
        <v>14.5</v>
      </c>
      <c r="G29" s="360">
        <f t="shared" si="9"/>
        <v>20</v>
      </c>
    </row>
    <row r="30" spans="2:7" ht="14.25" thickBot="1" x14ac:dyDescent="0.3">
      <c r="B30" s="405" t="s">
        <v>704</v>
      </c>
      <c r="C30" s="406" t="s">
        <v>617</v>
      </c>
      <c r="D30" s="415">
        <f t="shared" ref="D30:G30" si="10">D14</f>
        <v>41.5</v>
      </c>
      <c r="E30" s="415">
        <f t="shared" si="10"/>
        <v>37.1</v>
      </c>
      <c r="F30" s="361">
        <f t="shared" si="10"/>
        <v>42.4</v>
      </c>
      <c r="G30" s="361">
        <f t="shared" si="10"/>
        <v>47.6</v>
      </c>
    </row>
  </sheetData>
  <mergeCells count="3">
    <mergeCell ref="B1:G1"/>
    <mergeCell ref="B15:F15"/>
    <mergeCell ref="B17:G17"/>
  </mergeCell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4"/>
  <dimension ref="B1:N38"/>
  <sheetViews>
    <sheetView zoomScale="90" zoomScaleNormal="90" workbookViewId="0">
      <selection activeCell="B20" sqref="B20"/>
    </sheetView>
  </sheetViews>
  <sheetFormatPr defaultColWidth="9.140625" defaultRowHeight="13.5" x14ac:dyDescent="0.25"/>
  <cols>
    <col min="1" max="1" width="15.7109375" style="353" customWidth="1"/>
    <col min="2" max="2" width="15.7109375" style="353" bestFit="1" customWidth="1"/>
    <col min="3" max="3" width="15" style="353" bestFit="1" customWidth="1"/>
    <col min="4" max="4" width="15" style="353" customWidth="1"/>
    <col min="5" max="5" width="9" style="353" bestFit="1" customWidth="1"/>
    <col min="6" max="6" width="9" style="353" customWidth="1"/>
    <col min="7" max="10" width="9.140625" style="353"/>
    <col min="11" max="11" width="29.42578125" style="353" customWidth="1"/>
    <col min="12" max="12" width="19" style="353" bestFit="1" customWidth="1"/>
    <col min="13" max="14" width="19.5703125" style="353" bestFit="1" customWidth="1"/>
    <col min="15" max="16384" width="9.140625" style="353"/>
  </cols>
  <sheetData>
    <row r="1" spans="2:14" ht="16.5" customHeight="1" x14ac:dyDescent="0.25">
      <c r="K1" s="363" t="s">
        <v>692</v>
      </c>
      <c r="L1" s="363" t="s">
        <v>693</v>
      </c>
      <c r="M1" s="364" t="s">
        <v>1314</v>
      </c>
      <c r="N1" s="364" t="s">
        <v>1315</v>
      </c>
    </row>
    <row r="2" spans="2:14" x14ac:dyDescent="0.25">
      <c r="B2" s="366"/>
      <c r="C2" s="366"/>
      <c r="D2" s="366"/>
      <c r="K2" s="363"/>
      <c r="L2" s="363"/>
      <c r="M2" s="365" t="s">
        <v>740</v>
      </c>
      <c r="N2" s="365" t="s">
        <v>740</v>
      </c>
    </row>
    <row r="3" spans="2:14" x14ac:dyDescent="0.25">
      <c r="B3" s="371" t="s">
        <v>1317</v>
      </c>
      <c r="C3" s="372"/>
      <c r="D3" s="372"/>
      <c r="E3" s="372"/>
      <c r="F3" s="372"/>
      <c r="G3" s="372"/>
      <c r="H3" s="372"/>
      <c r="K3" s="367" t="s">
        <v>694</v>
      </c>
      <c r="L3" s="368">
        <v>1</v>
      </c>
      <c r="M3" s="369">
        <v>-0.05</v>
      </c>
      <c r="N3" s="370">
        <v>-0.32</v>
      </c>
    </row>
    <row r="4" spans="2:14" x14ac:dyDescent="0.25">
      <c r="K4" s="364" t="s">
        <v>695</v>
      </c>
      <c r="L4" s="363">
        <v>2</v>
      </c>
      <c r="M4" s="373">
        <v>0</v>
      </c>
      <c r="N4" s="374">
        <v>0.4</v>
      </c>
    </row>
    <row r="5" spans="2:14" ht="17.25" customHeight="1" x14ac:dyDescent="0.25">
      <c r="F5" s="375"/>
      <c r="K5" s="364" t="s">
        <v>696</v>
      </c>
      <c r="L5" s="363">
        <v>3</v>
      </c>
      <c r="M5" s="373">
        <v>0.03</v>
      </c>
      <c r="N5" s="374">
        <v>-0.28000000000000003</v>
      </c>
    </row>
    <row r="6" spans="2:14" x14ac:dyDescent="0.25">
      <c r="B6" s="353" t="s">
        <v>198</v>
      </c>
      <c r="K6" s="364" t="s">
        <v>697</v>
      </c>
      <c r="L6" s="363">
        <v>4</v>
      </c>
      <c r="M6" s="373">
        <v>0.01</v>
      </c>
      <c r="N6" s="374">
        <v>0.04</v>
      </c>
    </row>
    <row r="7" spans="2:14" x14ac:dyDescent="0.25">
      <c r="G7" s="376"/>
      <c r="K7" s="364" t="s">
        <v>698</v>
      </c>
      <c r="L7" s="363">
        <v>5</v>
      </c>
      <c r="M7" s="373">
        <v>0.03</v>
      </c>
      <c r="N7" s="374">
        <v>-7.0000000000000007E-2</v>
      </c>
    </row>
    <row r="8" spans="2:14" x14ac:dyDescent="0.25">
      <c r="G8" s="376"/>
      <c r="K8" s="364" t="s">
        <v>699</v>
      </c>
      <c r="L8" s="363">
        <v>6</v>
      </c>
      <c r="M8" s="373">
        <v>1.4E-2</v>
      </c>
      <c r="N8" s="374">
        <v>0.01</v>
      </c>
    </row>
    <row r="9" spans="2:14" x14ac:dyDescent="0.25">
      <c r="G9" s="376"/>
      <c r="K9" s="364" t="s">
        <v>700</v>
      </c>
      <c r="L9" s="363">
        <v>7</v>
      </c>
      <c r="M9" s="373">
        <v>8.0000000000000002E-3</v>
      </c>
      <c r="N9" s="374">
        <v>-0.55000000000000004</v>
      </c>
    </row>
    <row r="10" spans="2:14" x14ac:dyDescent="0.25">
      <c r="G10" s="376"/>
      <c r="K10" s="364" t="s">
        <v>723</v>
      </c>
      <c r="L10" s="363">
        <v>8</v>
      </c>
      <c r="M10" s="373">
        <v>0.02</v>
      </c>
      <c r="N10" s="374">
        <v>-0.19</v>
      </c>
    </row>
    <row r="11" spans="2:14" x14ac:dyDescent="0.25">
      <c r="G11" s="376"/>
      <c r="K11" s="364" t="s">
        <v>702</v>
      </c>
      <c r="L11" s="363">
        <v>9</v>
      </c>
      <c r="M11" s="373">
        <v>0.04</v>
      </c>
      <c r="N11" s="374">
        <v>0.05</v>
      </c>
    </row>
    <row r="12" spans="2:14" x14ac:dyDescent="0.25">
      <c r="G12" s="376"/>
      <c r="K12" s="364" t="s">
        <v>703</v>
      </c>
      <c r="L12" s="363">
        <v>10</v>
      </c>
      <c r="M12" s="373">
        <v>-0.06</v>
      </c>
      <c r="N12" s="374">
        <v>-1.03</v>
      </c>
    </row>
    <row r="13" spans="2:14" x14ac:dyDescent="0.25">
      <c r="G13" s="376"/>
      <c r="K13" s="364"/>
      <c r="L13" s="363"/>
      <c r="M13" s="373"/>
      <c r="N13" s="374"/>
    </row>
    <row r="14" spans="2:14" x14ac:dyDescent="0.25">
      <c r="G14" s="376"/>
    </row>
    <row r="15" spans="2:14" x14ac:dyDescent="0.25">
      <c r="G15" s="376"/>
      <c r="K15" s="375"/>
      <c r="L15" s="357"/>
      <c r="M15" s="358"/>
      <c r="N15" s="357"/>
    </row>
    <row r="16" spans="2:14" x14ac:dyDescent="0.25">
      <c r="B16" s="372"/>
      <c r="C16" s="372"/>
      <c r="D16" s="372"/>
      <c r="E16" s="372"/>
      <c r="F16" s="372"/>
      <c r="G16" s="372"/>
      <c r="H16" s="372"/>
      <c r="K16" s="365" t="s">
        <v>1316</v>
      </c>
      <c r="L16" s="377" t="s">
        <v>724</v>
      </c>
      <c r="M16" s="377" t="s">
        <v>725</v>
      </c>
    </row>
    <row r="17" spans="2:13" x14ac:dyDescent="0.25">
      <c r="K17" s="365" t="s">
        <v>726</v>
      </c>
      <c r="L17" s="378">
        <f>M12</f>
        <v>-0.06</v>
      </c>
      <c r="M17" s="378">
        <f>N12</f>
        <v>-1.03</v>
      </c>
    </row>
    <row r="18" spans="2:13" x14ac:dyDescent="0.25">
      <c r="K18" s="365" t="s">
        <v>727</v>
      </c>
      <c r="L18" s="378">
        <f>M11</f>
        <v>0.04</v>
      </c>
      <c r="M18" s="378">
        <f>N11</f>
        <v>0.05</v>
      </c>
    </row>
    <row r="19" spans="2:13" x14ac:dyDescent="0.25">
      <c r="K19" s="365" t="s">
        <v>728</v>
      </c>
      <c r="L19" s="378">
        <f>M10</f>
        <v>0.02</v>
      </c>
      <c r="M19" s="378">
        <f>N10</f>
        <v>-0.19</v>
      </c>
    </row>
    <row r="20" spans="2:13" x14ac:dyDescent="0.25">
      <c r="B20" s="371" t="s">
        <v>1318</v>
      </c>
      <c r="C20" s="372"/>
      <c r="D20" s="372"/>
      <c r="E20" s="372"/>
      <c r="F20" s="372"/>
      <c r="G20" s="372"/>
      <c r="H20" s="372"/>
      <c r="I20" s="372"/>
      <c r="K20" s="365" t="s">
        <v>729</v>
      </c>
      <c r="L20" s="378">
        <f>M9</f>
        <v>8.0000000000000002E-3</v>
      </c>
      <c r="M20" s="378">
        <f>N9</f>
        <v>-0.55000000000000004</v>
      </c>
    </row>
    <row r="21" spans="2:13" x14ac:dyDescent="0.25">
      <c r="K21" s="365" t="s">
        <v>730</v>
      </c>
      <c r="L21" s="378">
        <f>M8</f>
        <v>1.4E-2</v>
      </c>
      <c r="M21" s="378">
        <f>N8</f>
        <v>0.01</v>
      </c>
    </row>
    <row r="22" spans="2:13" x14ac:dyDescent="0.25">
      <c r="K22" s="365" t="s">
        <v>731</v>
      </c>
      <c r="L22" s="378">
        <f>M7</f>
        <v>0.03</v>
      </c>
      <c r="M22" s="378">
        <f>N7</f>
        <v>-7.0000000000000007E-2</v>
      </c>
    </row>
    <row r="23" spans="2:13" x14ac:dyDescent="0.25">
      <c r="K23" s="365" t="s">
        <v>732</v>
      </c>
      <c r="L23" s="378">
        <f>M6</f>
        <v>0.01</v>
      </c>
      <c r="M23" s="378">
        <f>N6</f>
        <v>0.04</v>
      </c>
    </row>
    <row r="24" spans="2:13" x14ac:dyDescent="0.25">
      <c r="K24" s="365" t="s">
        <v>733</v>
      </c>
      <c r="L24" s="378">
        <f>M5</f>
        <v>0.03</v>
      </c>
      <c r="M24" s="378">
        <f>N5</f>
        <v>-0.28000000000000003</v>
      </c>
    </row>
    <row r="25" spans="2:13" x14ac:dyDescent="0.25">
      <c r="K25" s="365" t="s">
        <v>734</v>
      </c>
      <c r="L25" s="378">
        <f>M4</f>
        <v>0</v>
      </c>
      <c r="M25" s="378">
        <f>N4</f>
        <v>0.4</v>
      </c>
    </row>
    <row r="26" spans="2:13" x14ac:dyDescent="0.25">
      <c r="K26" s="365" t="s">
        <v>735</v>
      </c>
      <c r="L26" s="378">
        <f>M3</f>
        <v>-0.05</v>
      </c>
      <c r="M26" s="378">
        <f>N3</f>
        <v>-0.32</v>
      </c>
    </row>
    <row r="27" spans="2:13" x14ac:dyDescent="0.25">
      <c r="L27" s="356"/>
    </row>
    <row r="28" spans="2:13" x14ac:dyDescent="0.25">
      <c r="K28" s="364" t="s">
        <v>1314</v>
      </c>
      <c r="L28" s="365" t="s">
        <v>740</v>
      </c>
      <c r="M28" s="365" t="s">
        <v>740</v>
      </c>
    </row>
    <row r="29" spans="2:13" x14ac:dyDescent="0.25">
      <c r="K29" s="365" t="str">
        <f>K12</f>
        <v>10. Social protection</v>
      </c>
      <c r="L29" s="378">
        <f>L17</f>
        <v>-0.06</v>
      </c>
      <c r="M29" s="378">
        <f>M17</f>
        <v>-1.03</v>
      </c>
    </row>
    <row r="30" spans="2:13" x14ac:dyDescent="0.25">
      <c r="K30" s="365" t="str">
        <f>K11</f>
        <v>9. Education</v>
      </c>
      <c r="L30" s="378">
        <f t="shared" ref="L30:M30" si="0">L18</f>
        <v>0.04</v>
      </c>
      <c r="M30" s="378">
        <f t="shared" si="0"/>
        <v>0.05</v>
      </c>
    </row>
    <row r="31" spans="2:13" x14ac:dyDescent="0.25">
      <c r="K31" s="365" t="str">
        <f>K10</f>
        <v>8. Recreation, culture  and religion</v>
      </c>
      <c r="L31" s="378">
        <f t="shared" ref="L31:M31" si="1">L19</f>
        <v>0.02</v>
      </c>
      <c r="M31" s="378">
        <f t="shared" si="1"/>
        <v>-0.19</v>
      </c>
    </row>
    <row r="32" spans="2:13" x14ac:dyDescent="0.25">
      <c r="K32" s="365" t="str">
        <f>K9</f>
        <v>7. Health</v>
      </c>
      <c r="L32" s="378">
        <f t="shared" ref="L32:M32" si="2">L20</f>
        <v>8.0000000000000002E-3</v>
      </c>
      <c r="M32" s="378">
        <f t="shared" si="2"/>
        <v>-0.55000000000000004</v>
      </c>
    </row>
    <row r="33" spans="2:13" x14ac:dyDescent="0.25">
      <c r="K33" s="365" t="str">
        <f>K8</f>
        <v>6. housing and community amenities</v>
      </c>
      <c r="L33" s="378">
        <f t="shared" ref="L33:M33" si="3">L21</f>
        <v>1.4E-2</v>
      </c>
      <c r="M33" s="378">
        <f t="shared" si="3"/>
        <v>0.01</v>
      </c>
    </row>
    <row r="34" spans="2:13" x14ac:dyDescent="0.25">
      <c r="B34" s="372"/>
      <c r="C34" s="372"/>
      <c r="D34" s="372"/>
      <c r="E34" s="372"/>
      <c r="F34" s="372"/>
      <c r="G34" s="372"/>
      <c r="H34" s="372"/>
      <c r="I34" s="372"/>
      <c r="K34" s="365" t="str">
        <f>K7</f>
        <v>5. Environmental protection</v>
      </c>
      <c r="L34" s="378">
        <f t="shared" ref="L34:M34" si="4">L22</f>
        <v>0.03</v>
      </c>
      <c r="M34" s="378">
        <f t="shared" si="4"/>
        <v>-7.0000000000000007E-2</v>
      </c>
    </row>
    <row r="35" spans="2:13" x14ac:dyDescent="0.25">
      <c r="K35" s="365" t="str">
        <f>K6</f>
        <v xml:space="preserve">4. Economic affairs </v>
      </c>
      <c r="L35" s="378">
        <f t="shared" ref="L35:M35" si="5">L23</f>
        <v>0.01</v>
      </c>
      <c r="M35" s="378">
        <f t="shared" si="5"/>
        <v>0.04</v>
      </c>
    </row>
    <row r="36" spans="2:13" x14ac:dyDescent="0.25">
      <c r="K36" s="365" t="str">
        <f>K5</f>
        <v>3. Public order and safety</v>
      </c>
      <c r="L36" s="378">
        <f t="shared" ref="L36:M36" si="6">L24</f>
        <v>0.03</v>
      </c>
      <c r="M36" s="378">
        <f t="shared" si="6"/>
        <v>-0.28000000000000003</v>
      </c>
    </row>
    <row r="37" spans="2:13" x14ac:dyDescent="0.25">
      <c r="K37" s="365" t="str">
        <f>K4</f>
        <v>2. Defense</v>
      </c>
      <c r="L37" s="378">
        <f t="shared" ref="L37:M37" si="7">L25</f>
        <v>0</v>
      </c>
      <c r="M37" s="378">
        <f t="shared" si="7"/>
        <v>0.4</v>
      </c>
    </row>
    <row r="38" spans="2:13" x14ac:dyDescent="0.25">
      <c r="K38" s="365" t="str">
        <f>K3</f>
        <v>1. General public services</v>
      </c>
      <c r="L38" s="378">
        <f t="shared" ref="L38:M38" si="8">L26</f>
        <v>-0.05</v>
      </c>
      <c r="M38" s="378">
        <f t="shared" si="8"/>
        <v>-0.32</v>
      </c>
    </row>
  </sheetData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0"/>
  <dimension ref="B4:Q32"/>
  <sheetViews>
    <sheetView zoomScale="90" zoomScaleNormal="90" workbookViewId="0">
      <selection activeCell="S13" sqref="S13"/>
    </sheetView>
  </sheetViews>
  <sheetFormatPr defaultColWidth="9.140625" defaultRowHeight="13.5" x14ac:dyDescent="0.25"/>
  <cols>
    <col min="1" max="1" width="13.5703125" style="420" customWidth="1"/>
    <col min="2" max="12" width="9.140625" style="420"/>
    <col min="13" max="13" width="6.28515625" style="420" customWidth="1"/>
    <col min="14" max="14" width="9.140625" style="420"/>
    <col min="15" max="15" width="29" style="420" customWidth="1"/>
    <col min="16" max="16384" width="9.140625" style="420"/>
  </cols>
  <sheetData>
    <row r="4" spans="2:17" x14ac:dyDescent="0.25">
      <c r="B4" s="785" t="s">
        <v>1572</v>
      </c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1"/>
      <c r="O4" s="420" t="s">
        <v>1509</v>
      </c>
      <c r="P4" s="420" t="s">
        <v>49</v>
      </c>
    </row>
    <row r="5" spans="2:17" x14ac:dyDescent="0.25">
      <c r="O5" s="420" t="s">
        <v>1510</v>
      </c>
      <c r="P5" s="420" t="s">
        <v>1351</v>
      </c>
    </row>
    <row r="7" spans="2:17" x14ac:dyDescent="0.25">
      <c r="O7" s="847" t="s">
        <v>1511</v>
      </c>
      <c r="P7" s="816" t="s">
        <v>1741</v>
      </c>
      <c r="Q7" s="816" t="s">
        <v>1742</v>
      </c>
    </row>
    <row r="8" spans="2:17" x14ac:dyDescent="0.25">
      <c r="O8" s="422" t="s">
        <v>1729</v>
      </c>
      <c r="P8" s="815">
        <v>5.6060843594908788E-2</v>
      </c>
      <c r="Q8" s="815">
        <v>0</v>
      </c>
    </row>
    <row r="9" spans="2:17" x14ac:dyDescent="0.25">
      <c r="O9" s="422" t="s">
        <v>1730</v>
      </c>
      <c r="P9" s="815">
        <v>2.67056792778636E-2</v>
      </c>
      <c r="Q9" s="815">
        <v>2.5403704177728867E-3</v>
      </c>
    </row>
    <row r="10" spans="2:17" x14ac:dyDescent="0.25">
      <c r="O10" s="422" t="s">
        <v>1731</v>
      </c>
      <c r="P10" s="815">
        <v>1.5518954269589441E-2</v>
      </c>
      <c r="Q10" s="815">
        <v>1.336750880107627E-2</v>
      </c>
    </row>
    <row r="11" spans="2:17" x14ac:dyDescent="0.25">
      <c r="O11" s="422" t="s">
        <v>1732</v>
      </c>
      <c r="P11" s="815">
        <v>2.570380190484783E-2</v>
      </c>
      <c r="Q11" s="815">
        <v>0</v>
      </c>
    </row>
    <row r="12" spans="2:17" x14ac:dyDescent="0.25">
      <c r="O12" s="422" t="s">
        <v>1723</v>
      </c>
      <c r="P12" s="815">
        <v>1.263387722197452E-2</v>
      </c>
      <c r="Q12" s="815">
        <v>2.111899270362194E-3</v>
      </c>
    </row>
    <row r="13" spans="2:17" x14ac:dyDescent="0.25">
      <c r="O13" s="422" t="s">
        <v>1733</v>
      </c>
      <c r="P13" s="815">
        <v>1.7919400779693135E-4</v>
      </c>
      <c r="Q13" s="815">
        <v>1.2512337659511392E-2</v>
      </c>
    </row>
    <row r="14" spans="2:17" x14ac:dyDescent="0.25">
      <c r="O14" s="422" t="s">
        <v>265</v>
      </c>
      <c r="P14" s="815">
        <v>6.7991179105650931E-5</v>
      </c>
      <c r="Q14" s="815">
        <v>1.2323460596582866E-2</v>
      </c>
    </row>
    <row r="15" spans="2:17" x14ac:dyDescent="0.25">
      <c r="O15" s="422" t="s">
        <v>1734</v>
      </c>
      <c r="P15" s="815">
        <v>1.0867126548517111E-2</v>
      </c>
      <c r="Q15" s="815">
        <v>0</v>
      </c>
    </row>
    <row r="16" spans="2:17" x14ac:dyDescent="0.25">
      <c r="O16" s="422" t="s">
        <v>1735</v>
      </c>
      <c r="P16" s="815">
        <v>1.9742177266376297E-3</v>
      </c>
      <c r="Q16" s="815">
        <v>3.0995623061783489E-3</v>
      </c>
    </row>
    <row r="17" spans="2:17" x14ac:dyDescent="0.25">
      <c r="O17" s="422" t="s">
        <v>1736</v>
      </c>
      <c r="P17" s="815">
        <v>4.087907393319627E-4</v>
      </c>
      <c r="Q17" s="815">
        <v>4.2053851712640887E-3</v>
      </c>
    </row>
    <row r="18" spans="2:17" x14ac:dyDescent="0.25">
      <c r="O18" s="422" t="s">
        <v>1737</v>
      </c>
      <c r="P18" s="815">
        <v>1.4825598985864324E-4</v>
      </c>
      <c r="Q18" s="815">
        <v>3.1090860667929961E-3</v>
      </c>
    </row>
    <row r="19" spans="2:17" x14ac:dyDescent="0.25">
      <c r="O19" s="422" t="s">
        <v>1738</v>
      </c>
      <c r="P19" s="815">
        <v>2.9070765425041217E-3</v>
      </c>
      <c r="Q19" s="815">
        <v>0</v>
      </c>
    </row>
    <row r="20" spans="2:17" x14ac:dyDescent="0.25">
      <c r="O20" s="422" t="s">
        <v>1739</v>
      </c>
      <c r="P20" s="815">
        <v>2.6728531622395234E-5</v>
      </c>
      <c r="Q20" s="815">
        <v>2.8206369557446927E-3</v>
      </c>
    </row>
    <row r="21" spans="2:17" x14ac:dyDescent="0.25">
      <c r="O21" s="422" t="s">
        <v>1721</v>
      </c>
      <c r="P21" s="815">
        <v>9.3116768787926109E-5</v>
      </c>
      <c r="Q21" s="815">
        <v>1.9044078444082136E-3</v>
      </c>
    </row>
    <row r="22" spans="2:17" x14ac:dyDescent="0.25">
      <c r="O22" s="421" t="s">
        <v>1740</v>
      </c>
      <c r="P22" s="817">
        <v>5.8757257157673994E-5</v>
      </c>
      <c r="Q22" s="817">
        <v>1.3256592555090706E-3</v>
      </c>
    </row>
    <row r="31" spans="2:17" x14ac:dyDescent="0.25">
      <c r="B31" s="1030" t="s">
        <v>1350</v>
      </c>
      <c r="C31" s="1030"/>
      <c r="D31" s="1030"/>
      <c r="E31" s="1030"/>
      <c r="F31" s="1030"/>
      <c r="G31" s="1030"/>
      <c r="H31" s="1030"/>
      <c r="I31" s="1030"/>
      <c r="J31" s="1030"/>
      <c r="K31" s="1030"/>
      <c r="L31" s="1029" t="s">
        <v>19</v>
      </c>
      <c r="M31" s="1029"/>
    </row>
    <row r="32" spans="2:17" x14ac:dyDescent="0.25">
      <c r="B32" s="420" t="s">
        <v>1571</v>
      </c>
      <c r="L32" s="1029" t="s">
        <v>235</v>
      </c>
      <c r="M32" s="1029"/>
    </row>
  </sheetData>
  <mergeCells count="3">
    <mergeCell ref="L31:M31"/>
    <mergeCell ref="B31:K31"/>
    <mergeCell ref="L32:M32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2"/>
  <dimension ref="B3:N55"/>
  <sheetViews>
    <sheetView topLeftCell="A10" zoomScale="90" zoomScaleNormal="90" workbookViewId="0">
      <selection activeCell="A50" sqref="A50"/>
    </sheetView>
  </sheetViews>
  <sheetFormatPr defaultColWidth="9.140625" defaultRowHeight="13.5" x14ac:dyDescent="0.25"/>
  <cols>
    <col min="1" max="1" width="13.5703125" style="420" customWidth="1"/>
    <col min="2" max="9" width="9.140625" style="420"/>
    <col min="10" max="10" width="26.85546875" style="420" customWidth="1"/>
    <col min="11" max="11" width="18" style="420" bestFit="1" customWidth="1"/>
    <col min="12" max="12" width="9.140625" style="420"/>
    <col min="13" max="13" width="19.85546875" style="420" customWidth="1"/>
    <col min="14" max="14" width="9.140625" style="420"/>
    <col min="15" max="15" width="9.28515625" style="420" customWidth="1"/>
    <col min="16" max="16384" width="9.140625" style="420"/>
  </cols>
  <sheetData>
    <row r="3" spans="2:13" x14ac:dyDescent="0.25">
      <c r="K3" s="420" t="s">
        <v>1358</v>
      </c>
      <c r="L3" s="420" t="s">
        <v>1359</v>
      </c>
    </row>
    <row r="4" spans="2:13" x14ac:dyDescent="0.25">
      <c r="K4" s="821" t="s">
        <v>1591</v>
      </c>
      <c r="L4" s="821" t="s">
        <v>1592</v>
      </c>
      <c r="M4" s="821" t="s">
        <v>1593</v>
      </c>
    </row>
    <row r="5" spans="2:13" x14ac:dyDescent="0.25">
      <c r="B5" s="785" t="s">
        <v>1573</v>
      </c>
      <c r="C5" s="421"/>
      <c r="D5" s="421"/>
      <c r="E5" s="421"/>
      <c r="F5" s="421"/>
      <c r="G5" s="421"/>
      <c r="H5" s="421"/>
      <c r="I5" s="421"/>
      <c r="K5" s="821" t="s">
        <v>1354</v>
      </c>
      <c r="L5" s="821" t="s">
        <v>1353</v>
      </c>
      <c r="M5" s="821" t="s">
        <v>1352</v>
      </c>
    </row>
    <row r="6" spans="2:13" x14ac:dyDescent="0.25">
      <c r="K6" s="422" t="s">
        <v>1743</v>
      </c>
      <c r="L6" s="818">
        <v>144.24906585787031</v>
      </c>
      <c r="M6" s="819">
        <v>85.048888639412169</v>
      </c>
    </row>
    <row r="7" spans="2:13" x14ac:dyDescent="0.25">
      <c r="K7" s="422" t="s">
        <v>1744</v>
      </c>
      <c r="L7" s="818">
        <v>143.32644560402196</v>
      </c>
      <c r="M7" s="819">
        <v>85.048888639412169</v>
      </c>
    </row>
    <row r="8" spans="2:13" x14ac:dyDescent="0.25">
      <c r="K8" s="422" t="s">
        <v>1745</v>
      </c>
      <c r="L8" s="818">
        <v>112.07681435049754</v>
      </c>
      <c r="M8" s="819">
        <v>85.048888639412169</v>
      </c>
    </row>
    <row r="9" spans="2:13" x14ac:dyDescent="0.25">
      <c r="K9" s="422" t="s">
        <v>1746</v>
      </c>
      <c r="L9" s="818">
        <v>107.90732736347444</v>
      </c>
      <c r="M9" s="819">
        <v>85.048888639412169</v>
      </c>
    </row>
    <row r="10" spans="2:13" x14ac:dyDescent="0.25">
      <c r="K10" s="422" t="s">
        <v>1747</v>
      </c>
      <c r="L10" s="818">
        <v>104.89663008324568</v>
      </c>
      <c r="M10" s="819">
        <v>85.048888639412169</v>
      </c>
    </row>
    <row r="11" spans="2:13" x14ac:dyDescent="0.25">
      <c r="K11" s="422" t="s">
        <v>1748</v>
      </c>
      <c r="L11" s="818">
        <v>90.578258371973021</v>
      </c>
      <c r="M11" s="819">
        <v>85.048888639412169</v>
      </c>
    </row>
    <row r="12" spans="2:13" x14ac:dyDescent="0.25">
      <c r="K12" s="422" t="s">
        <v>1749</v>
      </c>
      <c r="L12" s="818">
        <v>89.387426947363494</v>
      </c>
      <c r="M12" s="819">
        <v>85.048888639412169</v>
      </c>
    </row>
    <row r="13" spans="2:13" x14ac:dyDescent="0.25">
      <c r="K13" s="422" t="s">
        <v>1750</v>
      </c>
      <c r="L13" s="818">
        <v>88.503407381184175</v>
      </c>
      <c r="M13" s="819">
        <v>85.048888639412169</v>
      </c>
    </row>
    <row r="14" spans="2:13" x14ac:dyDescent="0.25">
      <c r="K14" s="422" t="s">
        <v>1751</v>
      </c>
      <c r="L14" s="818">
        <v>84.349089697259274</v>
      </c>
      <c r="M14" s="819">
        <v>85.048888639412169</v>
      </c>
    </row>
    <row r="15" spans="2:13" x14ac:dyDescent="0.25">
      <c r="K15" s="422" t="s">
        <v>257</v>
      </c>
      <c r="L15" s="818">
        <v>81.087277185062533</v>
      </c>
      <c r="M15" s="819">
        <v>85.048888639412169</v>
      </c>
    </row>
    <row r="16" spans="2:13" x14ac:dyDescent="0.25">
      <c r="K16" s="422" t="s">
        <v>1752</v>
      </c>
      <c r="L16" s="818">
        <v>80.444630453570326</v>
      </c>
      <c r="M16" s="819">
        <v>85.048888639412169</v>
      </c>
    </row>
    <row r="17" spans="2:14" x14ac:dyDescent="0.25">
      <c r="K17" s="422" t="s">
        <v>1753</v>
      </c>
      <c r="L17" s="818">
        <v>80.419031599834895</v>
      </c>
      <c r="M17" s="819">
        <v>85.048888639412169</v>
      </c>
    </row>
    <row r="18" spans="2:14" x14ac:dyDescent="0.25">
      <c r="K18" s="422" t="s">
        <v>836</v>
      </c>
      <c r="L18" s="818">
        <v>78.354232587664512</v>
      </c>
      <c r="M18" s="819">
        <v>85.048888639412169</v>
      </c>
    </row>
    <row r="19" spans="2:14" x14ac:dyDescent="0.25">
      <c r="K19" s="422" t="s">
        <v>1754</v>
      </c>
      <c r="L19" s="818">
        <v>75.677760207060004</v>
      </c>
      <c r="M19" s="819">
        <v>85.048888639412169</v>
      </c>
    </row>
    <row r="20" spans="2:14" x14ac:dyDescent="0.25">
      <c r="K20" s="422" t="s">
        <v>247</v>
      </c>
      <c r="L20" s="818">
        <v>70.718919581368226</v>
      </c>
      <c r="M20" s="819">
        <v>85.048888639412169</v>
      </c>
    </row>
    <row r="21" spans="2:14" x14ac:dyDescent="0.25">
      <c r="B21" s="421"/>
      <c r="C21" s="421"/>
      <c r="D21" s="421"/>
      <c r="E21" s="421"/>
      <c r="F21" s="421"/>
      <c r="G21" s="421"/>
      <c r="H21" s="421"/>
      <c r="I21" s="421"/>
      <c r="K21" s="422" t="s">
        <v>1755</v>
      </c>
      <c r="L21" s="818">
        <v>67.508995944638173</v>
      </c>
      <c r="M21" s="819">
        <v>85.048888639412169</v>
      </c>
    </row>
    <row r="22" spans="2:14" x14ac:dyDescent="0.25">
      <c r="B22" s="1030" t="s">
        <v>1356</v>
      </c>
      <c r="C22" s="1030"/>
      <c r="D22" s="1030"/>
      <c r="E22" s="1030"/>
      <c r="F22" s="1030"/>
      <c r="G22" s="1029" t="s">
        <v>1355</v>
      </c>
      <c r="H22" s="1029"/>
      <c r="I22" s="1029"/>
      <c r="K22" s="422" t="s">
        <v>1756</v>
      </c>
      <c r="L22" s="818">
        <v>65.948964011398928</v>
      </c>
      <c r="M22" s="819">
        <v>85.048888639412169</v>
      </c>
    </row>
    <row r="23" spans="2:14" x14ac:dyDescent="0.25">
      <c r="B23" s="814" t="s">
        <v>1357</v>
      </c>
      <c r="C23" s="814"/>
      <c r="D23" s="814"/>
      <c r="E23" s="814"/>
      <c r="F23" s="814"/>
      <c r="G23" s="420" t="s">
        <v>1575</v>
      </c>
      <c r="K23" s="422" t="s">
        <v>1757</v>
      </c>
      <c r="L23" s="818">
        <v>65.551100410386411</v>
      </c>
      <c r="M23" s="819">
        <v>85.048888639412169</v>
      </c>
    </row>
    <row r="24" spans="2:14" x14ac:dyDescent="0.25">
      <c r="B24" s="420" t="s">
        <v>1574</v>
      </c>
      <c r="K24" s="422" t="s">
        <v>1758</v>
      </c>
      <c r="L24" s="818">
        <v>64.977395485870062</v>
      </c>
      <c r="M24" s="819">
        <v>85.048888639412169</v>
      </c>
    </row>
    <row r="25" spans="2:14" x14ac:dyDescent="0.25">
      <c r="B25" s="420" t="s">
        <v>1576</v>
      </c>
      <c r="K25" s="422" t="s">
        <v>1759</v>
      </c>
      <c r="L25" s="818">
        <v>63.027428085370786</v>
      </c>
      <c r="M25" s="819">
        <v>85.048888639412169</v>
      </c>
    </row>
    <row r="26" spans="2:14" x14ac:dyDescent="0.25">
      <c r="K26" s="422" t="s">
        <v>1760</v>
      </c>
      <c r="L26" s="818">
        <v>56.424114568744294</v>
      </c>
      <c r="M26" s="819">
        <v>85.048888639412169</v>
      </c>
    </row>
    <row r="27" spans="2:14" x14ac:dyDescent="0.25">
      <c r="K27" s="421" t="s">
        <v>245</v>
      </c>
      <c r="L27" s="822">
        <v>55.661234289208963</v>
      </c>
      <c r="M27" s="823">
        <v>85.048888639412169</v>
      </c>
    </row>
    <row r="30" spans="2:14" x14ac:dyDescent="0.25">
      <c r="K30" s="420" t="s">
        <v>1358</v>
      </c>
      <c r="L30" s="420" t="s">
        <v>1373</v>
      </c>
    </row>
    <row r="31" spans="2:14" x14ac:dyDescent="0.25">
      <c r="B31" s="785" t="s">
        <v>1594</v>
      </c>
      <c r="C31" s="421"/>
      <c r="D31" s="421"/>
      <c r="E31" s="421"/>
      <c r="F31" s="421"/>
      <c r="G31" s="421"/>
      <c r="H31" s="421"/>
      <c r="I31" s="421"/>
      <c r="K31" s="421" t="s">
        <v>282</v>
      </c>
      <c r="L31" s="421" t="s">
        <v>1590</v>
      </c>
    </row>
    <row r="32" spans="2:14" x14ac:dyDescent="0.25">
      <c r="K32" s="820" t="s">
        <v>1372</v>
      </c>
      <c r="L32" s="820" t="s">
        <v>1369</v>
      </c>
      <c r="M32" s="820" t="s">
        <v>1588</v>
      </c>
      <c r="N32" s="820" t="s">
        <v>1589</v>
      </c>
    </row>
    <row r="33" spans="2:13" x14ac:dyDescent="0.25">
      <c r="K33" s="422" t="s">
        <v>1360</v>
      </c>
      <c r="L33" s="824">
        <v>-0.11627906976744184</v>
      </c>
      <c r="M33" s="420" t="s">
        <v>1579</v>
      </c>
    </row>
    <row r="34" spans="2:13" x14ac:dyDescent="0.25">
      <c r="K34" s="422" t="s">
        <v>1361</v>
      </c>
      <c r="L34" s="824">
        <v>5.738143594674594E-2</v>
      </c>
      <c r="M34" s="420" t="s">
        <v>1580</v>
      </c>
    </row>
    <row r="35" spans="2:13" x14ac:dyDescent="0.25">
      <c r="K35" s="422" t="s">
        <v>1362</v>
      </c>
      <c r="L35" s="824">
        <v>0.21538461538461551</v>
      </c>
      <c r="M35" s="420" t="s">
        <v>1581</v>
      </c>
    </row>
    <row r="36" spans="2:13" x14ac:dyDescent="0.25">
      <c r="K36" s="422" t="s">
        <v>1363</v>
      </c>
      <c r="L36" s="824">
        <v>2.941176470588247E-2</v>
      </c>
      <c r="M36" s="420" t="s">
        <v>1582</v>
      </c>
    </row>
    <row r="37" spans="2:13" x14ac:dyDescent="0.25">
      <c r="K37" s="422" t="s">
        <v>1364</v>
      </c>
      <c r="L37" s="824">
        <v>-0.3666666666666667</v>
      </c>
      <c r="M37" s="420" t="s">
        <v>1583</v>
      </c>
    </row>
    <row r="38" spans="2:13" x14ac:dyDescent="0.25">
      <c r="K38" s="422" t="s">
        <v>1365</v>
      </c>
      <c r="L38" s="824">
        <v>0.20588235294117641</v>
      </c>
      <c r="M38" s="420" t="s">
        <v>1584</v>
      </c>
    </row>
    <row r="39" spans="2:13" x14ac:dyDescent="0.25">
      <c r="K39" s="422" t="s">
        <v>1366</v>
      </c>
      <c r="L39" s="824">
        <v>-0.42000000000000004</v>
      </c>
      <c r="M39" s="420" t="s">
        <v>1585</v>
      </c>
    </row>
    <row r="40" spans="2:13" x14ac:dyDescent="0.25">
      <c r="K40" s="422" t="s">
        <v>1367</v>
      </c>
      <c r="L40" s="824">
        <v>-3.4091419962835157E-2</v>
      </c>
      <c r="M40" s="420" t="s">
        <v>1586</v>
      </c>
    </row>
    <row r="41" spans="2:13" x14ac:dyDescent="0.25">
      <c r="K41" s="421" t="s">
        <v>1368</v>
      </c>
      <c r="L41" s="825">
        <v>0.23204085671781582</v>
      </c>
      <c r="M41" s="420" t="s">
        <v>1587</v>
      </c>
    </row>
    <row r="48" spans="2:13" x14ac:dyDescent="0.25">
      <c r="B48" s="421"/>
      <c r="C48" s="421"/>
      <c r="D48" s="421"/>
      <c r="E48" s="421"/>
      <c r="F48" s="421"/>
      <c r="G48" s="421"/>
      <c r="H48" s="421"/>
      <c r="I48" s="421"/>
    </row>
    <row r="49" spans="2:9" ht="15" customHeight="1" x14ac:dyDescent="0.25">
      <c r="B49" s="1031" t="s">
        <v>1371</v>
      </c>
      <c r="C49" s="1030"/>
      <c r="D49" s="1030"/>
      <c r="E49" s="1030"/>
      <c r="F49" s="1030"/>
      <c r="G49" s="1029" t="s">
        <v>1370</v>
      </c>
      <c r="H49" s="1029"/>
      <c r="I49" s="1029"/>
    </row>
    <row r="50" spans="2:9" x14ac:dyDescent="0.25">
      <c r="B50" s="1032"/>
      <c r="C50" s="1032"/>
      <c r="D50" s="1032"/>
      <c r="E50" s="1032"/>
      <c r="F50" s="1032"/>
      <c r="G50" s="420" t="s">
        <v>1578</v>
      </c>
    </row>
    <row r="51" spans="2:9" x14ac:dyDescent="0.25">
      <c r="B51" s="1032"/>
      <c r="C51" s="1032"/>
      <c r="D51" s="1032"/>
      <c r="E51" s="1032"/>
      <c r="F51" s="1032"/>
    </row>
    <row r="52" spans="2:9" x14ac:dyDescent="0.25">
      <c r="B52" s="1032"/>
      <c r="C52" s="1032"/>
      <c r="D52" s="1032"/>
      <c r="E52" s="1032"/>
      <c r="F52" s="1032"/>
    </row>
    <row r="53" spans="2:9" x14ac:dyDescent="0.25">
      <c r="B53" s="1032"/>
      <c r="C53" s="1032"/>
      <c r="D53" s="1032"/>
      <c r="E53" s="1032"/>
      <c r="F53" s="1032"/>
    </row>
    <row r="55" spans="2:9" ht="64.5" customHeight="1" x14ac:dyDescent="0.25">
      <c r="B55" s="1033" t="s">
        <v>1577</v>
      </c>
      <c r="C55" s="1033"/>
      <c r="D55" s="1033"/>
      <c r="E55" s="1033"/>
      <c r="F55" s="1033"/>
    </row>
  </sheetData>
  <mergeCells count="5">
    <mergeCell ref="B49:F53"/>
    <mergeCell ref="G22:I22"/>
    <mergeCell ref="B22:F22"/>
    <mergeCell ref="G49:I49"/>
    <mergeCell ref="B55:F55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/>
  <dimension ref="A3:Z35"/>
  <sheetViews>
    <sheetView showGridLines="0" zoomScale="90" zoomScaleNormal="90" workbookViewId="0">
      <selection activeCell="E18" sqref="E18:F18"/>
    </sheetView>
  </sheetViews>
  <sheetFormatPr defaultColWidth="9.140625" defaultRowHeight="13.5" x14ac:dyDescent="0.25"/>
  <cols>
    <col min="1" max="1" width="9.140625" style="34"/>
    <col min="2" max="2" width="23.5703125" style="34" bestFit="1" customWidth="1"/>
    <col min="3" max="3" width="12" style="34" customWidth="1"/>
    <col min="4" max="4" width="9.140625" style="300"/>
    <col min="5" max="5" width="30.85546875" style="34" bestFit="1" customWidth="1"/>
    <col min="6" max="9" width="9.140625" style="34"/>
    <col min="10" max="10" width="19.28515625" style="34" bestFit="1" customWidth="1"/>
    <col min="11" max="16384" width="9.140625" style="34"/>
  </cols>
  <sheetData>
    <row r="3" spans="1:26" ht="15.75" customHeight="1" thickBot="1" x14ac:dyDescent="0.3">
      <c r="A3" s="944" t="s">
        <v>487</v>
      </c>
      <c r="B3" s="944"/>
      <c r="C3" s="944"/>
      <c r="D3" s="542"/>
      <c r="E3" s="944" t="s">
        <v>475</v>
      </c>
      <c r="F3" s="944"/>
      <c r="J3" s="538"/>
      <c r="K3" s="543">
        <v>2011</v>
      </c>
      <c r="L3" s="543">
        <v>2012</v>
      </c>
      <c r="M3" s="543">
        <v>2013</v>
      </c>
      <c r="N3" s="543">
        <v>2014</v>
      </c>
      <c r="O3" s="543">
        <v>2015</v>
      </c>
      <c r="P3" s="543">
        <v>2016</v>
      </c>
      <c r="Q3" s="543">
        <v>2017</v>
      </c>
      <c r="R3" s="544"/>
      <c r="S3" s="511"/>
      <c r="T3" s="511"/>
      <c r="U3" s="511"/>
      <c r="V3" s="511"/>
      <c r="W3" s="511"/>
      <c r="X3" s="511"/>
      <c r="Y3" s="511"/>
      <c r="Z3" s="511"/>
    </row>
    <row r="4" spans="1:26" x14ac:dyDescent="0.25">
      <c r="B4" s="515"/>
      <c r="C4" s="9"/>
      <c r="D4" s="513"/>
      <c r="E4" s="69"/>
      <c r="J4" s="535" t="s">
        <v>115</v>
      </c>
      <c r="K4" s="536">
        <v>12.653689871478635</v>
      </c>
      <c r="L4" s="536">
        <v>-8.9942766811370927</v>
      </c>
      <c r="M4" s="536">
        <v>-0.86699961140456194</v>
      </c>
      <c r="N4" s="536">
        <v>3.0099796136707546</v>
      </c>
      <c r="O4" s="536">
        <v>19.799853972634331</v>
      </c>
      <c r="P4" s="536">
        <v>-8.2522595403796366</v>
      </c>
      <c r="Q4" s="536">
        <v>3.1842761958973176</v>
      </c>
      <c r="R4" s="536"/>
      <c r="S4" s="511"/>
      <c r="T4" s="511"/>
      <c r="U4" s="511"/>
      <c r="V4" s="511"/>
      <c r="W4" s="511"/>
      <c r="X4" s="511"/>
      <c r="Y4" s="511"/>
      <c r="Z4" s="511"/>
    </row>
    <row r="5" spans="1:26" x14ac:dyDescent="0.25">
      <c r="B5" s="78"/>
      <c r="C5" s="77"/>
      <c r="D5" s="812"/>
      <c r="E5" s="76"/>
      <c r="J5" s="535" t="s">
        <v>479</v>
      </c>
      <c r="K5" s="536"/>
      <c r="L5" s="536"/>
      <c r="M5" s="536"/>
      <c r="N5" s="536"/>
      <c r="O5" s="536"/>
      <c r="P5" s="536"/>
      <c r="Q5" s="536"/>
      <c r="R5" s="536"/>
      <c r="S5" s="511"/>
      <c r="T5" s="511"/>
      <c r="U5" s="511"/>
      <c r="V5" s="511"/>
      <c r="W5" s="511"/>
      <c r="X5" s="511"/>
      <c r="Y5" s="511"/>
      <c r="Z5" s="511"/>
    </row>
    <row r="6" spans="1:26" x14ac:dyDescent="0.25">
      <c r="J6" s="535" t="s">
        <v>480</v>
      </c>
      <c r="K6" s="536">
        <f>K4-SUM(K7:K9)</f>
        <v>9.6294633435288191</v>
      </c>
      <c r="L6" s="536">
        <f t="shared" ref="L6:Q6" si="0">L4-SUM(L7:L9)</f>
        <v>-8.2137553122644729</v>
      </c>
      <c r="M6" s="536">
        <f t="shared" si="0"/>
        <v>-0.96945231346735516</v>
      </c>
      <c r="N6" s="536">
        <f t="shared" si="0"/>
        <v>-0.10468518402304472</v>
      </c>
      <c r="O6" s="536">
        <f t="shared" si="0"/>
        <v>6.5320213554913149</v>
      </c>
      <c r="P6" s="536">
        <f t="shared" si="0"/>
        <v>3.1665389932837655</v>
      </c>
      <c r="Q6" s="536">
        <f t="shared" si="0"/>
        <v>1.8485377406671915</v>
      </c>
      <c r="R6" s="536"/>
      <c r="S6" s="511"/>
      <c r="T6" s="511"/>
      <c r="U6" s="511"/>
      <c r="V6" s="511"/>
      <c r="W6" s="511"/>
      <c r="X6" s="511"/>
      <c r="Y6" s="511"/>
      <c r="Z6" s="511"/>
    </row>
    <row r="7" spans="1:26" x14ac:dyDescent="0.25">
      <c r="J7" s="535" t="s">
        <v>481</v>
      </c>
      <c r="K7" s="536">
        <v>1.5218380291812346</v>
      </c>
      <c r="L7" s="536">
        <v>-1.5326190767943955</v>
      </c>
      <c r="M7" s="536">
        <v>0.13110702765582583</v>
      </c>
      <c r="N7" s="536">
        <v>3.7061149897842776</v>
      </c>
      <c r="O7" s="536">
        <v>12.227332626855619</v>
      </c>
      <c r="P7" s="536">
        <v>-12.338035434717904</v>
      </c>
      <c r="Q7" s="536">
        <v>-0.4171429436441797</v>
      </c>
      <c r="R7" s="536"/>
      <c r="S7" s="511"/>
      <c r="T7" s="511"/>
      <c r="U7" s="511"/>
      <c r="V7" s="511"/>
      <c r="W7" s="511"/>
      <c r="X7" s="511"/>
      <c r="Y7" s="511"/>
      <c r="Z7" s="511"/>
    </row>
    <row r="8" spans="1:26" x14ac:dyDescent="0.25">
      <c r="J8" s="535" t="s">
        <v>214</v>
      </c>
      <c r="K8" s="536">
        <v>1.5023884987685816</v>
      </c>
      <c r="L8" s="536">
        <v>0.7520977079217751</v>
      </c>
      <c r="M8" s="536">
        <v>-2.8654325593032558E-2</v>
      </c>
      <c r="N8" s="536">
        <v>-0.59145019209047844</v>
      </c>
      <c r="O8" s="536">
        <v>1.0404999902873973</v>
      </c>
      <c r="P8" s="536">
        <v>0.65247192931332643</v>
      </c>
      <c r="Q8" s="536">
        <v>-0.8197008468976672</v>
      </c>
      <c r="R8" s="536"/>
      <c r="S8" s="511"/>
      <c r="T8" s="511"/>
      <c r="U8" s="511"/>
      <c r="V8" s="511"/>
      <c r="W8" s="511"/>
      <c r="X8" s="511"/>
      <c r="Y8" s="511"/>
      <c r="Z8" s="511"/>
    </row>
    <row r="9" spans="1:26" x14ac:dyDescent="0.25">
      <c r="J9" s="511" t="s">
        <v>213</v>
      </c>
      <c r="K9" s="536"/>
      <c r="L9" s="536"/>
      <c r="M9" s="536"/>
      <c r="N9" s="536"/>
      <c r="O9" s="536"/>
      <c r="P9" s="536">
        <v>0.26676497174117514</v>
      </c>
      <c r="Q9" s="536">
        <v>2.5725822457719731</v>
      </c>
      <c r="R9" s="536"/>
      <c r="S9" s="511"/>
      <c r="T9" s="511"/>
      <c r="U9" s="511"/>
      <c r="V9" s="511"/>
      <c r="W9" s="511"/>
      <c r="X9" s="511"/>
      <c r="Y9" s="511"/>
      <c r="Z9" s="511"/>
    </row>
    <row r="10" spans="1:26" x14ac:dyDescent="0.25">
      <c r="J10" s="511"/>
      <c r="K10" s="536"/>
      <c r="L10" s="536"/>
      <c r="M10" s="536"/>
      <c r="N10" s="536"/>
      <c r="O10" s="536"/>
      <c r="P10" s="536"/>
      <c r="Q10" s="536"/>
      <c r="R10" s="536"/>
      <c r="S10" s="511"/>
      <c r="T10" s="511"/>
      <c r="U10" s="511"/>
      <c r="V10" s="511"/>
      <c r="W10" s="511"/>
      <c r="X10" s="511"/>
      <c r="Y10" s="511"/>
      <c r="Z10" s="511"/>
    </row>
    <row r="11" spans="1:26" x14ac:dyDescent="0.25"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1"/>
      <c r="U11" s="511"/>
      <c r="V11" s="511"/>
      <c r="W11" s="511"/>
      <c r="X11" s="511"/>
      <c r="Y11" s="511"/>
      <c r="Z11" s="511"/>
    </row>
    <row r="12" spans="1:26" ht="14.25" thickBot="1" x14ac:dyDescent="0.3">
      <c r="J12" s="538"/>
      <c r="K12" s="544" t="s">
        <v>471</v>
      </c>
      <c r="L12" s="544" t="s">
        <v>472</v>
      </c>
      <c r="M12" s="544" t="s">
        <v>473</v>
      </c>
      <c r="N12" s="544" t="s">
        <v>474</v>
      </c>
      <c r="O12" s="544" t="s">
        <v>1003</v>
      </c>
      <c r="P12" s="544" t="s">
        <v>1004</v>
      </c>
      <c r="Q12" s="544" t="s">
        <v>1005</v>
      </c>
      <c r="R12" s="544" t="s">
        <v>1006</v>
      </c>
      <c r="S12" s="511"/>
      <c r="T12" s="511"/>
      <c r="U12" s="511"/>
      <c r="V12" s="511"/>
      <c r="W12" s="511"/>
      <c r="X12" s="511"/>
      <c r="Y12" s="511"/>
      <c r="Z12" s="511"/>
    </row>
    <row r="13" spans="1:26" x14ac:dyDescent="0.25">
      <c r="J13" s="535" t="s">
        <v>154</v>
      </c>
      <c r="K13" s="541">
        <v>2.0669108041546211</v>
      </c>
      <c r="L13" s="541">
        <v>2.157107786443389</v>
      </c>
      <c r="M13" s="541">
        <v>1.3524746996125454</v>
      </c>
      <c r="N13" s="541">
        <v>1.2655510740669254</v>
      </c>
      <c r="O13" s="541">
        <v>1.6062531931799771</v>
      </c>
      <c r="P13" s="541">
        <v>1.7735552788967264</v>
      </c>
      <c r="Q13" s="541">
        <v>1.6937491083223404</v>
      </c>
      <c r="R13" s="541">
        <v>2.4678781084751149</v>
      </c>
      <c r="S13" s="511"/>
      <c r="T13" s="511"/>
      <c r="U13" s="511"/>
      <c r="V13" s="511"/>
      <c r="W13" s="511"/>
      <c r="X13" s="511"/>
      <c r="Y13" s="511"/>
      <c r="Z13" s="511"/>
    </row>
    <row r="14" spans="1:26" x14ac:dyDescent="0.25">
      <c r="J14" s="535" t="s">
        <v>115</v>
      </c>
      <c r="K14" s="541">
        <v>0.41894564014705427</v>
      </c>
      <c r="L14" s="541">
        <v>-0.49453708725529094</v>
      </c>
      <c r="M14" s="541">
        <v>-3.3860811415360597</v>
      </c>
      <c r="N14" s="541">
        <v>-4.2369611199885195</v>
      </c>
      <c r="O14" s="541">
        <v>0.14905867463923061</v>
      </c>
      <c r="P14" s="541">
        <v>-1.2085016404080102</v>
      </c>
      <c r="Q14" s="541">
        <v>2.2047030527999292</v>
      </c>
      <c r="R14" s="541">
        <v>1.4735826368460507</v>
      </c>
      <c r="S14" s="511"/>
      <c r="T14" s="511"/>
      <c r="U14" s="511"/>
      <c r="V14" s="511"/>
      <c r="W14" s="511"/>
      <c r="X14" s="511"/>
      <c r="Y14" s="511"/>
      <c r="Z14" s="511"/>
    </row>
    <row r="15" spans="1:26" x14ac:dyDescent="0.25">
      <c r="J15" s="535" t="s">
        <v>155</v>
      </c>
      <c r="K15" s="536">
        <f>K17-K13-K14-K16</f>
        <v>0.42639254738194465</v>
      </c>
      <c r="L15" s="536">
        <f t="shared" ref="L15:R15" si="1">L17-L13-L14-L16</f>
        <v>-0.67471228887610657</v>
      </c>
      <c r="M15" s="536">
        <f t="shared" si="1"/>
        <v>0.78665018102307194</v>
      </c>
      <c r="N15" s="536">
        <f t="shared" si="1"/>
        <v>3.4425740949849581</v>
      </c>
      <c r="O15" s="536">
        <f t="shared" si="1"/>
        <v>0.15158705348846557</v>
      </c>
      <c r="P15" s="536">
        <f t="shared" si="1"/>
        <v>2.7241952604984476</v>
      </c>
      <c r="Q15" s="536">
        <f t="shared" si="1"/>
        <v>1.0611284197967041</v>
      </c>
      <c r="R15" s="536">
        <f t="shared" si="1"/>
        <v>-3.1878698318876477</v>
      </c>
    </row>
    <row r="16" spans="1:26" ht="16.5" customHeight="1" x14ac:dyDescent="0.25">
      <c r="B16" s="943" t="s">
        <v>193</v>
      </c>
      <c r="C16" s="943"/>
      <c r="E16" s="943" t="s">
        <v>193</v>
      </c>
      <c r="F16" s="943"/>
      <c r="J16" s="535" t="s">
        <v>156</v>
      </c>
      <c r="K16" s="536">
        <v>0.76152050540741933</v>
      </c>
      <c r="L16" s="536">
        <v>2.8641194038334437</v>
      </c>
      <c r="M16" s="536">
        <v>3.9391152456530998</v>
      </c>
      <c r="N16" s="536">
        <v>2.6829670665811678</v>
      </c>
      <c r="O16" s="536">
        <v>1.0775465911641606</v>
      </c>
      <c r="P16" s="536">
        <v>0.44402356625077194</v>
      </c>
      <c r="Q16" s="536">
        <v>-1.5801216551489223</v>
      </c>
      <c r="R16" s="536">
        <v>2.7151538703069007</v>
      </c>
    </row>
    <row r="17" spans="1:18" ht="15.75" customHeight="1" x14ac:dyDescent="0.25">
      <c r="B17" s="943" t="s">
        <v>489</v>
      </c>
      <c r="C17" s="943"/>
      <c r="D17" s="127"/>
      <c r="J17" s="535" t="s">
        <v>99</v>
      </c>
      <c r="K17" s="541">
        <v>3.6737694970910395</v>
      </c>
      <c r="L17" s="541">
        <v>3.8519778141454353</v>
      </c>
      <c r="M17" s="541">
        <v>2.6921589847526572</v>
      </c>
      <c r="N17" s="541">
        <v>3.1541311156445317</v>
      </c>
      <c r="O17" s="541">
        <v>2.9844455124718339</v>
      </c>
      <c r="P17" s="541">
        <v>3.7332724652379357</v>
      </c>
      <c r="Q17" s="541">
        <v>3.3794589257700514</v>
      </c>
      <c r="R17" s="541">
        <v>3.4687447837404184</v>
      </c>
    </row>
    <row r="18" spans="1:18" ht="27" customHeight="1" thickBot="1" x14ac:dyDescent="0.3">
      <c r="A18" s="944" t="s">
        <v>490</v>
      </c>
      <c r="B18" s="944"/>
      <c r="C18" s="944"/>
      <c r="E18" s="944" t="s">
        <v>476</v>
      </c>
      <c r="F18" s="944"/>
      <c r="J18" s="511"/>
      <c r="K18" s="511"/>
      <c r="L18" s="511"/>
      <c r="M18" s="511"/>
      <c r="N18" s="511"/>
      <c r="O18" s="511"/>
      <c r="P18" s="511"/>
      <c r="Q18" s="511"/>
      <c r="R18" s="511"/>
    </row>
    <row r="21" spans="1:18" ht="14.25" thickBot="1" x14ac:dyDescent="0.3">
      <c r="J21" s="538"/>
      <c r="K21" s="543">
        <f>K3</f>
        <v>2011</v>
      </c>
      <c r="L21" s="543">
        <f t="shared" ref="L21:P21" si="2">L3</f>
        <v>2012</v>
      </c>
      <c r="M21" s="543">
        <f t="shared" si="2"/>
        <v>2013</v>
      </c>
      <c r="N21" s="543">
        <f t="shared" si="2"/>
        <v>2014</v>
      </c>
      <c r="O21" s="543">
        <f t="shared" si="2"/>
        <v>2015</v>
      </c>
      <c r="P21" s="543">
        <f t="shared" si="2"/>
        <v>2016</v>
      </c>
      <c r="Q21" s="544"/>
      <c r="R21" s="544"/>
    </row>
    <row r="22" spans="1:18" x14ac:dyDescent="0.25">
      <c r="J22" s="535" t="s">
        <v>483</v>
      </c>
      <c r="K22" s="536">
        <f>K4</f>
        <v>12.653689871478635</v>
      </c>
      <c r="L22" s="536">
        <f t="shared" ref="L22:P22" si="3">L4</f>
        <v>-8.9942766811370927</v>
      </c>
      <c r="M22" s="536">
        <f t="shared" si="3"/>
        <v>-0.86699961140456194</v>
      </c>
      <c r="N22" s="536">
        <f t="shared" si="3"/>
        <v>3.0099796136707546</v>
      </c>
      <c r="O22" s="536">
        <f t="shared" si="3"/>
        <v>19.799853972634331</v>
      </c>
      <c r="P22" s="536">
        <f t="shared" si="3"/>
        <v>-8.2522595403796366</v>
      </c>
      <c r="Q22" s="536"/>
      <c r="R22" s="536"/>
    </row>
    <row r="23" spans="1:18" x14ac:dyDescent="0.25">
      <c r="J23" s="535" t="s">
        <v>484</v>
      </c>
      <c r="K23" s="536"/>
      <c r="L23" s="536"/>
      <c r="M23" s="536"/>
      <c r="N23" s="536"/>
      <c r="O23" s="536"/>
      <c r="P23" s="536"/>
      <c r="Q23" s="536"/>
      <c r="R23" s="536"/>
    </row>
    <row r="24" spans="1:18" x14ac:dyDescent="0.25">
      <c r="J24" s="535" t="s">
        <v>485</v>
      </c>
      <c r="K24" s="536">
        <f>K6</f>
        <v>9.6294633435288191</v>
      </c>
      <c r="L24" s="536">
        <f t="shared" ref="L24:P24" si="4">L6</f>
        <v>-8.2137553122644729</v>
      </c>
      <c r="M24" s="536">
        <f t="shared" si="4"/>
        <v>-0.96945231346735516</v>
      </c>
      <c r="N24" s="536">
        <f t="shared" si="4"/>
        <v>-0.10468518402304472</v>
      </c>
      <c r="O24" s="536">
        <f t="shared" si="4"/>
        <v>6.5320213554913149</v>
      </c>
      <c r="P24" s="536">
        <f t="shared" si="4"/>
        <v>3.1665389932837655</v>
      </c>
      <c r="Q24" s="536"/>
      <c r="R24" s="536"/>
    </row>
    <row r="25" spans="1:18" x14ac:dyDescent="0.25">
      <c r="J25" s="535" t="s">
        <v>486</v>
      </c>
      <c r="K25" s="536">
        <f t="shared" ref="K25:P25" si="5">K7</f>
        <v>1.5218380291812346</v>
      </c>
      <c r="L25" s="536">
        <f t="shared" si="5"/>
        <v>-1.5326190767943955</v>
      </c>
      <c r="M25" s="536">
        <f t="shared" si="5"/>
        <v>0.13110702765582583</v>
      </c>
      <c r="N25" s="536">
        <f t="shared" si="5"/>
        <v>3.7061149897842776</v>
      </c>
      <c r="O25" s="536">
        <f t="shared" si="5"/>
        <v>12.227332626855619</v>
      </c>
      <c r="P25" s="536">
        <f t="shared" si="5"/>
        <v>-12.338035434717904</v>
      </c>
      <c r="Q25" s="536"/>
      <c r="R25" s="536"/>
    </row>
    <row r="26" spans="1:18" x14ac:dyDescent="0.25">
      <c r="J26" s="535" t="s">
        <v>214</v>
      </c>
      <c r="K26" s="536">
        <f t="shared" ref="K26:P26" si="6">K8</f>
        <v>1.5023884987685816</v>
      </c>
      <c r="L26" s="536">
        <f t="shared" si="6"/>
        <v>0.7520977079217751</v>
      </c>
      <c r="M26" s="536">
        <f t="shared" si="6"/>
        <v>-2.8654325593032558E-2</v>
      </c>
      <c r="N26" s="536">
        <f t="shared" si="6"/>
        <v>-0.59145019209047844</v>
      </c>
      <c r="O26" s="536">
        <f t="shared" si="6"/>
        <v>1.0404999902873973</v>
      </c>
      <c r="P26" s="536">
        <f t="shared" si="6"/>
        <v>0.65247192931332643</v>
      </c>
      <c r="Q26" s="536"/>
      <c r="R26" s="536"/>
    </row>
    <row r="27" spans="1:18" x14ac:dyDescent="0.25">
      <c r="J27" s="511" t="s">
        <v>213</v>
      </c>
      <c r="K27" s="536">
        <f t="shared" ref="K27:P27" si="7">K9</f>
        <v>0</v>
      </c>
      <c r="L27" s="536">
        <f t="shared" si="7"/>
        <v>0</v>
      </c>
      <c r="M27" s="536">
        <f t="shared" si="7"/>
        <v>0</v>
      </c>
      <c r="N27" s="536">
        <f t="shared" si="7"/>
        <v>0</v>
      </c>
      <c r="O27" s="536">
        <f t="shared" si="7"/>
        <v>0</v>
      </c>
      <c r="P27" s="536">
        <f t="shared" si="7"/>
        <v>0.26676497174117514</v>
      </c>
      <c r="Q27" s="536"/>
      <c r="R27" s="536"/>
    </row>
    <row r="28" spans="1:18" x14ac:dyDescent="0.25">
      <c r="J28" s="511" t="s">
        <v>482</v>
      </c>
      <c r="K28" s="536">
        <f t="shared" ref="K28:P28" si="8">K10</f>
        <v>0</v>
      </c>
      <c r="L28" s="536">
        <f t="shared" si="8"/>
        <v>0</v>
      </c>
      <c r="M28" s="536">
        <f t="shared" si="8"/>
        <v>0</v>
      </c>
      <c r="N28" s="536">
        <f t="shared" si="8"/>
        <v>0</v>
      </c>
      <c r="O28" s="536">
        <f t="shared" si="8"/>
        <v>0</v>
      </c>
      <c r="P28" s="536">
        <f t="shared" si="8"/>
        <v>0</v>
      </c>
    </row>
    <row r="29" spans="1:18" x14ac:dyDescent="0.25">
      <c r="J29" s="511"/>
    </row>
    <row r="30" spans="1:18" ht="14.25" thickBot="1" x14ac:dyDescent="0.3">
      <c r="J30" s="538"/>
      <c r="K30" s="544" t="str">
        <f>K12</f>
        <v>2016Q1</v>
      </c>
      <c r="L30" s="544" t="str">
        <f t="shared" ref="L30:R30" si="9">L12</f>
        <v>2016Q2</v>
      </c>
      <c r="M30" s="544" t="str">
        <f t="shared" si="9"/>
        <v>2016Q3</v>
      </c>
      <c r="N30" s="544" t="str">
        <f t="shared" si="9"/>
        <v>2016Q4</v>
      </c>
      <c r="O30" s="544" t="str">
        <f t="shared" si="9"/>
        <v>2017Q1</v>
      </c>
      <c r="P30" s="544" t="str">
        <f t="shared" si="9"/>
        <v>2017Q2</v>
      </c>
      <c r="Q30" s="544" t="str">
        <f t="shared" si="9"/>
        <v>2017Q3</v>
      </c>
      <c r="R30" s="544" t="str">
        <f t="shared" si="9"/>
        <v>2017Q4</v>
      </c>
    </row>
    <row r="31" spans="1:18" x14ac:dyDescent="0.25">
      <c r="B31" s="943" t="s">
        <v>406</v>
      </c>
      <c r="C31" s="943"/>
      <c r="E31" s="943" t="s">
        <v>406</v>
      </c>
      <c r="F31" s="943"/>
      <c r="J31" s="535" t="s">
        <v>261</v>
      </c>
      <c r="K31" s="541">
        <f>K13</f>
        <v>2.0669108041546211</v>
      </c>
      <c r="L31" s="541">
        <f t="shared" ref="L31:R31" si="10">L13</f>
        <v>2.157107786443389</v>
      </c>
      <c r="M31" s="541">
        <f t="shared" si="10"/>
        <v>1.3524746996125454</v>
      </c>
      <c r="N31" s="541">
        <f t="shared" si="10"/>
        <v>1.2655510740669254</v>
      </c>
      <c r="O31" s="541">
        <f t="shared" si="10"/>
        <v>1.6062531931799771</v>
      </c>
      <c r="P31" s="541">
        <f t="shared" si="10"/>
        <v>1.7735552788967264</v>
      </c>
      <c r="Q31" s="541">
        <f t="shared" si="10"/>
        <v>1.6937491083223404</v>
      </c>
      <c r="R31" s="541">
        <f t="shared" si="10"/>
        <v>2.4678781084751149</v>
      </c>
    </row>
    <row r="32" spans="1:18" x14ac:dyDescent="0.25">
      <c r="B32" s="943" t="s">
        <v>488</v>
      </c>
      <c r="C32" s="943"/>
      <c r="J32" s="535" t="s">
        <v>262</v>
      </c>
      <c r="K32" s="541">
        <f t="shared" ref="K32:R32" si="11">K14</f>
        <v>0.41894564014705427</v>
      </c>
      <c r="L32" s="541">
        <f t="shared" si="11"/>
        <v>-0.49453708725529094</v>
      </c>
      <c r="M32" s="541">
        <f t="shared" si="11"/>
        <v>-3.3860811415360597</v>
      </c>
      <c r="N32" s="541">
        <f t="shared" si="11"/>
        <v>-4.2369611199885195</v>
      </c>
      <c r="O32" s="541">
        <f t="shared" si="11"/>
        <v>0.14905867463923061</v>
      </c>
      <c r="P32" s="541">
        <f t="shared" si="11"/>
        <v>-1.2085016404080102</v>
      </c>
      <c r="Q32" s="541">
        <f t="shared" si="11"/>
        <v>2.2047030527999292</v>
      </c>
      <c r="R32" s="541">
        <f t="shared" si="11"/>
        <v>1.4735826368460507</v>
      </c>
    </row>
    <row r="33" spans="10:18" x14ac:dyDescent="0.25">
      <c r="J33" s="535" t="s">
        <v>263</v>
      </c>
      <c r="K33" s="541">
        <f t="shared" ref="K33:R33" si="12">K15</f>
        <v>0.42639254738194465</v>
      </c>
      <c r="L33" s="541">
        <f t="shared" si="12"/>
        <v>-0.67471228887610657</v>
      </c>
      <c r="M33" s="541">
        <f t="shared" si="12"/>
        <v>0.78665018102307194</v>
      </c>
      <c r="N33" s="541">
        <f t="shared" si="12"/>
        <v>3.4425740949849581</v>
      </c>
      <c r="O33" s="541">
        <f t="shared" si="12"/>
        <v>0.15158705348846557</v>
      </c>
      <c r="P33" s="541">
        <f t="shared" si="12"/>
        <v>2.7241952604984476</v>
      </c>
      <c r="Q33" s="541">
        <f t="shared" si="12"/>
        <v>1.0611284197967041</v>
      </c>
      <c r="R33" s="541">
        <f t="shared" si="12"/>
        <v>-3.1878698318876477</v>
      </c>
    </row>
    <row r="34" spans="10:18" x14ac:dyDescent="0.25">
      <c r="J34" s="535" t="s">
        <v>264</v>
      </c>
      <c r="K34" s="541">
        <f t="shared" ref="K34:R34" si="13">K16</f>
        <v>0.76152050540741933</v>
      </c>
      <c r="L34" s="541">
        <f t="shared" si="13"/>
        <v>2.8641194038334437</v>
      </c>
      <c r="M34" s="541">
        <f t="shared" si="13"/>
        <v>3.9391152456530998</v>
      </c>
      <c r="N34" s="541">
        <f t="shared" si="13"/>
        <v>2.6829670665811678</v>
      </c>
      <c r="O34" s="541">
        <f t="shared" si="13"/>
        <v>1.0775465911641606</v>
      </c>
      <c r="P34" s="541">
        <f t="shared" si="13"/>
        <v>0.44402356625077194</v>
      </c>
      <c r="Q34" s="541">
        <f t="shared" si="13"/>
        <v>-1.5801216551489223</v>
      </c>
      <c r="R34" s="541">
        <f t="shared" si="13"/>
        <v>2.7151538703069007</v>
      </c>
    </row>
    <row r="35" spans="10:18" x14ac:dyDescent="0.25">
      <c r="J35" s="535" t="s">
        <v>230</v>
      </c>
      <c r="K35" s="541">
        <f t="shared" ref="K35:R35" si="14">K17</f>
        <v>3.6737694970910395</v>
      </c>
      <c r="L35" s="541">
        <f t="shared" si="14"/>
        <v>3.8519778141454353</v>
      </c>
      <c r="M35" s="541">
        <f t="shared" si="14"/>
        <v>2.6921589847526572</v>
      </c>
      <c r="N35" s="541">
        <f t="shared" si="14"/>
        <v>3.1541311156445317</v>
      </c>
      <c r="O35" s="541">
        <f t="shared" si="14"/>
        <v>2.9844455124718339</v>
      </c>
      <c r="P35" s="541">
        <f t="shared" si="14"/>
        <v>3.7332724652379357</v>
      </c>
      <c r="Q35" s="541">
        <f t="shared" si="14"/>
        <v>3.3794589257700514</v>
      </c>
      <c r="R35" s="541">
        <f t="shared" si="14"/>
        <v>3.4687447837404184</v>
      </c>
    </row>
  </sheetData>
  <mergeCells count="10">
    <mergeCell ref="B32:C32"/>
    <mergeCell ref="B17:C17"/>
    <mergeCell ref="B31:C31"/>
    <mergeCell ref="E31:F31"/>
    <mergeCell ref="A3:C3"/>
    <mergeCell ref="E3:F3"/>
    <mergeCell ref="A18:C18"/>
    <mergeCell ref="E18:F18"/>
    <mergeCell ref="B16:C16"/>
    <mergeCell ref="E16:F16"/>
  </mergeCells>
  <pageMargins left="0.7" right="0.7" top="0.75" bottom="0.75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51"/>
  <dimension ref="B2:BA39"/>
  <sheetViews>
    <sheetView showGridLines="0" zoomScale="90" zoomScaleNormal="90" workbookViewId="0">
      <selection activeCell="L39" sqref="L39"/>
    </sheetView>
  </sheetViews>
  <sheetFormatPr defaultColWidth="9.140625" defaultRowHeight="13.5" x14ac:dyDescent="0.25"/>
  <cols>
    <col min="1" max="1" width="17" style="34" customWidth="1"/>
    <col min="2" max="16" width="9.140625" style="34"/>
    <col min="17" max="17" width="34.28515625" style="34" bestFit="1" customWidth="1"/>
    <col min="18" max="18" width="28.5703125" style="34" bestFit="1" customWidth="1"/>
    <col min="19" max="19" width="13.42578125" style="34" bestFit="1" customWidth="1"/>
    <col min="20" max="41" width="9.140625" style="34"/>
    <col min="42" max="53" width="0" style="34" hidden="1" customWidth="1"/>
    <col min="54" max="16384" width="9.140625" style="34"/>
  </cols>
  <sheetData>
    <row r="2" spans="2:53" ht="15.75" customHeight="1" x14ac:dyDescent="0.25"/>
    <row r="4" spans="2:53" x14ac:dyDescent="0.25">
      <c r="R4" s="34" t="s">
        <v>1606</v>
      </c>
      <c r="S4" s="34" t="s">
        <v>1607</v>
      </c>
    </row>
    <row r="5" spans="2:53" x14ac:dyDescent="0.25">
      <c r="R5" s="34" t="s">
        <v>1358</v>
      </c>
      <c r="S5" s="34" t="s">
        <v>1397</v>
      </c>
    </row>
    <row r="6" spans="2:53" x14ac:dyDescent="0.25">
      <c r="S6" s="34" t="s">
        <v>1608</v>
      </c>
    </row>
    <row r="7" spans="2:53" x14ac:dyDescent="0.25">
      <c r="B7" s="785" t="s">
        <v>1609</v>
      </c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297"/>
      <c r="S7" s="34" t="s">
        <v>1396</v>
      </c>
    </row>
    <row r="8" spans="2:53" x14ac:dyDescent="0.25">
      <c r="Q8" s="352" t="s">
        <v>339</v>
      </c>
      <c r="R8" s="352" t="s">
        <v>51</v>
      </c>
      <c r="S8" s="352">
        <v>411.4</v>
      </c>
    </row>
    <row r="9" spans="2:53" x14ac:dyDescent="0.25">
      <c r="Q9" s="300" t="s">
        <v>1605</v>
      </c>
      <c r="R9" s="300" t="s">
        <v>1374</v>
      </c>
      <c r="S9" s="300">
        <v>90.5</v>
      </c>
    </row>
    <row r="10" spans="2:53" x14ac:dyDescent="0.25">
      <c r="Q10" s="300" t="s">
        <v>1595</v>
      </c>
      <c r="R10" s="300" t="s">
        <v>1348</v>
      </c>
      <c r="S10" s="300">
        <v>44.2</v>
      </c>
    </row>
    <row r="11" spans="2:53" x14ac:dyDescent="0.25">
      <c r="Q11" s="300" t="s">
        <v>1596</v>
      </c>
      <c r="R11" s="300" t="s">
        <v>1375</v>
      </c>
      <c r="S11" s="300">
        <v>26.7</v>
      </c>
    </row>
    <row r="12" spans="2:53" x14ac:dyDescent="0.25">
      <c r="Q12" s="300" t="s">
        <v>1597</v>
      </c>
      <c r="R12" s="300" t="s">
        <v>1376</v>
      </c>
      <c r="S12" s="300">
        <v>13.2</v>
      </c>
      <c r="AQ12" s="34" t="s">
        <v>51</v>
      </c>
      <c r="AR12" s="34" t="s">
        <v>1374</v>
      </c>
      <c r="AS12" s="34" t="s">
        <v>1348</v>
      </c>
      <c r="AT12" s="34" t="s">
        <v>1375</v>
      </c>
      <c r="AU12" s="34" t="s">
        <v>1376</v>
      </c>
      <c r="AV12" s="34" t="s">
        <v>1377</v>
      </c>
      <c r="AW12" s="34" t="s">
        <v>1378</v>
      </c>
      <c r="AX12" s="34" t="s">
        <v>1379</v>
      </c>
      <c r="AY12" s="34" t="s">
        <v>1380</v>
      </c>
      <c r="AZ12" s="34" t="s">
        <v>1381</v>
      </c>
      <c r="BA12" s="34" t="s">
        <v>1382</v>
      </c>
    </row>
    <row r="13" spans="2:53" x14ac:dyDescent="0.25">
      <c r="Q13" s="300" t="s">
        <v>1586</v>
      </c>
      <c r="R13" s="300" t="s">
        <v>1377</v>
      </c>
      <c r="S13" s="300">
        <v>4.3</v>
      </c>
      <c r="AP13" s="34" t="s">
        <v>1383</v>
      </c>
      <c r="AQ13" s="43">
        <v>411.36500000000001</v>
      </c>
      <c r="AR13" s="43"/>
      <c r="AS13" s="43"/>
      <c r="AT13" s="43"/>
      <c r="AU13" s="43"/>
      <c r="AV13" s="43"/>
      <c r="AW13" s="43"/>
      <c r="AX13" s="43"/>
      <c r="AY13" s="43"/>
      <c r="AZ13" s="43"/>
      <c r="BA13" s="43">
        <v>0</v>
      </c>
    </row>
    <row r="14" spans="2:53" x14ac:dyDescent="0.25">
      <c r="Q14" s="300" t="s">
        <v>1587</v>
      </c>
      <c r="R14" s="300" t="s">
        <v>1378</v>
      </c>
      <c r="S14" s="300">
        <v>1.3</v>
      </c>
      <c r="AP14" s="34" t="s">
        <v>1384</v>
      </c>
      <c r="AQ14" s="43"/>
      <c r="AR14" s="43">
        <v>90.5</v>
      </c>
      <c r="AS14" s="43"/>
      <c r="AT14" s="43"/>
      <c r="AU14" s="43"/>
      <c r="AV14" s="43"/>
      <c r="AW14" s="43"/>
      <c r="AX14" s="43"/>
      <c r="AY14" s="43"/>
      <c r="AZ14" s="43"/>
      <c r="BA14" s="43"/>
    </row>
    <row r="15" spans="2:53" x14ac:dyDescent="0.25">
      <c r="Q15" s="300" t="s">
        <v>1598</v>
      </c>
      <c r="R15" s="300" t="s">
        <v>1379</v>
      </c>
      <c r="S15" s="300">
        <v>3</v>
      </c>
      <c r="AP15" s="34" t="s">
        <v>1385</v>
      </c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</row>
    <row r="16" spans="2:53" x14ac:dyDescent="0.25">
      <c r="Q16" s="300" t="s">
        <v>1599</v>
      </c>
      <c r="R16" s="300" t="s">
        <v>1380</v>
      </c>
      <c r="S16" s="300">
        <v>0.9</v>
      </c>
      <c r="AP16" s="34" t="s">
        <v>1365</v>
      </c>
      <c r="AQ16" s="43"/>
      <c r="AR16" s="43"/>
      <c r="AS16" s="43">
        <v>44.162999999999997</v>
      </c>
      <c r="AT16" s="43"/>
      <c r="AU16" s="43"/>
      <c r="AV16" s="43"/>
      <c r="AW16" s="43"/>
      <c r="AX16" s="43"/>
      <c r="AY16" s="43"/>
      <c r="AZ16" s="43"/>
      <c r="BA16" s="43"/>
    </row>
    <row r="17" spans="2:53" ht="15.75" customHeight="1" x14ac:dyDescent="0.25">
      <c r="Q17" s="300" t="s">
        <v>1600</v>
      </c>
      <c r="R17" s="300" t="s">
        <v>1381</v>
      </c>
      <c r="S17" s="300">
        <v>0.2</v>
      </c>
      <c r="AP17" s="34" t="s">
        <v>1386</v>
      </c>
      <c r="AQ17" s="43"/>
      <c r="AR17" s="43"/>
      <c r="AS17" s="43"/>
      <c r="AT17" s="43">
        <v>26.66</v>
      </c>
      <c r="AU17" s="43"/>
      <c r="AV17" s="43"/>
      <c r="AW17" s="43"/>
      <c r="AX17" s="43"/>
      <c r="AY17" s="43"/>
      <c r="AZ17" s="43"/>
      <c r="BA17" s="43"/>
    </row>
    <row r="18" spans="2:53" x14ac:dyDescent="0.25">
      <c r="Q18" s="297" t="s">
        <v>1601</v>
      </c>
      <c r="R18" s="297" t="s">
        <v>1382</v>
      </c>
      <c r="S18" s="297">
        <v>227.2</v>
      </c>
      <c r="AP18" s="34" t="s">
        <v>1387</v>
      </c>
      <c r="AQ18" s="43"/>
      <c r="AR18" s="43"/>
      <c r="AS18" s="43"/>
      <c r="AT18" s="43"/>
      <c r="AU18" s="43">
        <v>13.19</v>
      </c>
      <c r="AV18" s="43"/>
      <c r="AW18" s="43"/>
      <c r="AX18" s="43"/>
      <c r="AY18" s="43"/>
      <c r="AZ18" s="43"/>
      <c r="BA18" s="43"/>
    </row>
    <row r="19" spans="2:53" x14ac:dyDescent="0.25">
      <c r="Q19" s="155" t="s">
        <v>1602</v>
      </c>
      <c r="R19" s="155" t="s">
        <v>1392</v>
      </c>
      <c r="S19" s="300">
        <v>98.5</v>
      </c>
      <c r="AP19" s="34" t="s">
        <v>1388</v>
      </c>
      <c r="AQ19" s="43"/>
      <c r="AR19" s="43"/>
      <c r="AS19" s="43"/>
      <c r="AT19" s="43"/>
      <c r="AU19" s="43"/>
      <c r="AV19" s="43">
        <v>4.2770000000000001</v>
      </c>
      <c r="AW19" s="43"/>
      <c r="AX19" s="43"/>
      <c r="AY19" s="43"/>
      <c r="AZ19" s="43"/>
      <c r="BA19" s="43"/>
    </row>
    <row r="20" spans="2:53" x14ac:dyDescent="0.25">
      <c r="Q20" s="155" t="s">
        <v>1603</v>
      </c>
      <c r="R20" s="155" t="s">
        <v>1393</v>
      </c>
      <c r="S20" s="300">
        <v>47</v>
      </c>
      <c r="AP20" s="34" t="s">
        <v>1389</v>
      </c>
      <c r="AQ20" s="43"/>
      <c r="AR20" s="43"/>
      <c r="AS20" s="43"/>
      <c r="AT20" s="43"/>
      <c r="AU20" s="43"/>
      <c r="AV20" s="43"/>
      <c r="AW20" s="43">
        <v>1.3029999999999999</v>
      </c>
      <c r="AX20" s="43"/>
      <c r="AY20" s="43"/>
      <c r="AZ20" s="43"/>
      <c r="BA20" s="43"/>
    </row>
    <row r="21" spans="2:53" x14ac:dyDescent="0.25">
      <c r="Q21" s="826" t="s">
        <v>1604</v>
      </c>
      <c r="R21" s="826" t="s">
        <v>1394</v>
      </c>
      <c r="S21" s="297">
        <v>81.7</v>
      </c>
      <c r="AP21" s="34" t="s">
        <v>1368</v>
      </c>
      <c r="AQ21" s="43"/>
      <c r="AR21" s="43"/>
      <c r="AS21" s="43"/>
      <c r="AT21" s="43"/>
      <c r="AU21" s="43"/>
      <c r="AV21" s="43"/>
      <c r="AW21" s="43"/>
      <c r="AX21" s="43">
        <v>3</v>
      </c>
      <c r="AY21" s="43"/>
      <c r="AZ21" s="43"/>
      <c r="BA21" s="43"/>
    </row>
    <row r="22" spans="2:53" x14ac:dyDescent="0.25">
      <c r="AP22" s="34" t="s">
        <v>1390</v>
      </c>
      <c r="AQ22" s="43"/>
      <c r="AR22" s="43"/>
      <c r="AS22" s="43"/>
      <c r="AT22" s="43"/>
      <c r="AU22" s="43"/>
      <c r="AV22" s="43"/>
      <c r="AW22" s="43"/>
      <c r="AX22" s="43"/>
      <c r="AY22" s="43">
        <v>0.88600000000000001</v>
      </c>
      <c r="AZ22" s="43"/>
      <c r="BA22" s="43"/>
    </row>
    <row r="23" spans="2:53" x14ac:dyDescent="0.25">
      <c r="AP23" s="34" t="s">
        <v>1391</v>
      </c>
      <c r="AQ23" s="43"/>
      <c r="AR23" s="43"/>
      <c r="AS23" s="43"/>
      <c r="AT23" s="43"/>
      <c r="AU23" s="43"/>
      <c r="AV23" s="43"/>
      <c r="AW23" s="43"/>
      <c r="AX23" s="43"/>
      <c r="AY23" s="43"/>
      <c r="AZ23" s="43">
        <v>0.182</v>
      </c>
      <c r="BA23" s="43"/>
    </row>
    <row r="24" spans="2:53" ht="15.75" customHeight="1" x14ac:dyDescent="0.25">
      <c r="AP24" s="34" t="s">
        <v>1392</v>
      </c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>
        <f>38.5+60</f>
        <v>98.5</v>
      </c>
    </row>
    <row r="25" spans="2:53" x14ac:dyDescent="0.25">
      <c r="AP25" s="34" t="s">
        <v>1393</v>
      </c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>
        <f>35.08+11.1+9.7-8.9</f>
        <v>46.98</v>
      </c>
    </row>
    <row r="26" spans="2:53" x14ac:dyDescent="0.25">
      <c r="AP26" s="34" t="s">
        <v>1394</v>
      </c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890">
        <f>AZ27-BA24-BA25</f>
        <v>81.724000000000046</v>
      </c>
    </row>
    <row r="27" spans="2:53" x14ac:dyDescent="0.25">
      <c r="AP27" s="34" t="s">
        <v>1395</v>
      </c>
      <c r="AQ27" s="43">
        <v>0</v>
      </c>
      <c r="AR27" s="43">
        <f>AQ13-AR14-AR15</f>
        <v>320.86500000000001</v>
      </c>
      <c r="AS27" s="43">
        <f t="shared" ref="AS27:AZ27" si="0">AR27-SUM(AS13:AS24)</f>
        <v>276.702</v>
      </c>
      <c r="AT27" s="43">
        <f t="shared" si="0"/>
        <v>250.042</v>
      </c>
      <c r="AU27" s="43">
        <f t="shared" si="0"/>
        <v>236.852</v>
      </c>
      <c r="AV27" s="43">
        <f t="shared" si="0"/>
        <v>232.57500000000002</v>
      </c>
      <c r="AW27" s="43">
        <f t="shared" si="0"/>
        <v>231.27200000000002</v>
      </c>
      <c r="AX27" s="43">
        <f t="shared" si="0"/>
        <v>228.27200000000002</v>
      </c>
      <c r="AY27" s="43">
        <f t="shared" si="0"/>
        <v>227.38600000000002</v>
      </c>
      <c r="AZ27" s="43">
        <f t="shared" si="0"/>
        <v>227.20400000000004</v>
      </c>
      <c r="BA27" s="43"/>
    </row>
    <row r="32" spans="2:53" x14ac:dyDescent="0.25"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</row>
    <row r="33" spans="12:14" x14ac:dyDescent="0.25">
      <c r="L33" s="1034" t="s">
        <v>19</v>
      </c>
      <c r="M33" s="1034"/>
      <c r="N33" s="1034"/>
    </row>
    <row r="39" spans="12:14" ht="15.75" customHeight="1" x14ac:dyDescent="0.25"/>
  </sheetData>
  <mergeCells count="1">
    <mergeCell ref="L33:N3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2"/>
  <dimension ref="B2:E37"/>
  <sheetViews>
    <sheetView showGridLines="0" zoomScale="90" zoomScaleNormal="90" workbookViewId="0">
      <selection activeCell="B18" sqref="B18"/>
    </sheetView>
  </sheetViews>
  <sheetFormatPr defaultColWidth="9.140625" defaultRowHeight="13.5" x14ac:dyDescent="0.25"/>
  <cols>
    <col min="1" max="1" width="17" style="34" customWidth="1"/>
    <col min="2" max="2" width="47" style="34" bestFit="1" customWidth="1"/>
    <col min="3" max="3" width="14.7109375" style="34" bestFit="1" customWidth="1"/>
    <col min="4" max="4" width="18.28515625" style="34" bestFit="1" customWidth="1"/>
    <col min="5" max="5" width="21.85546875" style="34" bestFit="1" customWidth="1"/>
    <col min="6" max="16384" width="9.140625" style="34"/>
  </cols>
  <sheetData>
    <row r="2" spans="2:5" ht="15.75" customHeight="1" x14ac:dyDescent="0.25"/>
    <row r="3" spans="2:5" ht="14.25" thickBot="1" x14ac:dyDescent="0.3">
      <c r="B3" s="785" t="s">
        <v>1398</v>
      </c>
    </row>
    <row r="4" spans="2:5" ht="13.5" customHeight="1" thickBot="1" x14ac:dyDescent="0.3">
      <c r="B4" s="827" t="s">
        <v>1399</v>
      </c>
      <c r="C4" s="827" t="s">
        <v>1400</v>
      </c>
      <c r="D4" s="828" t="s">
        <v>1401</v>
      </c>
      <c r="E4" s="828" t="s">
        <v>1402</v>
      </c>
    </row>
    <row r="5" spans="2:5" ht="13.5" customHeight="1" x14ac:dyDescent="0.25">
      <c r="B5" s="17" t="s">
        <v>1403</v>
      </c>
      <c r="C5" s="829">
        <v>14009</v>
      </c>
      <c r="D5" s="830">
        <v>233</v>
      </c>
      <c r="E5" s="830">
        <v>374</v>
      </c>
    </row>
    <row r="6" spans="2:5" ht="13.5" customHeight="1" x14ac:dyDescent="0.25">
      <c r="B6" s="831" t="s">
        <v>1404</v>
      </c>
      <c r="C6" s="829">
        <v>13446</v>
      </c>
      <c r="D6" s="830">
        <v>167</v>
      </c>
      <c r="E6" s="830">
        <v>278</v>
      </c>
    </row>
    <row r="7" spans="2:5" ht="13.5" customHeight="1" x14ac:dyDescent="0.25">
      <c r="B7" s="831" t="s">
        <v>1405</v>
      </c>
      <c r="C7" s="829">
        <v>6028</v>
      </c>
      <c r="D7" s="830">
        <v>91</v>
      </c>
      <c r="E7" s="830">
        <v>248</v>
      </c>
    </row>
    <row r="8" spans="2:5" ht="13.5" customHeight="1" x14ac:dyDescent="0.25">
      <c r="B8" s="831" t="s">
        <v>1406</v>
      </c>
      <c r="C8" s="829">
        <v>5924</v>
      </c>
      <c r="D8" s="830">
        <v>102</v>
      </c>
      <c r="E8" s="830">
        <v>281</v>
      </c>
    </row>
    <row r="9" spans="2:5" ht="13.5" customHeight="1" x14ac:dyDescent="0.25">
      <c r="B9" s="17" t="s">
        <v>1407</v>
      </c>
      <c r="C9" s="832">
        <v>5094</v>
      </c>
      <c r="D9" s="833">
        <v>82</v>
      </c>
      <c r="E9" s="833">
        <v>125</v>
      </c>
    </row>
    <row r="10" spans="2:5" ht="13.5" customHeight="1" x14ac:dyDescent="0.25">
      <c r="B10" s="831" t="s">
        <v>1408</v>
      </c>
      <c r="C10" s="832">
        <v>3528</v>
      </c>
      <c r="D10" s="833">
        <v>71</v>
      </c>
      <c r="E10" s="833">
        <v>205</v>
      </c>
    </row>
    <row r="11" spans="2:5" ht="13.5" customHeight="1" x14ac:dyDescent="0.25">
      <c r="B11" s="831" t="s">
        <v>1409</v>
      </c>
      <c r="C11" s="832">
        <v>3317</v>
      </c>
      <c r="D11" s="833">
        <v>53</v>
      </c>
      <c r="E11" s="833">
        <v>89</v>
      </c>
    </row>
    <row r="12" spans="2:5" ht="13.5" customHeight="1" x14ac:dyDescent="0.25">
      <c r="B12" s="831" t="s">
        <v>1410</v>
      </c>
      <c r="C12" s="832">
        <v>2075</v>
      </c>
      <c r="D12" s="833">
        <v>46</v>
      </c>
      <c r="E12" s="833">
        <v>86</v>
      </c>
    </row>
    <row r="13" spans="2:5" ht="13.5" customHeight="1" x14ac:dyDescent="0.25">
      <c r="B13" s="831" t="s">
        <v>1411</v>
      </c>
      <c r="C13" s="832">
        <v>1487</v>
      </c>
      <c r="D13" s="833">
        <v>36</v>
      </c>
      <c r="E13" s="833">
        <v>197</v>
      </c>
    </row>
    <row r="14" spans="2:5" ht="13.5" customHeight="1" thickBot="1" x14ac:dyDescent="0.3">
      <c r="B14" s="834" t="s">
        <v>1412</v>
      </c>
      <c r="C14" s="835">
        <v>1359</v>
      </c>
      <c r="D14" s="836">
        <v>30</v>
      </c>
      <c r="E14" s="836">
        <v>116</v>
      </c>
    </row>
    <row r="15" spans="2:5" ht="13.5" customHeight="1" x14ac:dyDescent="0.25">
      <c r="B15" s="831"/>
      <c r="C15" s="830"/>
      <c r="D15" s="833"/>
      <c r="E15" s="837" t="s">
        <v>1413</v>
      </c>
    </row>
    <row r="16" spans="2:5" ht="13.5" customHeight="1" x14ac:dyDescent="0.25"/>
    <row r="17" spans="2:5" ht="13.5" customHeight="1" x14ac:dyDescent="0.25"/>
    <row r="18" spans="2:5" ht="13.5" customHeight="1" thickBot="1" x14ac:dyDescent="0.3">
      <c r="B18" s="785" t="s">
        <v>1570</v>
      </c>
    </row>
    <row r="19" spans="2:5" ht="27.75" customHeight="1" thickBot="1" x14ac:dyDescent="0.3">
      <c r="B19" s="827" t="s">
        <v>1566</v>
      </c>
      <c r="C19" s="827" t="s">
        <v>1567</v>
      </c>
      <c r="D19" s="828" t="s">
        <v>1568</v>
      </c>
      <c r="E19" s="828" t="s">
        <v>1569</v>
      </c>
    </row>
    <row r="20" spans="2:5" x14ac:dyDescent="0.25">
      <c r="B20" s="17" t="s">
        <v>1557</v>
      </c>
      <c r="C20" s="829">
        <v>14009</v>
      </c>
      <c r="D20" s="830">
        <v>233</v>
      </c>
      <c r="E20" s="830">
        <v>374</v>
      </c>
    </row>
    <row r="21" spans="2:5" x14ac:dyDescent="0.25">
      <c r="B21" s="831" t="s">
        <v>1558</v>
      </c>
      <c r="C21" s="829">
        <v>13446</v>
      </c>
      <c r="D21" s="830">
        <v>167</v>
      </c>
      <c r="E21" s="830">
        <v>278</v>
      </c>
    </row>
    <row r="22" spans="2:5" ht="15.75" customHeight="1" x14ac:dyDescent="0.25">
      <c r="B22" s="831" t="s">
        <v>1559</v>
      </c>
      <c r="C22" s="829">
        <v>6028</v>
      </c>
      <c r="D22" s="830">
        <v>91</v>
      </c>
      <c r="E22" s="830">
        <v>248</v>
      </c>
    </row>
    <row r="23" spans="2:5" x14ac:dyDescent="0.25">
      <c r="B23" s="831" t="s">
        <v>1406</v>
      </c>
      <c r="C23" s="829">
        <v>5924</v>
      </c>
      <c r="D23" s="830">
        <v>102</v>
      </c>
      <c r="E23" s="830">
        <v>281</v>
      </c>
    </row>
    <row r="24" spans="2:5" x14ac:dyDescent="0.25">
      <c r="B24" s="17" t="s">
        <v>1560</v>
      </c>
      <c r="C24" s="832">
        <v>5094</v>
      </c>
      <c r="D24" s="833">
        <v>82</v>
      </c>
      <c r="E24" s="833">
        <v>125</v>
      </c>
    </row>
    <row r="25" spans="2:5" x14ac:dyDescent="0.25">
      <c r="B25" s="831" t="s">
        <v>1561</v>
      </c>
      <c r="C25" s="832">
        <v>3528</v>
      </c>
      <c r="D25" s="833">
        <v>71</v>
      </c>
      <c r="E25" s="833">
        <v>205</v>
      </c>
    </row>
    <row r="26" spans="2:5" x14ac:dyDescent="0.25">
      <c r="B26" s="831" t="s">
        <v>1409</v>
      </c>
      <c r="C26" s="832">
        <v>3317</v>
      </c>
      <c r="D26" s="833">
        <v>53</v>
      </c>
      <c r="E26" s="833">
        <v>89</v>
      </c>
    </row>
    <row r="27" spans="2:5" x14ac:dyDescent="0.25">
      <c r="B27" s="831" t="s">
        <v>1562</v>
      </c>
      <c r="C27" s="832">
        <v>2075</v>
      </c>
      <c r="D27" s="833">
        <v>46</v>
      </c>
      <c r="E27" s="833">
        <v>86</v>
      </c>
    </row>
    <row r="28" spans="2:5" x14ac:dyDescent="0.25">
      <c r="B28" s="831" t="s">
        <v>1563</v>
      </c>
      <c r="C28" s="832">
        <v>1487</v>
      </c>
      <c r="D28" s="833">
        <v>36</v>
      </c>
      <c r="E28" s="833">
        <v>197</v>
      </c>
    </row>
    <row r="29" spans="2:5" ht="14.25" thickBot="1" x14ac:dyDescent="0.3">
      <c r="B29" s="834" t="s">
        <v>1564</v>
      </c>
      <c r="C29" s="835">
        <v>1359</v>
      </c>
      <c r="D29" s="836">
        <v>30</v>
      </c>
      <c r="E29" s="836">
        <v>116</v>
      </c>
    </row>
    <row r="30" spans="2:5" x14ac:dyDescent="0.25">
      <c r="B30" s="831"/>
      <c r="C30" s="830"/>
      <c r="D30" s="833"/>
      <c r="E30" s="837" t="s">
        <v>1565</v>
      </c>
    </row>
    <row r="37" ht="15.75" customHeight="1" x14ac:dyDescent="0.25"/>
  </sheetData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3"/>
  <dimension ref="B2:S39"/>
  <sheetViews>
    <sheetView showGridLines="0" zoomScale="90" zoomScaleNormal="90" workbookViewId="0">
      <selection activeCell="C25" sqref="C25"/>
    </sheetView>
  </sheetViews>
  <sheetFormatPr defaultColWidth="9.140625" defaultRowHeight="13.5" x14ac:dyDescent="0.25"/>
  <cols>
    <col min="1" max="1" width="17" style="34" customWidth="1"/>
    <col min="2" max="12" width="9.140625" style="34"/>
    <col min="13" max="13" width="14" style="34" customWidth="1"/>
    <col min="14" max="14" width="9.140625" style="34"/>
    <col min="15" max="15" width="23.28515625" style="34" customWidth="1"/>
    <col min="16" max="16" width="23.5703125" style="34" bestFit="1" customWidth="1"/>
    <col min="17" max="17" width="34.140625" style="34" bestFit="1" customWidth="1"/>
    <col min="18" max="18" width="37" style="34" bestFit="1" customWidth="1"/>
    <col min="19" max="19" width="23.5703125" style="34" bestFit="1" customWidth="1"/>
    <col min="20" max="16384" width="9.140625" style="34"/>
  </cols>
  <sheetData>
    <row r="2" spans="2:19" ht="15.75" customHeight="1" x14ac:dyDescent="0.25"/>
    <row r="4" spans="2:19" x14ac:dyDescent="0.25">
      <c r="B4" s="785" t="s">
        <v>1610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</row>
    <row r="8" spans="2:19" x14ac:dyDescent="0.25">
      <c r="O8" s="891"/>
      <c r="P8" s="891" t="s">
        <v>1763</v>
      </c>
      <c r="Q8" s="891" t="s">
        <v>1764</v>
      </c>
      <c r="R8" s="891" t="s">
        <v>1765</v>
      </c>
      <c r="S8" s="891" t="s">
        <v>1766</v>
      </c>
    </row>
    <row r="9" spans="2:19" x14ac:dyDescent="0.25">
      <c r="O9" s="34" t="s">
        <v>1761</v>
      </c>
      <c r="P9" s="34">
        <v>200</v>
      </c>
      <c r="Q9" s="34">
        <v>35</v>
      </c>
      <c r="R9" s="34">
        <v>79</v>
      </c>
      <c r="S9" s="34">
        <v>314</v>
      </c>
    </row>
    <row r="10" spans="2:19" x14ac:dyDescent="0.25">
      <c r="O10" s="297" t="s">
        <v>1762</v>
      </c>
      <c r="P10" s="297">
        <v>189</v>
      </c>
      <c r="Q10" s="297"/>
      <c r="R10" s="297">
        <v>33</v>
      </c>
      <c r="S10" s="297">
        <v>222</v>
      </c>
    </row>
    <row r="17" spans="2:13" ht="15.75" customHeight="1" x14ac:dyDescent="0.25"/>
    <row r="20" spans="2:13" x14ac:dyDescent="0.25"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</row>
    <row r="21" spans="2:13" ht="15" customHeight="1" x14ac:dyDescent="0.25">
      <c r="B21" s="130" t="s">
        <v>1415</v>
      </c>
      <c r="K21" s="1034" t="s">
        <v>1611</v>
      </c>
      <c r="L21" s="1034"/>
      <c r="M21" s="1034"/>
    </row>
    <row r="22" spans="2:13" x14ac:dyDescent="0.25">
      <c r="B22" s="130" t="s">
        <v>1414</v>
      </c>
      <c r="K22" s="999" t="s">
        <v>1612</v>
      </c>
      <c r="L22" s="999"/>
      <c r="M22" s="999"/>
    </row>
    <row r="23" spans="2:13" x14ac:dyDescent="0.25">
      <c r="B23" s="130" t="s">
        <v>1416</v>
      </c>
    </row>
    <row r="24" spans="2:13" ht="15.75" customHeight="1" x14ac:dyDescent="0.25"/>
    <row r="39" ht="15.75" customHeight="1" x14ac:dyDescent="0.25"/>
  </sheetData>
  <mergeCells count="2">
    <mergeCell ref="K21:M21"/>
    <mergeCell ref="K22:M22"/>
  </mergeCells>
  <pageMargins left="0.7" right="0.7" top="0.75" bottom="0.75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5"/>
  <dimension ref="A2:AV35"/>
  <sheetViews>
    <sheetView showGridLines="0" zoomScale="90" zoomScaleNormal="90" workbookViewId="0">
      <selection activeCell="A28" sqref="A28"/>
    </sheetView>
  </sheetViews>
  <sheetFormatPr defaultColWidth="9.140625" defaultRowHeight="13.5" x14ac:dyDescent="0.25"/>
  <cols>
    <col min="1" max="11" width="9.140625" style="417"/>
    <col min="12" max="29" width="9.140625" style="380"/>
    <col min="30" max="30" width="5.28515625" style="380" bestFit="1" customWidth="1"/>
    <col min="31" max="31" width="9.140625" style="380"/>
    <col min="32" max="32" width="7.140625" style="380" bestFit="1" customWidth="1"/>
    <col min="33" max="33" width="43.85546875" style="380" customWidth="1"/>
    <col min="34" max="34" width="11.85546875" style="380" customWidth="1"/>
    <col min="35" max="36" width="9.140625" style="380"/>
    <col min="37" max="37" width="16.28515625" style="380" bestFit="1" customWidth="1"/>
    <col min="38" max="48" width="9.140625" style="380"/>
    <col min="49" max="16384" width="9.140625" style="417"/>
  </cols>
  <sheetData>
    <row r="2" spans="1:37" x14ac:dyDescent="0.25">
      <c r="L2" s="379" t="s">
        <v>878</v>
      </c>
      <c r="M2" s="300"/>
      <c r="N2" s="300"/>
      <c r="O2" s="300"/>
      <c r="P2" s="300"/>
      <c r="Q2" s="300"/>
      <c r="R2" s="300"/>
      <c r="S2" s="300"/>
      <c r="T2" s="300"/>
      <c r="U2" s="300"/>
      <c r="V2" s="379" t="s">
        <v>879</v>
      </c>
      <c r="W2" s="300"/>
      <c r="X2" s="300"/>
      <c r="Y2" s="300"/>
      <c r="Z2" s="300"/>
      <c r="AA2" s="300"/>
      <c r="AB2" s="300"/>
      <c r="AC2" s="300"/>
      <c r="AD2" s="300"/>
    </row>
    <row r="3" spans="1:37" x14ac:dyDescent="0.25">
      <c r="A3" s="371" t="s">
        <v>1291</v>
      </c>
      <c r="B3" s="418"/>
      <c r="C3" s="418"/>
      <c r="D3" s="418"/>
      <c r="E3" s="418"/>
      <c r="F3" s="418"/>
      <c r="G3" s="418"/>
      <c r="H3" s="418"/>
      <c r="L3" s="379" t="s">
        <v>880</v>
      </c>
      <c r="M3" s="381" t="s">
        <v>875</v>
      </c>
      <c r="N3" s="381" t="s">
        <v>876</v>
      </c>
      <c r="O3" s="381" t="s">
        <v>877</v>
      </c>
      <c r="P3" s="382">
        <v>2013</v>
      </c>
      <c r="Q3" s="382">
        <v>2014</v>
      </c>
      <c r="R3" s="382">
        <v>2015</v>
      </c>
      <c r="S3" s="382">
        <v>2016</v>
      </c>
      <c r="T3" s="382" t="s">
        <v>6</v>
      </c>
      <c r="U3" s="383"/>
      <c r="V3" s="379" t="s">
        <v>880</v>
      </c>
      <c r="W3" s="381" t="s">
        <v>875</v>
      </c>
      <c r="X3" s="381" t="s">
        <v>876</v>
      </c>
      <c r="Y3" s="381" t="s">
        <v>877</v>
      </c>
      <c r="Z3" s="382">
        <v>2013</v>
      </c>
      <c r="AA3" s="382">
        <v>2014</v>
      </c>
      <c r="AB3" s="382">
        <v>2015</v>
      </c>
      <c r="AC3" s="382">
        <v>2016</v>
      </c>
      <c r="AD3" s="382" t="s">
        <v>6</v>
      </c>
      <c r="AF3" s="382" t="s">
        <v>880</v>
      </c>
      <c r="AG3" s="382" t="s">
        <v>834</v>
      </c>
      <c r="AH3" s="382"/>
      <c r="AI3" s="382">
        <v>2015</v>
      </c>
      <c r="AJ3" s="382">
        <v>2016</v>
      </c>
      <c r="AK3" s="382" t="s">
        <v>6</v>
      </c>
    </row>
    <row r="4" spans="1:37" x14ac:dyDescent="0.25">
      <c r="L4" s="384" t="s">
        <v>836</v>
      </c>
      <c r="M4" s="385">
        <v>1.2020191470880004</v>
      </c>
      <c r="N4" s="385">
        <v>1.2020191470880004</v>
      </c>
      <c r="O4" s="385">
        <v>1.4028954411180006</v>
      </c>
      <c r="P4" s="386">
        <v>0.69285277541809553</v>
      </c>
      <c r="Q4" s="386">
        <v>0.69285277541809553</v>
      </c>
      <c r="R4" s="386">
        <v>0.88333333333333341</v>
      </c>
      <c r="S4" s="386">
        <v>0.88333333333333341</v>
      </c>
      <c r="T4" s="387">
        <f>$S$33</f>
        <v>0.68214285714285716</v>
      </c>
      <c r="U4" s="387"/>
      <c r="V4" s="384" t="s">
        <v>838</v>
      </c>
      <c r="W4" s="385">
        <v>1.676461</v>
      </c>
      <c r="X4" s="385">
        <v>3.3168440000000001</v>
      </c>
      <c r="Y4" s="385">
        <v>3.5249899999999998</v>
      </c>
      <c r="Z4" s="386">
        <v>2.0338029999999998</v>
      </c>
      <c r="AA4" s="386">
        <v>3.8686319999999998</v>
      </c>
      <c r="AB4" s="386">
        <v>3.5808339999999999</v>
      </c>
      <c r="AC4" s="386">
        <v>3.5808339999999999</v>
      </c>
      <c r="AD4" s="387">
        <f>$AC$33</f>
        <v>1.7564942499999998</v>
      </c>
      <c r="AF4" s="384" t="s">
        <v>836</v>
      </c>
      <c r="AG4" s="388" t="s">
        <v>837</v>
      </c>
      <c r="AH4" s="384" t="s">
        <v>1091</v>
      </c>
      <c r="AI4" s="389">
        <v>77.142857142857139</v>
      </c>
      <c r="AJ4" s="389">
        <v>77.142857142857139</v>
      </c>
      <c r="AK4" s="389">
        <f t="shared" ref="AK4:AK33" si="0">$AJ$35</f>
        <v>47.470238095238088</v>
      </c>
    </row>
    <row r="5" spans="1:37" x14ac:dyDescent="0.25">
      <c r="L5" s="384" t="s">
        <v>840</v>
      </c>
      <c r="M5" s="385">
        <v>2.0000000028479996</v>
      </c>
      <c r="N5" s="385">
        <v>2.0000000028479996</v>
      </c>
      <c r="O5" s="385">
        <v>2.0000000028479996</v>
      </c>
      <c r="P5" s="386">
        <v>0.70999999898896027</v>
      </c>
      <c r="Q5" s="386">
        <v>0.70999999898896027</v>
      </c>
      <c r="R5" s="386">
        <v>0.8666666666666667</v>
      </c>
      <c r="S5" s="386">
        <v>0.8666666666666667</v>
      </c>
      <c r="T5" s="387">
        <f t="shared" ref="T5:T31" si="1">$S$33</f>
        <v>0.68214285714285716</v>
      </c>
      <c r="U5" s="387"/>
      <c r="V5" s="384" t="s">
        <v>801</v>
      </c>
      <c r="W5" s="385">
        <v>8.7706999999999993E-2</v>
      </c>
      <c r="X5" s="385">
        <v>2.9469379999999998</v>
      </c>
      <c r="Y5" s="385">
        <v>2.9742950000000001</v>
      </c>
      <c r="Z5" s="386">
        <v>0.26050099999999998</v>
      </c>
      <c r="AA5" s="386">
        <v>3.4966599999999999</v>
      </c>
      <c r="AB5" s="386">
        <v>3.5126439999999999</v>
      </c>
      <c r="AC5" s="386">
        <v>3.3709030000000002</v>
      </c>
      <c r="AD5" s="387">
        <f t="shared" ref="AD5:AD31" si="2">$AC$33</f>
        <v>1.7564942499999998</v>
      </c>
      <c r="AF5" s="384" t="s">
        <v>808</v>
      </c>
      <c r="AG5" s="388" t="s">
        <v>835</v>
      </c>
      <c r="AH5" s="384" t="s">
        <v>1072</v>
      </c>
      <c r="AI5" s="389">
        <v>76.428571428571431</v>
      </c>
      <c r="AJ5" s="389">
        <v>76.428571428571431</v>
      </c>
      <c r="AK5" s="389">
        <f t="shared" si="0"/>
        <v>47.470238095238088</v>
      </c>
    </row>
    <row r="6" spans="1:37" x14ac:dyDescent="0.25">
      <c r="L6" s="384" t="s">
        <v>808</v>
      </c>
      <c r="M6" s="385">
        <v>1.7980762733680005</v>
      </c>
      <c r="N6" s="385">
        <v>1.7980762733680005</v>
      </c>
      <c r="O6" s="385">
        <v>1.7980762733680005</v>
      </c>
      <c r="P6" s="386">
        <v>0.84089869956842977</v>
      </c>
      <c r="Q6" s="386">
        <v>0.84089869956842977</v>
      </c>
      <c r="R6" s="386">
        <v>0.83333333333333348</v>
      </c>
      <c r="S6" s="386">
        <v>0.83333333333333348</v>
      </c>
      <c r="T6" s="387">
        <f t="shared" si="1"/>
        <v>0.68214285714285716</v>
      </c>
      <c r="U6" s="387"/>
      <c r="V6" s="384" t="s">
        <v>851</v>
      </c>
      <c r="W6" s="385">
        <v>2.633168</v>
      </c>
      <c r="X6" s="385">
        <v>2.633168</v>
      </c>
      <c r="Y6" s="385">
        <v>2.633168</v>
      </c>
      <c r="Z6" s="386">
        <v>2.895432</v>
      </c>
      <c r="AA6" s="386">
        <v>2.895432</v>
      </c>
      <c r="AB6" s="386">
        <v>2.88957</v>
      </c>
      <c r="AC6" s="386">
        <v>2.88957</v>
      </c>
      <c r="AD6" s="387">
        <f t="shared" si="2"/>
        <v>1.7564942499999998</v>
      </c>
      <c r="AF6" s="384" t="s">
        <v>801</v>
      </c>
      <c r="AG6" s="388" t="s">
        <v>847</v>
      </c>
      <c r="AH6" s="384" t="s">
        <v>1079</v>
      </c>
      <c r="AI6" s="389">
        <v>74.285714285714278</v>
      </c>
      <c r="AJ6" s="389">
        <v>74.285714285714278</v>
      </c>
      <c r="AK6" s="389">
        <f t="shared" si="0"/>
        <v>47.470238095238088</v>
      </c>
    </row>
    <row r="7" spans="1:37" x14ac:dyDescent="0.25">
      <c r="L7" s="384" t="s">
        <v>799</v>
      </c>
      <c r="M7" s="385">
        <v>2.0000000028479996</v>
      </c>
      <c r="N7" s="385">
        <v>2.0000000028479996</v>
      </c>
      <c r="O7" s="385">
        <v>2.0000000028479996</v>
      </c>
      <c r="P7" s="386">
        <v>0.94999999864720031</v>
      </c>
      <c r="Q7" s="386">
        <v>0.94999999864720031</v>
      </c>
      <c r="R7" s="386">
        <v>0.80000000000000016</v>
      </c>
      <c r="S7" s="386">
        <v>0.80000000000000016</v>
      </c>
      <c r="T7" s="387">
        <f t="shared" si="1"/>
        <v>0.68214285714285716</v>
      </c>
      <c r="U7" s="387"/>
      <c r="V7" s="384" t="s">
        <v>861</v>
      </c>
      <c r="W7" s="385">
        <v>0.49024899999999999</v>
      </c>
      <c r="X7" s="385">
        <v>0.49024899999999999</v>
      </c>
      <c r="Y7" s="385">
        <v>3.0250599999999999</v>
      </c>
      <c r="Z7" s="386">
        <v>0.53213500000000002</v>
      </c>
      <c r="AA7" s="386">
        <v>0.53213500000000002</v>
      </c>
      <c r="AB7" s="386">
        <v>2.1738119999999999</v>
      </c>
      <c r="AC7" s="386">
        <v>2.7742200000000001</v>
      </c>
      <c r="AD7" s="387">
        <f t="shared" si="2"/>
        <v>1.7564942499999998</v>
      </c>
      <c r="AF7" s="384" t="s">
        <v>845</v>
      </c>
      <c r="AG7" s="388" t="s">
        <v>839</v>
      </c>
      <c r="AH7" s="384" t="s">
        <v>1088</v>
      </c>
      <c r="AI7" s="389">
        <v>69.285714285714278</v>
      </c>
      <c r="AJ7" s="389">
        <v>69.285714285714278</v>
      </c>
      <c r="AK7" s="389">
        <f t="shared" si="0"/>
        <v>47.470238095238088</v>
      </c>
    </row>
    <row r="8" spans="1:37" x14ac:dyDescent="0.25">
      <c r="L8" s="384" t="s">
        <v>804</v>
      </c>
      <c r="M8" s="385">
        <v>1.6026285640880003</v>
      </c>
      <c r="N8" s="385">
        <v>1.8002668798780004</v>
      </c>
      <c r="O8" s="385">
        <v>1.8002668798780004</v>
      </c>
      <c r="P8" s="386">
        <v>0.71100569271526159</v>
      </c>
      <c r="Q8" s="386">
        <v>0.79988140430466925</v>
      </c>
      <c r="R8" s="386">
        <v>0.8</v>
      </c>
      <c r="S8" s="386">
        <v>0.8</v>
      </c>
      <c r="T8" s="387">
        <f t="shared" si="1"/>
        <v>0.68214285714285716</v>
      </c>
      <c r="U8" s="387"/>
      <c r="V8" s="384" t="s">
        <v>737</v>
      </c>
      <c r="W8" s="385">
        <v>1.9462699999999999</v>
      </c>
      <c r="X8" s="385">
        <v>2.7003379999999999</v>
      </c>
      <c r="Y8" s="385">
        <v>2.7003379999999999</v>
      </c>
      <c r="Z8" s="386">
        <v>1.810567</v>
      </c>
      <c r="AA8" s="386">
        <v>2.5211709999999998</v>
      </c>
      <c r="AB8" s="386">
        <v>2.6138349999999999</v>
      </c>
      <c r="AC8" s="386">
        <v>2.7365210000000002</v>
      </c>
      <c r="AD8" s="387">
        <f t="shared" si="2"/>
        <v>1.7564942499999998</v>
      </c>
      <c r="AF8" s="384" t="s">
        <v>802</v>
      </c>
      <c r="AG8" s="388" t="s">
        <v>844</v>
      </c>
      <c r="AH8" s="384" t="s">
        <v>1087</v>
      </c>
      <c r="AI8" s="389">
        <v>66.428571428571431</v>
      </c>
      <c r="AJ8" s="389">
        <v>66.428571428571431</v>
      </c>
      <c r="AK8" s="389">
        <f t="shared" si="0"/>
        <v>47.470238095238088</v>
      </c>
    </row>
    <row r="9" spans="1:37" x14ac:dyDescent="0.25">
      <c r="L9" s="384" t="s">
        <v>801</v>
      </c>
      <c r="M9" s="385">
        <v>1.6004379575780003</v>
      </c>
      <c r="N9" s="385">
        <v>1.6004379575780003</v>
      </c>
      <c r="O9" s="385">
        <v>1.6004379575780003</v>
      </c>
      <c r="P9" s="386">
        <v>0.78978381762005712</v>
      </c>
      <c r="Q9" s="386">
        <v>0.78978381762005712</v>
      </c>
      <c r="R9" s="386">
        <v>0.78333333333333344</v>
      </c>
      <c r="S9" s="386">
        <v>0.78333333333333344</v>
      </c>
      <c r="T9" s="387">
        <f t="shared" si="1"/>
        <v>0.68214285714285716</v>
      </c>
      <c r="U9" s="387"/>
      <c r="V9" s="384" t="s">
        <v>802</v>
      </c>
      <c r="W9" s="385">
        <v>1.4409879999999999</v>
      </c>
      <c r="X9" s="385">
        <v>1.5697749999999999</v>
      </c>
      <c r="Y9" s="385">
        <v>2.546468</v>
      </c>
      <c r="Z9" s="386">
        <v>1.3711850000000001</v>
      </c>
      <c r="AA9" s="386">
        <v>1.494272</v>
      </c>
      <c r="AB9" s="386">
        <v>2.3604560000000001</v>
      </c>
      <c r="AC9" s="386">
        <v>2.5371990000000002</v>
      </c>
      <c r="AD9" s="387">
        <f t="shared" si="2"/>
        <v>1.7564942499999998</v>
      </c>
      <c r="AF9" s="384" t="s">
        <v>842</v>
      </c>
      <c r="AG9" s="388" t="s">
        <v>843</v>
      </c>
      <c r="AH9" s="384" t="s">
        <v>1083</v>
      </c>
      <c r="AI9" s="389">
        <v>65.714285714285722</v>
      </c>
      <c r="AJ9" s="389">
        <v>65.714285714285722</v>
      </c>
      <c r="AK9" s="389">
        <f t="shared" si="0"/>
        <v>47.470238095238088</v>
      </c>
    </row>
    <row r="10" spans="1:37" x14ac:dyDescent="0.25">
      <c r="L10" s="384" t="s">
        <v>842</v>
      </c>
      <c r="M10" s="385">
        <v>1.5971999793380005</v>
      </c>
      <c r="N10" s="385">
        <v>1.5971999793380005</v>
      </c>
      <c r="O10" s="385">
        <v>1.5971999793380005</v>
      </c>
      <c r="P10" s="386">
        <v>0.72460139513213573</v>
      </c>
      <c r="Q10" s="386">
        <v>0.72460139513213573</v>
      </c>
      <c r="R10" s="386">
        <v>0.76666666666666661</v>
      </c>
      <c r="S10" s="386">
        <v>0.76666666666666661</v>
      </c>
      <c r="T10" s="387">
        <f t="shared" si="1"/>
        <v>0.68214285714285716</v>
      </c>
      <c r="U10" s="387"/>
      <c r="V10" s="384" t="s">
        <v>867</v>
      </c>
      <c r="W10" s="385">
        <v>1.6101749999999999</v>
      </c>
      <c r="X10" s="385">
        <v>2.3914149999999998</v>
      </c>
      <c r="Y10" s="385">
        <v>2.3914149999999998</v>
      </c>
      <c r="Z10" s="386">
        <v>2.0256439999999998</v>
      </c>
      <c r="AA10" s="386">
        <v>2.9260389999999998</v>
      </c>
      <c r="AB10" s="386">
        <v>3.1878160000000002</v>
      </c>
      <c r="AC10" s="386">
        <v>2.534624</v>
      </c>
      <c r="AD10" s="387">
        <f t="shared" si="2"/>
        <v>1.7564942499999998</v>
      </c>
      <c r="AF10" s="384" t="s">
        <v>803</v>
      </c>
      <c r="AG10" s="388" t="s">
        <v>846</v>
      </c>
      <c r="AH10" s="384" t="s">
        <v>1064</v>
      </c>
      <c r="AI10" s="389">
        <v>63.571428571428569</v>
      </c>
      <c r="AJ10" s="389">
        <v>63.571428571428569</v>
      </c>
      <c r="AK10" s="389">
        <f t="shared" si="0"/>
        <v>47.470238095238088</v>
      </c>
    </row>
    <row r="11" spans="1:37" x14ac:dyDescent="0.25">
      <c r="L11" s="384" t="s">
        <v>867</v>
      </c>
      <c r="M11" s="385">
        <v>1.8023616870579997</v>
      </c>
      <c r="N11" s="385">
        <v>1.8023616870579997</v>
      </c>
      <c r="O11" s="385">
        <v>1.8023616870579997</v>
      </c>
      <c r="P11" s="386">
        <v>0.94875518730718167</v>
      </c>
      <c r="Q11" s="386">
        <v>0.94875518730718167</v>
      </c>
      <c r="R11" s="386">
        <v>0.75</v>
      </c>
      <c r="S11" s="386">
        <v>0.75</v>
      </c>
      <c r="T11" s="387">
        <f t="shared" si="1"/>
        <v>0.68214285714285716</v>
      </c>
      <c r="U11" s="387"/>
      <c r="V11" s="384" t="s">
        <v>799</v>
      </c>
      <c r="W11" s="385">
        <v>0.46870499999999998</v>
      </c>
      <c r="X11" s="385">
        <v>2.7697340000000001</v>
      </c>
      <c r="Y11" s="385">
        <v>2.7078440000000001</v>
      </c>
      <c r="Z11" s="386">
        <v>0.50734800000000002</v>
      </c>
      <c r="AA11" s="386">
        <v>2.8209569999999999</v>
      </c>
      <c r="AB11" s="386">
        <v>3.1891750000000001</v>
      </c>
      <c r="AC11" s="386">
        <v>2.406784</v>
      </c>
      <c r="AD11" s="387">
        <f t="shared" si="2"/>
        <v>1.7564942499999998</v>
      </c>
      <c r="AF11" s="384" t="s">
        <v>848</v>
      </c>
      <c r="AG11" s="388" t="s">
        <v>849</v>
      </c>
      <c r="AH11" s="384" t="s">
        <v>1078</v>
      </c>
      <c r="AI11" s="389">
        <v>63.214285714285715</v>
      </c>
      <c r="AJ11" s="389">
        <v>63.214285714285715</v>
      </c>
      <c r="AK11" s="389">
        <f t="shared" si="0"/>
        <v>47.470238095238088</v>
      </c>
    </row>
    <row r="12" spans="1:37" x14ac:dyDescent="0.25">
      <c r="L12" s="384" t="s">
        <v>737</v>
      </c>
      <c r="M12" s="385">
        <v>1.1987811051280015</v>
      </c>
      <c r="N12" s="385">
        <v>1.1987811051280015</v>
      </c>
      <c r="O12" s="385">
        <v>1.1987811051280015</v>
      </c>
      <c r="P12" s="386">
        <v>0.55055922818330338</v>
      </c>
      <c r="Q12" s="386">
        <v>0.55055922818330338</v>
      </c>
      <c r="R12" s="386">
        <v>0.75</v>
      </c>
      <c r="S12" s="386">
        <v>0.75</v>
      </c>
      <c r="T12" s="387">
        <f t="shared" si="1"/>
        <v>0.68214285714285716</v>
      </c>
      <c r="U12" s="387"/>
      <c r="V12" s="384" t="s">
        <v>845</v>
      </c>
      <c r="W12" s="385">
        <v>-0.622749</v>
      </c>
      <c r="X12" s="385">
        <v>1.9154990000000001</v>
      </c>
      <c r="Y12" s="385">
        <v>1.9154990000000001</v>
      </c>
      <c r="Z12" s="386">
        <v>-0.47720600000000002</v>
      </c>
      <c r="AA12" s="386">
        <v>2.8427530000000001</v>
      </c>
      <c r="AB12" s="386">
        <v>2.333129</v>
      </c>
      <c r="AC12" s="386">
        <v>2.333129</v>
      </c>
      <c r="AD12" s="387">
        <f t="shared" si="2"/>
        <v>1.7564942499999998</v>
      </c>
      <c r="AF12" s="384" t="s">
        <v>856</v>
      </c>
      <c r="AG12" s="388" t="s">
        <v>839</v>
      </c>
      <c r="AH12" s="384" t="s">
        <v>1067</v>
      </c>
      <c r="AI12" s="389">
        <v>61.785714285714285</v>
      </c>
      <c r="AJ12" s="389">
        <v>61.785714285714285</v>
      </c>
      <c r="AK12" s="389">
        <f t="shared" si="0"/>
        <v>47.470238095238088</v>
      </c>
    </row>
    <row r="13" spans="1:37" x14ac:dyDescent="0.25">
      <c r="L13" s="384" t="s">
        <v>838</v>
      </c>
      <c r="M13" s="385">
        <v>0.99895224654800063</v>
      </c>
      <c r="N13" s="385">
        <v>1.3995616635480004</v>
      </c>
      <c r="O13" s="385">
        <v>1.3995616635480004</v>
      </c>
      <c r="P13" s="386">
        <v>0.53826376711660795</v>
      </c>
      <c r="Q13" s="386">
        <v>0.75356927396325124</v>
      </c>
      <c r="R13" s="386">
        <v>0.73333333333333339</v>
      </c>
      <c r="S13" s="386">
        <v>0.73333333333333339</v>
      </c>
      <c r="T13" s="387">
        <f t="shared" si="1"/>
        <v>0.68214285714285716</v>
      </c>
      <c r="U13" s="387"/>
      <c r="V13" s="384" t="s">
        <v>808</v>
      </c>
      <c r="W13" s="385">
        <v>2.5225710000000001</v>
      </c>
      <c r="X13" s="385">
        <v>2.8569300000000002</v>
      </c>
      <c r="Y13" s="385">
        <v>2.9007450000000001</v>
      </c>
      <c r="Z13" s="386">
        <v>2.5326970000000002</v>
      </c>
      <c r="AA13" s="386">
        <v>2.8690310000000001</v>
      </c>
      <c r="AB13" s="386">
        <v>2.2734740000000002</v>
      </c>
      <c r="AC13" s="386">
        <v>2.2734740000000002</v>
      </c>
      <c r="AD13" s="387">
        <f t="shared" si="2"/>
        <v>1.7564942499999998</v>
      </c>
      <c r="AF13" s="384" t="s">
        <v>799</v>
      </c>
      <c r="AG13" s="388" t="s">
        <v>850</v>
      </c>
      <c r="AH13" s="384" t="s">
        <v>1084</v>
      </c>
      <c r="AI13" s="389">
        <v>61.428571428571431</v>
      </c>
      <c r="AJ13" s="389">
        <v>61.428571428571431</v>
      </c>
      <c r="AK13" s="389">
        <f t="shared" si="0"/>
        <v>47.470238095238088</v>
      </c>
    </row>
    <row r="14" spans="1:37" x14ac:dyDescent="0.25">
      <c r="L14" s="384" t="s">
        <v>861</v>
      </c>
      <c r="M14" s="385">
        <v>1.3995616635480004</v>
      </c>
      <c r="N14" s="385">
        <v>1.7980762733680005</v>
      </c>
      <c r="O14" s="385">
        <v>1.7980762733680005</v>
      </c>
      <c r="P14" s="386">
        <v>0.53724083583538584</v>
      </c>
      <c r="Q14" s="386">
        <v>0.69073821750263875</v>
      </c>
      <c r="R14" s="386">
        <v>0.73333333333333339</v>
      </c>
      <c r="S14" s="386">
        <v>0.73333333333333339</v>
      </c>
      <c r="T14" s="387">
        <f t="shared" si="1"/>
        <v>0.68214285714285716</v>
      </c>
      <c r="U14" s="387"/>
      <c r="V14" s="384" t="s">
        <v>848</v>
      </c>
      <c r="W14" s="385">
        <v>2.2087680000000001</v>
      </c>
      <c r="X14" s="385">
        <v>2.2087680000000001</v>
      </c>
      <c r="Y14" s="385">
        <v>2.073706</v>
      </c>
      <c r="Z14" s="386">
        <v>2.078004</v>
      </c>
      <c r="AA14" s="386">
        <v>2.078004</v>
      </c>
      <c r="AB14" s="386">
        <v>2.21868</v>
      </c>
      <c r="AC14" s="386">
        <v>2.21868</v>
      </c>
      <c r="AD14" s="387">
        <f t="shared" si="2"/>
        <v>1.7564942499999998</v>
      </c>
      <c r="AF14" s="384" t="s">
        <v>840</v>
      </c>
      <c r="AG14" s="388" t="s">
        <v>841</v>
      </c>
      <c r="AH14" s="384" t="s">
        <v>1071</v>
      </c>
      <c r="AI14" s="389">
        <v>51.428571428571431</v>
      </c>
      <c r="AJ14" s="389">
        <v>51.428571428571431</v>
      </c>
      <c r="AK14" s="389">
        <f t="shared" si="0"/>
        <v>47.470238095238088</v>
      </c>
    </row>
    <row r="15" spans="1:37" x14ac:dyDescent="0.25">
      <c r="L15" s="384" t="s">
        <v>806</v>
      </c>
      <c r="M15" s="385">
        <v>0.40060941699999986</v>
      </c>
      <c r="N15" s="385">
        <v>1.6004379575780003</v>
      </c>
      <c r="O15" s="385">
        <v>1.6004379575780003</v>
      </c>
      <c r="P15" s="386">
        <v>0.14745963683412461</v>
      </c>
      <c r="Q15" s="386">
        <v>0.58983854733649832</v>
      </c>
      <c r="R15" s="386">
        <v>0.73333333333333339</v>
      </c>
      <c r="S15" s="386">
        <v>0.73333333333333339</v>
      </c>
      <c r="T15" s="387">
        <f t="shared" si="1"/>
        <v>0.68214285714285716</v>
      </c>
      <c r="U15" s="387"/>
      <c r="V15" s="384" t="s">
        <v>775</v>
      </c>
      <c r="W15" s="385">
        <v>1.3596250000000001</v>
      </c>
      <c r="X15" s="385">
        <v>1.668782</v>
      </c>
      <c r="Y15" s="385">
        <v>2.3203640000000001</v>
      </c>
      <c r="Z15" s="386">
        <v>1.2332270000000001</v>
      </c>
      <c r="AA15" s="386">
        <v>1.5230520000000001</v>
      </c>
      <c r="AB15" s="386">
        <v>2.444439</v>
      </c>
      <c r="AC15" s="386">
        <v>2.1567850000000002</v>
      </c>
      <c r="AD15" s="387">
        <f t="shared" si="2"/>
        <v>1.7564942499999998</v>
      </c>
      <c r="AF15" s="384" t="s">
        <v>810</v>
      </c>
      <c r="AG15" s="388" t="s">
        <v>859</v>
      </c>
      <c r="AH15" s="384" t="s">
        <v>1070</v>
      </c>
      <c r="AI15" s="389">
        <v>51.428571428571431</v>
      </c>
      <c r="AJ15" s="389">
        <v>51.428571428571431</v>
      </c>
      <c r="AK15" s="389">
        <f t="shared" si="0"/>
        <v>47.470238095238088</v>
      </c>
    </row>
    <row r="16" spans="1:37" x14ac:dyDescent="0.25">
      <c r="A16" s="371" t="s">
        <v>1292</v>
      </c>
      <c r="B16" s="418"/>
      <c r="C16" s="418"/>
      <c r="D16" s="418"/>
      <c r="E16" s="418"/>
      <c r="F16" s="418"/>
      <c r="G16" s="418"/>
      <c r="H16" s="418"/>
      <c r="L16" s="384" t="s">
        <v>807</v>
      </c>
      <c r="M16" s="385">
        <v>1.4016568538739991</v>
      </c>
      <c r="N16" s="385">
        <v>1.3995616635480004</v>
      </c>
      <c r="O16" s="385">
        <v>1.5971999793380005</v>
      </c>
      <c r="P16" s="386">
        <v>0.50254612888196504</v>
      </c>
      <c r="Q16" s="386">
        <v>0.50254612888196504</v>
      </c>
      <c r="R16" s="386">
        <v>0.73333333333333339</v>
      </c>
      <c r="S16" s="386">
        <v>0.73333333333333339</v>
      </c>
      <c r="T16" s="387">
        <f t="shared" si="1"/>
        <v>0.68214285714285716</v>
      </c>
      <c r="U16" s="387"/>
      <c r="V16" s="384" t="s">
        <v>842</v>
      </c>
      <c r="W16" s="385">
        <v>-0.99110900000000002</v>
      </c>
      <c r="X16" s="385">
        <v>1.4002920000000001</v>
      </c>
      <c r="Y16" s="385">
        <v>1.4002920000000001</v>
      </c>
      <c r="Z16" s="386">
        <v>-0.95874199999999998</v>
      </c>
      <c r="AA16" s="386">
        <v>1.922237</v>
      </c>
      <c r="AB16" s="386">
        <v>1.9564090000000001</v>
      </c>
      <c r="AC16" s="386">
        <v>1.9564090000000001</v>
      </c>
      <c r="AD16" s="387">
        <f t="shared" si="2"/>
        <v>1.7564942499999998</v>
      </c>
      <c r="AF16" s="384" t="s">
        <v>861</v>
      </c>
      <c r="AG16" s="388" t="s">
        <v>862</v>
      </c>
      <c r="AH16" s="384" t="s">
        <v>1080</v>
      </c>
      <c r="AI16" s="389">
        <v>50.714285714285715</v>
      </c>
      <c r="AJ16" s="389">
        <v>50.714285714285715</v>
      </c>
      <c r="AK16" s="389">
        <f t="shared" si="0"/>
        <v>47.470238095238088</v>
      </c>
    </row>
    <row r="17" spans="1:37" x14ac:dyDescent="0.25">
      <c r="L17" s="384" t="s">
        <v>845</v>
      </c>
      <c r="M17" s="385">
        <v>1.8002668798780004</v>
      </c>
      <c r="N17" s="385">
        <v>1.8002668798780004</v>
      </c>
      <c r="O17" s="385">
        <v>1.8002668798780004</v>
      </c>
      <c r="P17" s="386">
        <v>0.95985768516560299</v>
      </c>
      <c r="Q17" s="386">
        <v>0.95985768516560299</v>
      </c>
      <c r="R17" s="386">
        <v>0.71666666666666667</v>
      </c>
      <c r="S17" s="386">
        <v>0.71666666666666667</v>
      </c>
      <c r="T17" s="387">
        <f t="shared" si="1"/>
        <v>0.68214285714285716</v>
      </c>
      <c r="U17" s="387"/>
      <c r="V17" s="384" t="s">
        <v>856</v>
      </c>
      <c r="W17" s="385">
        <v>0.26411400000000002</v>
      </c>
      <c r="X17" s="385">
        <v>0.49666700000000003</v>
      </c>
      <c r="Y17" s="385">
        <v>0.49666700000000003</v>
      </c>
      <c r="Z17" s="386">
        <v>0.65100899999999995</v>
      </c>
      <c r="AA17" s="386">
        <v>0.94910700000000003</v>
      </c>
      <c r="AB17" s="386">
        <v>1.7017409999999999</v>
      </c>
      <c r="AC17" s="386">
        <v>1.7017409999999999</v>
      </c>
      <c r="AD17" s="387">
        <f t="shared" si="2"/>
        <v>1.7564942499999998</v>
      </c>
      <c r="AF17" s="384" t="s">
        <v>800</v>
      </c>
      <c r="AG17" s="388" t="s">
        <v>860</v>
      </c>
      <c r="AH17" s="384" t="s">
        <v>1075</v>
      </c>
      <c r="AI17" s="389">
        <v>46.428571428571431</v>
      </c>
      <c r="AJ17" s="389">
        <v>46.428571428571431</v>
      </c>
      <c r="AK17" s="389">
        <f t="shared" si="0"/>
        <v>47.470238095238088</v>
      </c>
    </row>
    <row r="18" spans="1:37" x14ac:dyDescent="0.25">
      <c r="L18" s="384" t="s">
        <v>800</v>
      </c>
      <c r="M18" s="385">
        <v>2.0000000028479996</v>
      </c>
      <c r="N18" s="385">
        <v>2.0000000028479996</v>
      </c>
      <c r="O18" s="385">
        <v>2.0000000028479996</v>
      </c>
      <c r="P18" s="386">
        <v>0.81999999883232022</v>
      </c>
      <c r="Q18" s="386">
        <v>0.81999999883232022</v>
      </c>
      <c r="R18" s="386">
        <v>0.70000000000000007</v>
      </c>
      <c r="S18" s="386">
        <v>0.70000000000000007</v>
      </c>
      <c r="T18" s="387">
        <f t="shared" si="1"/>
        <v>0.68214285714285716</v>
      </c>
      <c r="U18" s="387"/>
      <c r="V18" s="384" t="s">
        <v>776</v>
      </c>
      <c r="W18" s="385">
        <v>-0.295873</v>
      </c>
      <c r="X18" s="385">
        <v>1.6696949999999999</v>
      </c>
      <c r="Y18" s="385">
        <v>1.7515909999999999</v>
      </c>
      <c r="Z18" s="386">
        <v>-0.23230400000000001</v>
      </c>
      <c r="AA18" s="386">
        <v>1.820238</v>
      </c>
      <c r="AB18" s="386">
        <v>1.6590419999999999</v>
      </c>
      <c r="AC18" s="386">
        <v>1.6590419999999999</v>
      </c>
      <c r="AD18" s="387">
        <f t="shared" si="2"/>
        <v>1.7564942499999998</v>
      </c>
      <c r="AF18" s="384" t="s">
        <v>867</v>
      </c>
      <c r="AG18" s="388" t="s">
        <v>868</v>
      </c>
      <c r="AH18" s="384" t="s">
        <v>1082</v>
      </c>
      <c r="AI18" s="389">
        <v>45</v>
      </c>
      <c r="AJ18" s="389">
        <v>45</v>
      </c>
      <c r="AK18" s="389">
        <f t="shared" si="0"/>
        <v>47.470238095238088</v>
      </c>
    </row>
    <row r="19" spans="1:37" x14ac:dyDescent="0.25">
      <c r="L19" s="384" t="s">
        <v>809</v>
      </c>
      <c r="M19" s="385">
        <v>1.1976379340680008</v>
      </c>
      <c r="N19" s="385">
        <v>1.1976379340680008</v>
      </c>
      <c r="O19" s="385">
        <v>1.1976379340680008</v>
      </c>
      <c r="P19" s="386">
        <v>0.53438521091772762</v>
      </c>
      <c r="Q19" s="386">
        <v>0.53438521091772762</v>
      </c>
      <c r="R19" s="386">
        <v>0.63333333333333341</v>
      </c>
      <c r="S19" s="386">
        <v>0.70000000000000007</v>
      </c>
      <c r="T19" s="387">
        <f t="shared" si="1"/>
        <v>0.68214285714285716</v>
      </c>
      <c r="U19" s="387"/>
      <c r="V19" s="384" t="s">
        <v>800</v>
      </c>
      <c r="W19" s="385">
        <v>2.9262410000000001</v>
      </c>
      <c r="X19" s="385">
        <v>2.7936740000000002</v>
      </c>
      <c r="Y19" s="385">
        <v>2.9242379999999999</v>
      </c>
      <c r="Z19" s="386">
        <v>3.03634</v>
      </c>
      <c r="AA19" s="386">
        <v>2.9001929999999998</v>
      </c>
      <c r="AB19" s="386">
        <v>1.582336</v>
      </c>
      <c r="AC19" s="386">
        <v>1.582336</v>
      </c>
      <c r="AD19" s="387">
        <f t="shared" si="2"/>
        <v>1.7564942499999998</v>
      </c>
      <c r="AF19" s="384" t="s">
        <v>737</v>
      </c>
      <c r="AG19" s="388" t="s">
        <v>854</v>
      </c>
      <c r="AH19" s="384" t="s">
        <v>1073</v>
      </c>
      <c r="AI19" s="389">
        <v>44.642857142857139</v>
      </c>
      <c r="AJ19" s="389">
        <v>44.642857142857139</v>
      </c>
      <c r="AK19" s="389">
        <f t="shared" si="0"/>
        <v>47.470238095238088</v>
      </c>
    </row>
    <row r="20" spans="1:37" x14ac:dyDescent="0.25">
      <c r="L20" s="384" t="s">
        <v>805</v>
      </c>
      <c r="M20" s="385">
        <v>1.3995616635480004</v>
      </c>
      <c r="N20" s="385">
        <v>1.3995616635480004</v>
      </c>
      <c r="O20" s="385">
        <v>1.3995616635480004</v>
      </c>
      <c r="P20" s="386">
        <v>0.7035536141869293</v>
      </c>
      <c r="Q20" s="386">
        <v>0.7035536141869293</v>
      </c>
      <c r="R20" s="386">
        <v>0.68333333333333335</v>
      </c>
      <c r="S20" s="386">
        <v>0.68333333333333335</v>
      </c>
      <c r="T20" s="387">
        <f t="shared" si="1"/>
        <v>0.68214285714285716</v>
      </c>
      <c r="U20" s="387"/>
      <c r="V20" s="384" t="s">
        <v>805</v>
      </c>
      <c r="W20" s="385">
        <v>-6.0976000000000002E-2</v>
      </c>
      <c r="X20" s="385">
        <v>1.26295</v>
      </c>
      <c r="Y20" s="385">
        <v>1.26295</v>
      </c>
      <c r="Z20" s="386">
        <v>7.1423E-2</v>
      </c>
      <c r="AA20" s="386">
        <v>1.5391729999999999</v>
      </c>
      <c r="AB20" s="386">
        <v>1.628733</v>
      </c>
      <c r="AC20" s="386">
        <v>1.5384450000000001</v>
      </c>
      <c r="AD20" s="387">
        <f t="shared" si="2"/>
        <v>1.7564942499999998</v>
      </c>
      <c r="AF20" s="384" t="s">
        <v>804</v>
      </c>
      <c r="AG20" s="388" t="s">
        <v>853</v>
      </c>
      <c r="AH20" s="384" t="s">
        <v>1089</v>
      </c>
      <c r="AI20" s="389">
        <v>42.857142857142861</v>
      </c>
      <c r="AJ20" s="389">
        <v>42.857142857142861</v>
      </c>
      <c r="AK20" s="389">
        <f t="shared" si="0"/>
        <v>47.470238095238088</v>
      </c>
    </row>
    <row r="21" spans="1:37" x14ac:dyDescent="0.25">
      <c r="L21" s="384" t="s">
        <v>810</v>
      </c>
      <c r="M21" s="385">
        <v>1.6004379575780003</v>
      </c>
      <c r="N21" s="385">
        <v>1.6004379575780003</v>
      </c>
      <c r="O21" s="385">
        <v>1.6004379575780003</v>
      </c>
      <c r="P21" s="386">
        <v>0.71980297302081142</v>
      </c>
      <c r="Q21" s="386">
        <v>0.71980297302081142</v>
      </c>
      <c r="R21" s="386">
        <v>0.66666666666666674</v>
      </c>
      <c r="S21" s="386">
        <v>0.66666666666666674</v>
      </c>
      <c r="T21" s="387">
        <f t="shared" si="1"/>
        <v>0.68214285714285716</v>
      </c>
      <c r="U21" s="387"/>
      <c r="V21" s="384" t="s">
        <v>864</v>
      </c>
      <c r="W21" s="385">
        <v>1.0770489999999999</v>
      </c>
      <c r="X21" s="385">
        <v>1.6180890000000001</v>
      </c>
      <c r="Y21" s="385">
        <v>1.6180890000000001</v>
      </c>
      <c r="Z21" s="386">
        <v>1.0394159999999999</v>
      </c>
      <c r="AA21" s="386">
        <v>1.5624629999999999</v>
      </c>
      <c r="AB21" s="386">
        <v>1.516839</v>
      </c>
      <c r="AC21" s="386">
        <v>1.516839</v>
      </c>
      <c r="AD21" s="387">
        <f t="shared" si="2"/>
        <v>1.7564942499999998</v>
      </c>
      <c r="AF21" s="384" t="s">
        <v>851</v>
      </c>
      <c r="AG21" s="388" t="s">
        <v>852</v>
      </c>
      <c r="AH21" s="384" t="s">
        <v>1068</v>
      </c>
      <c r="AI21" s="389">
        <v>41.964285714285715</v>
      </c>
      <c r="AJ21" s="389">
        <v>41.964285714285715</v>
      </c>
      <c r="AK21" s="389">
        <f t="shared" si="0"/>
        <v>47.470238095238088</v>
      </c>
    </row>
    <row r="22" spans="1:37" x14ac:dyDescent="0.25">
      <c r="L22" s="384" t="s">
        <v>856</v>
      </c>
      <c r="M22" s="385">
        <v>0.99895224654800063</v>
      </c>
      <c r="N22" s="385">
        <v>1.5971999793380005</v>
      </c>
      <c r="O22" s="385">
        <v>2.0000000028479996</v>
      </c>
      <c r="P22" s="386">
        <v>0.34999999950159999</v>
      </c>
      <c r="Q22" s="386">
        <v>0.55999999920256005</v>
      </c>
      <c r="R22" s="386">
        <v>0.66666666666666674</v>
      </c>
      <c r="S22" s="386">
        <v>0.66666666666666674</v>
      </c>
      <c r="T22" s="387">
        <f t="shared" si="1"/>
        <v>0.68214285714285716</v>
      </c>
      <c r="U22" s="387"/>
      <c r="V22" s="384" t="s">
        <v>807</v>
      </c>
      <c r="W22" s="385">
        <v>1.64296</v>
      </c>
      <c r="X22" s="385">
        <v>1.6089549999999999</v>
      </c>
      <c r="Y22" s="385">
        <v>1.6089549999999999</v>
      </c>
      <c r="Z22" s="386">
        <v>1.3704890000000001</v>
      </c>
      <c r="AA22" s="386">
        <v>1.3405260000000001</v>
      </c>
      <c r="AB22" s="386">
        <v>1.496507</v>
      </c>
      <c r="AC22" s="386">
        <v>1.496507</v>
      </c>
      <c r="AD22" s="387">
        <f t="shared" si="2"/>
        <v>1.7564942499999998</v>
      </c>
      <c r="AF22" s="384" t="s">
        <v>838</v>
      </c>
      <c r="AG22" s="388" t="s">
        <v>839</v>
      </c>
      <c r="AH22" s="384" t="s">
        <v>1066</v>
      </c>
      <c r="AI22" s="389">
        <v>41.428571428571431</v>
      </c>
      <c r="AJ22" s="389">
        <v>41.428571428571431</v>
      </c>
      <c r="AK22" s="389">
        <f t="shared" si="0"/>
        <v>47.470238095238088</v>
      </c>
    </row>
    <row r="23" spans="1:37" x14ac:dyDescent="0.25">
      <c r="L23" s="384" t="s">
        <v>848</v>
      </c>
      <c r="M23" s="385">
        <v>1.1998285405780007</v>
      </c>
      <c r="N23" s="385">
        <v>1.1998285405780007</v>
      </c>
      <c r="O23" s="385">
        <v>1.1998285405780007</v>
      </c>
      <c r="P23" s="386">
        <v>0.57341526454151992</v>
      </c>
      <c r="Q23" s="386">
        <v>0.57341526454151992</v>
      </c>
      <c r="R23" s="386">
        <v>0.66666666666666674</v>
      </c>
      <c r="S23" s="386">
        <v>0.66666666666666674</v>
      </c>
      <c r="T23" s="387">
        <f t="shared" si="1"/>
        <v>0.68214285714285716</v>
      </c>
      <c r="U23" s="387"/>
      <c r="V23" s="384" t="s">
        <v>809</v>
      </c>
      <c r="W23" s="385">
        <v>-0.81728599999999996</v>
      </c>
      <c r="X23" s="385">
        <v>-0.81728599999999996</v>
      </c>
      <c r="Y23" s="385">
        <v>-0.99110900000000002</v>
      </c>
      <c r="Z23" s="386">
        <v>-0.95874199999999998</v>
      </c>
      <c r="AA23" s="386">
        <v>-0.95874199999999998</v>
      </c>
      <c r="AB23" s="386">
        <v>0.66781699999999999</v>
      </c>
      <c r="AC23" s="386">
        <v>1.4379219999999999</v>
      </c>
      <c r="AD23" s="387">
        <f t="shared" si="2"/>
        <v>1.7564942499999998</v>
      </c>
      <c r="AF23" s="384" t="s">
        <v>864</v>
      </c>
      <c r="AG23" s="388" t="s">
        <v>865</v>
      </c>
      <c r="AH23" s="384" t="s">
        <v>1069</v>
      </c>
      <c r="AI23" s="389">
        <v>41.25</v>
      </c>
      <c r="AJ23" s="389">
        <v>41.25</v>
      </c>
      <c r="AK23" s="389">
        <f t="shared" si="0"/>
        <v>47.470238095238088</v>
      </c>
    </row>
    <row r="24" spans="1:37" x14ac:dyDescent="0.25">
      <c r="L24" s="384" t="s">
        <v>802</v>
      </c>
      <c r="M24" s="385">
        <v>1.4007048346080009</v>
      </c>
      <c r="N24" s="385">
        <v>1.4007048346080009</v>
      </c>
      <c r="O24" s="385">
        <v>1.4007048346080009</v>
      </c>
      <c r="P24" s="386">
        <v>0.63967795202959599</v>
      </c>
      <c r="Q24" s="386">
        <v>0.63967795202959599</v>
      </c>
      <c r="R24" s="386">
        <v>0.6166666666666667</v>
      </c>
      <c r="S24" s="386">
        <v>0.6166666666666667</v>
      </c>
      <c r="T24" s="387">
        <f t="shared" si="1"/>
        <v>0.68214285714285716</v>
      </c>
      <c r="U24" s="387"/>
      <c r="V24" s="384" t="s">
        <v>810</v>
      </c>
      <c r="W24" s="385">
        <v>0.62395999999999996</v>
      </c>
      <c r="X24" s="385">
        <v>1.1397839999999999</v>
      </c>
      <c r="Y24" s="385">
        <v>1.1397839999999999</v>
      </c>
      <c r="Z24" s="386">
        <v>0.72249099999999999</v>
      </c>
      <c r="AA24" s="386">
        <v>1.2593639999999999</v>
      </c>
      <c r="AB24" s="386">
        <v>1.3014589999999999</v>
      </c>
      <c r="AC24" s="386">
        <v>1.3014589999999999</v>
      </c>
      <c r="AD24" s="387">
        <f t="shared" si="2"/>
        <v>1.7564942499999998</v>
      </c>
      <c r="AF24" s="384" t="s">
        <v>807</v>
      </c>
      <c r="AG24" s="388" t="s">
        <v>855</v>
      </c>
      <c r="AH24" s="384" t="s">
        <v>1074</v>
      </c>
      <c r="AI24" s="389">
        <v>41.785714285714285</v>
      </c>
      <c r="AJ24" s="389">
        <v>37.5</v>
      </c>
      <c r="AK24" s="389">
        <f t="shared" si="0"/>
        <v>47.470238095238088</v>
      </c>
    </row>
    <row r="25" spans="1:37" x14ac:dyDescent="0.25">
      <c r="L25" s="384" t="s">
        <v>864</v>
      </c>
      <c r="M25" s="385">
        <v>1.7991237088179999</v>
      </c>
      <c r="N25" s="385">
        <v>1.7991237088179999</v>
      </c>
      <c r="O25" s="385">
        <v>1.7991237088179999</v>
      </c>
      <c r="P25" s="386">
        <v>0.61696702375694612</v>
      </c>
      <c r="Q25" s="386">
        <v>0.61696702375694612</v>
      </c>
      <c r="R25" s="386">
        <v>0.6166666666666667</v>
      </c>
      <c r="S25" s="386">
        <v>0.6166666666666667</v>
      </c>
      <c r="T25" s="387">
        <f t="shared" si="1"/>
        <v>0.68214285714285716</v>
      </c>
      <c r="U25" s="387"/>
      <c r="V25" s="384" t="s">
        <v>806</v>
      </c>
      <c r="W25" s="385">
        <v>1.3316269999999999</v>
      </c>
      <c r="X25" s="385">
        <v>2.2037140000000002</v>
      </c>
      <c r="Y25" s="385">
        <v>2.4121589999999999</v>
      </c>
      <c r="Z25" s="386">
        <v>1.058414</v>
      </c>
      <c r="AA25" s="386">
        <v>1.8186880000000001</v>
      </c>
      <c r="AB25" s="386">
        <v>1.235255</v>
      </c>
      <c r="AC25" s="386">
        <v>1.235255</v>
      </c>
      <c r="AD25" s="387">
        <f t="shared" si="2"/>
        <v>1.7564942499999998</v>
      </c>
      <c r="AF25" s="384" t="s">
        <v>776</v>
      </c>
      <c r="AG25" s="388" t="s">
        <v>870</v>
      </c>
      <c r="AH25" s="384" t="s">
        <v>1077</v>
      </c>
      <c r="AI25" s="389">
        <v>36.428571428571431</v>
      </c>
      <c r="AJ25" s="389">
        <v>36.428571428571431</v>
      </c>
      <c r="AK25" s="389">
        <f t="shared" si="0"/>
        <v>47.470238095238088</v>
      </c>
    </row>
    <row r="26" spans="1:37" x14ac:dyDescent="0.25">
      <c r="L26" s="384" t="s">
        <v>857</v>
      </c>
      <c r="M26" s="385">
        <v>1.4027996417880004</v>
      </c>
      <c r="N26" s="385">
        <v>1.4027996417880004</v>
      </c>
      <c r="O26" s="385">
        <v>1.4027996417880004</v>
      </c>
      <c r="P26" s="386">
        <v>0.63872271799126179</v>
      </c>
      <c r="Q26" s="386">
        <v>0.63872271799126179</v>
      </c>
      <c r="R26" s="386">
        <v>0.60000000000000009</v>
      </c>
      <c r="S26" s="386">
        <v>0.60000000000000009</v>
      </c>
      <c r="T26" s="387">
        <f t="shared" si="1"/>
        <v>0.68214285714285716</v>
      </c>
      <c r="U26" s="387"/>
      <c r="V26" s="384" t="s">
        <v>804</v>
      </c>
      <c r="W26" s="385">
        <v>1.934259</v>
      </c>
      <c r="X26" s="385">
        <v>1.934259</v>
      </c>
      <c r="Y26" s="385">
        <v>1.934259</v>
      </c>
      <c r="Z26" s="386">
        <v>1.385213</v>
      </c>
      <c r="AA26" s="386">
        <v>1.385213</v>
      </c>
      <c r="AB26" s="386">
        <v>1.129548</v>
      </c>
      <c r="AC26" s="386">
        <v>1.129548</v>
      </c>
      <c r="AD26" s="387">
        <f t="shared" si="2"/>
        <v>1.7564942499999998</v>
      </c>
      <c r="AF26" s="384" t="s">
        <v>803</v>
      </c>
      <c r="AG26" s="388" t="s">
        <v>871</v>
      </c>
      <c r="AH26" s="384" t="s">
        <v>1065</v>
      </c>
      <c r="AI26" s="389">
        <v>32.5</v>
      </c>
      <c r="AJ26" s="389">
        <v>32.5</v>
      </c>
      <c r="AK26" s="389">
        <f t="shared" si="0"/>
        <v>47.470238095238088</v>
      </c>
    </row>
    <row r="27" spans="1:37" x14ac:dyDescent="0.25">
      <c r="L27" s="384" t="s">
        <v>803</v>
      </c>
      <c r="M27" s="385">
        <v>1.8001714636939992</v>
      </c>
      <c r="N27" s="385">
        <v>1.8001714636939992</v>
      </c>
      <c r="O27" s="385">
        <v>1.8001714636939992</v>
      </c>
      <c r="P27" s="386">
        <v>0.51995047076199241</v>
      </c>
      <c r="Q27" s="386">
        <v>0.51995047076199241</v>
      </c>
      <c r="R27" s="386">
        <v>0.6</v>
      </c>
      <c r="S27" s="386">
        <v>0.6</v>
      </c>
      <c r="T27" s="387">
        <f t="shared" si="1"/>
        <v>0.68214285714285716</v>
      </c>
      <c r="U27" s="387"/>
      <c r="V27" s="384" t="s">
        <v>803</v>
      </c>
      <c r="W27" s="385">
        <v>0.57726699999999997</v>
      </c>
      <c r="X27" s="385">
        <v>0.57726699999999997</v>
      </c>
      <c r="Y27" s="385">
        <v>0.54890399999999995</v>
      </c>
      <c r="Z27" s="386">
        <v>0.51413399999999998</v>
      </c>
      <c r="AA27" s="386">
        <v>0.51413399999999998</v>
      </c>
      <c r="AB27" s="386">
        <v>0.62854900000000002</v>
      </c>
      <c r="AC27" s="386">
        <v>0.62854900000000002</v>
      </c>
      <c r="AD27" s="387">
        <f t="shared" si="2"/>
        <v>1.7564942499999998</v>
      </c>
      <c r="AF27" s="384" t="s">
        <v>805</v>
      </c>
      <c r="AG27" s="388" t="s">
        <v>866</v>
      </c>
      <c r="AH27" s="384" t="s">
        <v>1093</v>
      </c>
      <c r="AI27" s="389">
        <v>30</v>
      </c>
      <c r="AJ27" s="389">
        <v>30</v>
      </c>
      <c r="AK27" s="389">
        <f t="shared" si="0"/>
        <v>47.470238095238088</v>
      </c>
    </row>
    <row r="28" spans="1:37" x14ac:dyDescent="0.25">
      <c r="A28" s="404" t="s">
        <v>1293</v>
      </c>
      <c r="B28" s="419"/>
      <c r="C28" s="419"/>
      <c r="D28" s="419"/>
      <c r="E28" s="419"/>
      <c r="F28" s="419"/>
      <c r="G28" s="419"/>
      <c r="H28" s="419"/>
      <c r="L28" s="384" t="s">
        <v>851</v>
      </c>
      <c r="M28" s="385">
        <v>1.3952762498580009</v>
      </c>
      <c r="N28" s="385">
        <v>1.3952762498580009</v>
      </c>
      <c r="O28" s="385">
        <v>1.3952762498580009</v>
      </c>
      <c r="P28" s="386">
        <v>0.63547750257836311</v>
      </c>
      <c r="Q28" s="386">
        <v>0.63547750257836311</v>
      </c>
      <c r="R28" s="386">
        <v>0.48333333333333339</v>
      </c>
      <c r="S28" s="386">
        <v>0.48333333333333339</v>
      </c>
      <c r="T28" s="387">
        <f t="shared" si="1"/>
        <v>0.68214285714285716</v>
      </c>
      <c r="U28" s="387"/>
      <c r="V28" s="384" t="s">
        <v>840</v>
      </c>
      <c r="W28" s="385">
        <v>0.63156699999999999</v>
      </c>
      <c r="X28" s="385">
        <v>0.73398600000000003</v>
      </c>
      <c r="Y28" s="385">
        <v>0.73398600000000003</v>
      </c>
      <c r="Z28" s="386">
        <v>0.66451000000000005</v>
      </c>
      <c r="AA28" s="386">
        <v>0.76706200000000002</v>
      </c>
      <c r="AB28" s="386">
        <v>0.56869400000000003</v>
      </c>
      <c r="AC28" s="386">
        <v>0.56869400000000003</v>
      </c>
      <c r="AD28" s="387">
        <f t="shared" si="2"/>
        <v>1.7564942499999998</v>
      </c>
      <c r="AF28" s="384" t="s">
        <v>805</v>
      </c>
      <c r="AG28" s="388" t="s">
        <v>869</v>
      </c>
      <c r="AH28" s="384" t="s">
        <v>1092</v>
      </c>
      <c r="AI28" s="389">
        <v>30</v>
      </c>
      <c r="AJ28" s="389">
        <v>30</v>
      </c>
      <c r="AK28" s="389">
        <f t="shared" si="0"/>
        <v>47.470238095238088</v>
      </c>
    </row>
    <row r="29" spans="1:37" x14ac:dyDescent="0.25">
      <c r="L29" s="384" t="s">
        <v>776</v>
      </c>
      <c r="M29" s="385">
        <v>1.0043808312980005</v>
      </c>
      <c r="N29" s="385">
        <v>1.0043808312980005</v>
      </c>
      <c r="O29" s="385">
        <v>0.80245710181800112</v>
      </c>
      <c r="P29" s="386">
        <v>0.46523774602720896</v>
      </c>
      <c r="Q29" s="386">
        <v>0.46523774602720896</v>
      </c>
      <c r="R29" s="386">
        <v>0.44999999999999996</v>
      </c>
      <c r="S29" s="386">
        <v>0.44999999999999996</v>
      </c>
      <c r="T29" s="387">
        <f t="shared" si="1"/>
        <v>0.68214285714285716</v>
      </c>
      <c r="U29" s="387"/>
      <c r="V29" s="384" t="s">
        <v>836</v>
      </c>
      <c r="W29" s="385">
        <v>1.175198</v>
      </c>
      <c r="X29" s="385">
        <v>1.262122</v>
      </c>
      <c r="Y29" s="385">
        <v>0.58348100000000003</v>
      </c>
      <c r="Z29" s="386">
        <v>1.0863529999999999</v>
      </c>
      <c r="AA29" s="386">
        <v>1.1684140000000001</v>
      </c>
      <c r="AB29" s="386">
        <v>-0.51695199999999997</v>
      </c>
      <c r="AC29" s="386">
        <v>0.35113299999999997</v>
      </c>
      <c r="AD29" s="387">
        <f t="shared" si="2"/>
        <v>1.7564942499999998</v>
      </c>
      <c r="AF29" s="384" t="s">
        <v>799</v>
      </c>
      <c r="AG29" s="388" t="s">
        <v>872</v>
      </c>
      <c r="AH29" s="384" t="s">
        <v>1085</v>
      </c>
      <c r="AI29" s="389">
        <v>30</v>
      </c>
      <c r="AJ29" s="389">
        <v>30</v>
      </c>
      <c r="AK29" s="389">
        <f t="shared" si="0"/>
        <v>47.470238095238088</v>
      </c>
    </row>
    <row r="30" spans="1:37" x14ac:dyDescent="0.25">
      <c r="L30" s="384" t="s">
        <v>775</v>
      </c>
      <c r="M30" s="385">
        <v>1.0021902247880008</v>
      </c>
      <c r="N30" s="385">
        <v>1.0021902247880008</v>
      </c>
      <c r="O30" s="385">
        <v>1.0021902247880008</v>
      </c>
      <c r="P30" s="386">
        <v>0.4323863101189187</v>
      </c>
      <c r="Q30" s="386">
        <v>0.4323863101189187</v>
      </c>
      <c r="R30" s="386">
        <v>0.43333333333333335</v>
      </c>
      <c r="S30" s="386">
        <v>0.43333333333333335</v>
      </c>
      <c r="T30" s="387">
        <f t="shared" si="1"/>
        <v>0.68214285714285716</v>
      </c>
      <c r="U30" s="387"/>
      <c r="V30" s="384" t="s">
        <v>857</v>
      </c>
      <c r="W30" s="385">
        <v>1.4953719999999999</v>
      </c>
      <c r="X30" s="385">
        <v>1.4953719999999999</v>
      </c>
      <c r="Y30" s="385">
        <v>0.42831399999999997</v>
      </c>
      <c r="Z30" s="386">
        <v>1.5501560000000001</v>
      </c>
      <c r="AA30" s="386">
        <v>1.5501560000000001</v>
      </c>
      <c r="AB30" s="386">
        <v>0.29702899999999999</v>
      </c>
      <c r="AC30" s="386">
        <v>0.19100600000000001</v>
      </c>
      <c r="AD30" s="387">
        <f t="shared" si="2"/>
        <v>1.7564942499999998</v>
      </c>
      <c r="AF30" s="384" t="s">
        <v>806</v>
      </c>
      <c r="AG30" s="388" t="s">
        <v>863</v>
      </c>
      <c r="AH30" s="384" t="s">
        <v>1081</v>
      </c>
      <c r="AI30" s="389">
        <v>26.25</v>
      </c>
      <c r="AJ30" s="389">
        <v>26.25</v>
      </c>
      <c r="AK30" s="389">
        <f t="shared" si="0"/>
        <v>47.470238095238088</v>
      </c>
    </row>
    <row r="31" spans="1:37" x14ac:dyDescent="0.25">
      <c r="L31" s="384" t="s">
        <v>798</v>
      </c>
      <c r="M31" s="385">
        <v>1.400705217754</v>
      </c>
      <c r="N31" s="385">
        <v>1.400705217754</v>
      </c>
      <c r="O31" s="385">
        <v>1.400705217754</v>
      </c>
      <c r="P31" s="386">
        <v>0.42978350645776409</v>
      </c>
      <c r="Q31" s="386">
        <v>0.42978350645776409</v>
      </c>
      <c r="R31" s="386">
        <v>0.33333333333333331</v>
      </c>
      <c r="S31" s="386">
        <v>0.33333333333333331</v>
      </c>
      <c r="T31" s="387">
        <f t="shared" si="1"/>
        <v>0.68214285714285716</v>
      </c>
      <c r="U31" s="387"/>
      <c r="V31" s="384" t="s">
        <v>798</v>
      </c>
      <c r="W31" s="385">
        <v>-0.180004</v>
      </c>
      <c r="X31" s="385">
        <v>-0.180004</v>
      </c>
      <c r="Y31" s="385">
        <v>-0.180004</v>
      </c>
      <c r="Z31" s="386">
        <v>-0.30553900000000001</v>
      </c>
      <c r="AA31" s="386">
        <v>-0.30553900000000001</v>
      </c>
      <c r="AB31" s="386">
        <v>-0.92576899999999995</v>
      </c>
      <c r="AC31" s="386">
        <v>-0.92576899999999995</v>
      </c>
      <c r="AD31" s="387">
        <f t="shared" si="2"/>
        <v>1.7564942499999998</v>
      </c>
      <c r="AF31" s="384" t="s">
        <v>857</v>
      </c>
      <c r="AG31" s="388" t="s">
        <v>858</v>
      </c>
      <c r="AH31" s="384" t="s">
        <v>1076</v>
      </c>
      <c r="AI31" s="389">
        <v>25</v>
      </c>
      <c r="AJ31" s="389">
        <v>25</v>
      </c>
      <c r="AK31" s="389">
        <f t="shared" si="0"/>
        <v>47.470238095238088</v>
      </c>
    </row>
    <row r="32" spans="1:37" x14ac:dyDescent="0.25">
      <c r="L32" s="390"/>
      <c r="M32" s="387"/>
      <c r="N32" s="387"/>
      <c r="O32" s="387"/>
      <c r="P32" s="387"/>
      <c r="Q32" s="387"/>
      <c r="R32" s="391"/>
      <c r="S32" s="391"/>
      <c r="T32" s="309"/>
      <c r="U32" s="309"/>
      <c r="V32" s="392"/>
      <c r="W32" s="387"/>
      <c r="X32" s="387"/>
      <c r="Y32" s="387"/>
      <c r="Z32" s="387"/>
      <c r="AA32" s="387"/>
      <c r="AB32" s="386"/>
      <c r="AC32" s="386"/>
      <c r="AD32" s="309"/>
      <c r="AF32" s="384" t="s">
        <v>809</v>
      </c>
      <c r="AG32" s="388" t="s">
        <v>873</v>
      </c>
      <c r="AH32" s="384" t="s">
        <v>1090</v>
      </c>
      <c r="AI32" s="389">
        <v>20</v>
      </c>
      <c r="AJ32" s="389">
        <v>20</v>
      </c>
      <c r="AK32" s="389">
        <f t="shared" si="0"/>
        <v>47.470238095238088</v>
      </c>
    </row>
    <row r="33" spans="12:37" x14ac:dyDescent="0.25">
      <c r="L33" s="300"/>
      <c r="M33" s="300"/>
      <c r="N33" s="300"/>
      <c r="O33" s="300"/>
      <c r="P33" s="300"/>
      <c r="Q33" s="300"/>
      <c r="R33" s="300"/>
      <c r="S33" s="651">
        <f>AVERAGE(S4:S31)</f>
        <v>0.68214285714285716</v>
      </c>
      <c r="T33" s="300"/>
      <c r="U33" s="300"/>
      <c r="V33" s="300"/>
      <c r="W33" s="300"/>
      <c r="X33" s="300"/>
      <c r="Y33" s="300"/>
      <c r="Z33" s="300"/>
      <c r="AA33" s="300"/>
      <c r="AB33" s="300"/>
      <c r="AC33" s="651">
        <f>AVERAGE(AC4:AC31)</f>
        <v>1.7564942499999998</v>
      </c>
      <c r="AD33" s="300"/>
      <c r="AF33" s="384" t="s">
        <v>775</v>
      </c>
      <c r="AG33" s="388" t="s">
        <v>874</v>
      </c>
      <c r="AH33" s="384" t="s">
        <v>1086</v>
      </c>
      <c r="AI33" s="389">
        <v>20</v>
      </c>
      <c r="AJ33" s="389">
        <v>20</v>
      </c>
      <c r="AK33" s="389">
        <f t="shared" si="0"/>
        <v>47.470238095238088</v>
      </c>
    </row>
    <row r="34" spans="12:37" x14ac:dyDescent="0.25"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</row>
    <row r="35" spans="12:37" x14ac:dyDescent="0.25">
      <c r="L35" s="390"/>
      <c r="M35" s="387"/>
      <c r="N35" s="309"/>
      <c r="O35" s="387"/>
      <c r="P35" s="387"/>
      <c r="Q35" s="387"/>
      <c r="R35" s="387"/>
      <c r="S35" s="387"/>
      <c r="T35" s="309"/>
      <c r="U35" s="309"/>
      <c r="V35" s="392"/>
      <c r="W35" s="387"/>
      <c r="X35" s="309"/>
      <c r="Y35" s="387"/>
      <c r="Z35" s="387"/>
      <c r="AA35" s="387"/>
      <c r="AB35" s="387"/>
      <c r="AC35" s="387"/>
      <c r="AD35" s="309"/>
      <c r="AF35" s="392"/>
      <c r="AJ35" s="652">
        <f>AVERAGE(AJ4:AJ33)</f>
        <v>47.470238095238088</v>
      </c>
    </row>
  </sheetData>
  <sortState ref="AF4:AK33">
    <sortCondition descending="1" ref="AJ4:AJ33"/>
  </sortState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6"/>
  <dimension ref="B2:O49"/>
  <sheetViews>
    <sheetView showGridLines="0" zoomScale="90" zoomScaleNormal="90" workbookViewId="0">
      <pane xSplit="2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P48" sqref="P48"/>
    </sheetView>
  </sheetViews>
  <sheetFormatPr defaultColWidth="9.140625" defaultRowHeight="11.25" customHeight="1" x14ac:dyDescent="0.25"/>
  <cols>
    <col min="1" max="1" width="13.5703125" style="395" customWidth="1"/>
    <col min="2" max="2" width="58.85546875" style="394" customWidth="1"/>
    <col min="3" max="3" width="6.85546875" style="394" customWidth="1"/>
    <col min="4" max="4" width="4.140625" style="394" customWidth="1"/>
    <col min="5" max="10" width="4.5703125" style="394" bestFit="1" customWidth="1"/>
    <col min="11" max="11" width="4.5703125" style="395" bestFit="1" customWidth="1"/>
    <col min="12" max="12" width="8" style="395" bestFit="1" customWidth="1"/>
    <col min="13" max="15" width="4.5703125" style="395" bestFit="1" customWidth="1"/>
    <col min="16" max="16384" width="9.140625" style="395"/>
  </cols>
  <sheetData>
    <row r="2" spans="2:15" ht="26.25" customHeight="1" thickBot="1" x14ac:dyDescent="0.3">
      <c r="B2" s="393" t="s">
        <v>885</v>
      </c>
    </row>
    <row r="3" spans="2:15" ht="11.25" customHeight="1" thickBot="1" x14ac:dyDescent="0.3">
      <c r="B3" s="670"/>
      <c r="C3" s="1035"/>
      <c r="D3" s="1035"/>
      <c r="E3" s="1035"/>
      <c r="F3" s="1035"/>
      <c r="G3" s="1035"/>
      <c r="H3" s="671"/>
      <c r="I3" s="1036"/>
      <c r="J3" s="1036"/>
      <c r="K3" s="1036"/>
      <c r="L3" s="1036"/>
      <c r="M3" s="1036"/>
      <c r="N3" s="1036"/>
      <c r="O3" s="397"/>
    </row>
    <row r="4" spans="2:15" ht="11.25" customHeight="1" thickBot="1" x14ac:dyDescent="0.3">
      <c r="B4" s="672" t="s">
        <v>117</v>
      </c>
      <c r="C4" s="673">
        <v>2016</v>
      </c>
      <c r="D4" s="673">
        <v>2017</v>
      </c>
      <c r="E4" s="673">
        <v>2018</v>
      </c>
      <c r="F4" s="673">
        <v>2019</v>
      </c>
      <c r="G4" s="672">
        <v>2020</v>
      </c>
      <c r="H4" s="674">
        <v>2021</v>
      </c>
      <c r="I4" s="673">
        <v>2016</v>
      </c>
      <c r="J4" s="673">
        <v>2017</v>
      </c>
      <c r="K4" s="673">
        <v>2018</v>
      </c>
      <c r="L4" s="673">
        <v>2019</v>
      </c>
      <c r="M4" s="673">
        <v>2020</v>
      </c>
      <c r="N4" s="673">
        <v>2021</v>
      </c>
    </row>
    <row r="5" spans="2:15" ht="11.25" customHeight="1" x14ac:dyDescent="0.25">
      <c r="B5" s="675" t="s">
        <v>1131</v>
      </c>
      <c r="C5" s="676" t="s">
        <v>1132</v>
      </c>
      <c r="D5" s="676">
        <v>-49.779000000000003</v>
      </c>
      <c r="E5" s="676" t="s">
        <v>1132</v>
      </c>
      <c r="F5" s="676" t="s">
        <v>1132</v>
      </c>
      <c r="G5" s="677" t="s">
        <v>1132</v>
      </c>
      <c r="H5" s="678" t="s">
        <v>1132</v>
      </c>
      <c r="I5" s="676" t="s">
        <v>1132</v>
      </c>
      <c r="J5" s="676">
        <v>-49.779000000000003</v>
      </c>
      <c r="K5" s="676" t="s">
        <v>1132</v>
      </c>
      <c r="L5" s="676" t="s">
        <v>1132</v>
      </c>
      <c r="M5" s="676" t="s">
        <v>1132</v>
      </c>
      <c r="N5" s="676" t="s">
        <v>1132</v>
      </c>
    </row>
    <row r="6" spans="2:15" ht="11.25" customHeight="1" x14ac:dyDescent="0.25">
      <c r="B6" s="679" t="s">
        <v>123</v>
      </c>
      <c r="C6" s="677" t="s">
        <v>1132</v>
      </c>
      <c r="D6" s="677" t="s">
        <v>1132</v>
      </c>
      <c r="E6" s="677" t="s">
        <v>1132</v>
      </c>
      <c r="F6" s="677" t="s">
        <v>1132</v>
      </c>
      <c r="G6" s="677" t="s">
        <v>1132</v>
      </c>
      <c r="H6" s="678" t="s">
        <v>1132</v>
      </c>
      <c r="I6" s="677" t="s">
        <v>1132</v>
      </c>
      <c r="J6" s="677" t="s">
        <v>1132</v>
      </c>
      <c r="K6" s="677" t="s">
        <v>1132</v>
      </c>
      <c r="L6" s="677" t="s">
        <v>1132</v>
      </c>
      <c r="M6" s="677" t="s">
        <v>1132</v>
      </c>
      <c r="N6" s="677" t="s">
        <v>1132</v>
      </c>
    </row>
    <row r="7" spans="2:15" ht="11.25" customHeight="1" x14ac:dyDescent="0.25">
      <c r="B7" s="679" t="s">
        <v>118</v>
      </c>
      <c r="C7" s="677" t="s">
        <v>1132</v>
      </c>
      <c r="D7" s="677" t="s">
        <v>1132</v>
      </c>
      <c r="E7" s="677" t="s">
        <v>1132</v>
      </c>
      <c r="F7" s="677" t="s">
        <v>1132</v>
      </c>
      <c r="G7" s="677" t="s">
        <v>1132</v>
      </c>
      <c r="H7" s="678" t="s">
        <v>1132</v>
      </c>
      <c r="I7" s="677" t="s">
        <v>1132</v>
      </c>
      <c r="J7" s="677" t="s">
        <v>1132</v>
      </c>
      <c r="K7" s="677" t="s">
        <v>1132</v>
      </c>
      <c r="L7" s="677" t="s">
        <v>1132</v>
      </c>
      <c r="M7" s="677" t="s">
        <v>1132</v>
      </c>
      <c r="N7" s="677" t="s">
        <v>1132</v>
      </c>
    </row>
    <row r="8" spans="2:15" ht="11.25" customHeight="1" x14ac:dyDescent="0.25">
      <c r="B8" s="679" t="s">
        <v>819</v>
      </c>
      <c r="C8" s="677" t="s">
        <v>1132</v>
      </c>
      <c r="D8" s="677" t="s">
        <v>1132</v>
      </c>
      <c r="E8" s="677" t="s">
        <v>1132</v>
      </c>
      <c r="F8" s="677" t="s">
        <v>1132</v>
      </c>
      <c r="G8" s="677" t="s">
        <v>1132</v>
      </c>
      <c r="H8" s="678" t="s">
        <v>1132</v>
      </c>
      <c r="I8" s="677" t="s">
        <v>1132</v>
      </c>
      <c r="J8" s="677" t="s">
        <v>1132</v>
      </c>
      <c r="K8" s="677" t="s">
        <v>1132</v>
      </c>
      <c r="L8" s="677" t="s">
        <v>1132</v>
      </c>
      <c r="M8" s="677" t="s">
        <v>1132</v>
      </c>
      <c r="N8" s="677" t="s">
        <v>1132</v>
      </c>
    </row>
    <row r="9" spans="2:15" ht="11.25" customHeight="1" x14ac:dyDescent="0.25">
      <c r="B9" s="679" t="s">
        <v>119</v>
      </c>
      <c r="C9" s="677" t="s">
        <v>1132</v>
      </c>
      <c r="D9" s="677" t="s">
        <v>1132</v>
      </c>
      <c r="E9" s="677" t="s">
        <v>1132</v>
      </c>
      <c r="F9" s="677" t="s">
        <v>1132</v>
      </c>
      <c r="G9" s="677" t="s">
        <v>1132</v>
      </c>
      <c r="H9" s="678" t="s">
        <v>1132</v>
      </c>
      <c r="I9" s="677" t="s">
        <v>1132</v>
      </c>
      <c r="J9" s="677" t="s">
        <v>1132</v>
      </c>
      <c r="K9" s="677" t="s">
        <v>1132</v>
      </c>
      <c r="L9" s="677" t="s">
        <v>1132</v>
      </c>
      <c r="M9" s="677" t="s">
        <v>1132</v>
      </c>
      <c r="N9" s="677" t="s">
        <v>1132</v>
      </c>
    </row>
    <row r="10" spans="2:15" ht="11.25" customHeight="1" x14ac:dyDescent="0.25">
      <c r="B10" s="679" t="s">
        <v>120</v>
      </c>
      <c r="C10" s="677" t="s">
        <v>1132</v>
      </c>
      <c r="D10" s="677" t="s">
        <v>1132</v>
      </c>
      <c r="E10" s="677" t="s">
        <v>1132</v>
      </c>
      <c r="F10" s="677" t="s">
        <v>1132</v>
      </c>
      <c r="G10" s="677" t="s">
        <v>1132</v>
      </c>
      <c r="H10" s="678" t="s">
        <v>1132</v>
      </c>
      <c r="I10" s="677" t="s">
        <v>1132</v>
      </c>
      <c r="J10" s="677" t="s">
        <v>1132</v>
      </c>
      <c r="K10" s="677" t="s">
        <v>1132</v>
      </c>
      <c r="L10" s="677" t="s">
        <v>1132</v>
      </c>
      <c r="M10" s="677" t="s">
        <v>1132</v>
      </c>
      <c r="N10" s="677" t="s">
        <v>1132</v>
      </c>
    </row>
    <row r="11" spans="2:15" ht="11.25" customHeight="1" x14ac:dyDescent="0.25">
      <c r="B11" s="679" t="s">
        <v>121</v>
      </c>
      <c r="C11" s="677" t="s">
        <v>1132</v>
      </c>
      <c r="D11" s="677" t="s">
        <v>1132</v>
      </c>
      <c r="E11" s="677" t="s">
        <v>1132</v>
      </c>
      <c r="F11" s="677" t="s">
        <v>1132</v>
      </c>
      <c r="G11" s="677" t="s">
        <v>1132</v>
      </c>
      <c r="H11" s="678" t="s">
        <v>1132</v>
      </c>
      <c r="I11" s="677" t="s">
        <v>1132</v>
      </c>
      <c r="J11" s="677" t="s">
        <v>1132</v>
      </c>
      <c r="K11" s="677" t="s">
        <v>1132</v>
      </c>
      <c r="L11" s="677" t="s">
        <v>1132</v>
      </c>
      <c r="M11" s="677" t="s">
        <v>1132</v>
      </c>
      <c r="N11" s="677" t="s">
        <v>1132</v>
      </c>
    </row>
    <row r="12" spans="2:15" ht="11.25" customHeight="1" x14ac:dyDescent="0.25">
      <c r="B12" s="679" t="s">
        <v>122</v>
      </c>
      <c r="C12" s="677">
        <v>28.5443344918882</v>
      </c>
      <c r="D12" s="677" t="s">
        <v>1132</v>
      </c>
      <c r="E12" s="677" t="s">
        <v>1132</v>
      </c>
      <c r="F12" s="677" t="s">
        <v>1132</v>
      </c>
      <c r="G12" s="677" t="s">
        <v>1132</v>
      </c>
      <c r="H12" s="678" t="s">
        <v>1132</v>
      </c>
      <c r="I12" s="677">
        <v>12.550390918238399</v>
      </c>
      <c r="J12" s="677" t="s">
        <v>1132</v>
      </c>
      <c r="K12" s="677" t="s">
        <v>1132</v>
      </c>
      <c r="L12" s="677" t="s">
        <v>1132</v>
      </c>
      <c r="M12" s="677" t="s">
        <v>1132</v>
      </c>
      <c r="N12" s="677" t="s">
        <v>1132</v>
      </c>
    </row>
    <row r="13" spans="2:15" ht="11.25" customHeight="1" x14ac:dyDescent="0.25">
      <c r="B13" s="679" t="s">
        <v>1133</v>
      </c>
      <c r="C13" s="677">
        <v>-171.21921166431204</v>
      </c>
      <c r="D13" s="677">
        <v>-155.83871072228874</v>
      </c>
      <c r="E13" s="677">
        <v>-102.47029900812694</v>
      </c>
      <c r="F13" s="677">
        <v>-89.527285434592969</v>
      </c>
      <c r="G13" s="677">
        <v>-78.784011182441816</v>
      </c>
      <c r="H13" s="678">
        <v>-69.44273129083993</v>
      </c>
      <c r="I13" s="677">
        <v>-109.1055488071692</v>
      </c>
      <c r="J13" s="677">
        <v>15.380500942023325</v>
      </c>
      <c r="K13" s="677">
        <v>53.368411714161788</v>
      </c>
      <c r="L13" s="677">
        <v>12.943013573533971</v>
      </c>
      <c r="M13" s="677">
        <v>10.743274252151153</v>
      </c>
      <c r="N13" s="677">
        <v>9.3412798916018804</v>
      </c>
    </row>
    <row r="14" spans="2:15" ht="11.25" customHeight="1" x14ac:dyDescent="0.25">
      <c r="B14" s="679" t="s">
        <v>820</v>
      </c>
      <c r="C14" s="677">
        <v>3.4</v>
      </c>
      <c r="D14" s="677" t="s">
        <v>1132</v>
      </c>
      <c r="E14" s="677" t="s">
        <v>1132</v>
      </c>
      <c r="F14" s="677" t="s">
        <v>1132</v>
      </c>
      <c r="G14" s="677" t="s">
        <v>1132</v>
      </c>
      <c r="H14" s="678" t="s">
        <v>1132</v>
      </c>
      <c r="I14" s="677">
        <v>6.8</v>
      </c>
      <c r="J14" s="677" t="s">
        <v>1132</v>
      </c>
      <c r="K14" s="677" t="s">
        <v>1132</v>
      </c>
      <c r="L14" s="677" t="s">
        <v>1132</v>
      </c>
      <c r="M14" s="677" t="s">
        <v>1132</v>
      </c>
      <c r="N14" s="677" t="s">
        <v>1132</v>
      </c>
    </row>
    <row r="15" spans="2:15" ht="11.25" customHeight="1" x14ac:dyDescent="0.25">
      <c r="B15" s="679" t="s">
        <v>821</v>
      </c>
      <c r="C15" s="677">
        <v>-76.900000000000006</v>
      </c>
      <c r="D15" s="677" t="s">
        <v>1132</v>
      </c>
      <c r="E15" s="677" t="s">
        <v>1132</v>
      </c>
      <c r="F15" s="677" t="s">
        <v>1132</v>
      </c>
      <c r="G15" s="677" t="s">
        <v>1132</v>
      </c>
      <c r="H15" s="678" t="s">
        <v>1132</v>
      </c>
      <c r="I15" s="677">
        <v>-76.900000000000006</v>
      </c>
      <c r="J15" s="677" t="s">
        <v>1132</v>
      </c>
      <c r="K15" s="677" t="s">
        <v>1132</v>
      </c>
      <c r="L15" s="677" t="s">
        <v>1132</v>
      </c>
      <c r="M15" s="677" t="s">
        <v>1132</v>
      </c>
      <c r="N15" s="677" t="s">
        <v>1132</v>
      </c>
    </row>
    <row r="16" spans="2:15" ht="11.25" customHeight="1" x14ac:dyDescent="0.25">
      <c r="B16" s="679" t="s">
        <v>1134</v>
      </c>
      <c r="C16" s="677" t="s">
        <v>1132</v>
      </c>
      <c r="D16" s="677" t="s">
        <v>1132</v>
      </c>
      <c r="E16" s="677" t="s">
        <v>1132</v>
      </c>
      <c r="F16" s="677" t="s">
        <v>1132</v>
      </c>
      <c r="G16" s="677" t="s">
        <v>1132</v>
      </c>
      <c r="H16" s="678" t="s">
        <v>1132</v>
      </c>
      <c r="I16" s="677" t="s">
        <v>1132</v>
      </c>
      <c r="J16" s="677" t="s">
        <v>1132</v>
      </c>
      <c r="K16" s="677" t="s">
        <v>1132</v>
      </c>
      <c r="L16" s="677" t="s">
        <v>1132</v>
      </c>
      <c r="M16" s="677" t="s">
        <v>1132</v>
      </c>
      <c r="N16" s="677" t="s">
        <v>1132</v>
      </c>
    </row>
    <row r="17" spans="2:14" ht="11.25" customHeight="1" x14ac:dyDescent="0.25">
      <c r="B17" s="679" t="s">
        <v>1135</v>
      </c>
      <c r="C17" s="677">
        <v>4.069</v>
      </c>
      <c r="D17" s="677">
        <v>5.5049999999999999</v>
      </c>
      <c r="E17" s="677" t="s">
        <v>1132</v>
      </c>
      <c r="F17" s="677" t="s">
        <v>1132</v>
      </c>
      <c r="G17" s="677" t="s">
        <v>1132</v>
      </c>
      <c r="H17" s="678" t="s">
        <v>1132</v>
      </c>
      <c r="I17" s="677">
        <v>4.069</v>
      </c>
      <c r="J17" s="677">
        <v>1.4359999999999999</v>
      </c>
      <c r="K17" s="677" t="s">
        <v>1132</v>
      </c>
      <c r="L17" s="677" t="s">
        <v>1132</v>
      </c>
      <c r="M17" s="677" t="s">
        <v>1132</v>
      </c>
      <c r="N17" s="677" t="s">
        <v>1132</v>
      </c>
    </row>
    <row r="18" spans="2:14" ht="11.25" customHeight="1" x14ac:dyDescent="0.25">
      <c r="B18" s="679" t="s">
        <v>822</v>
      </c>
      <c r="C18" s="677" t="s">
        <v>1132</v>
      </c>
      <c r="D18" s="677">
        <v>6.4939999999999998</v>
      </c>
      <c r="E18" s="677" t="s">
        <v>1132</v>
      </c>
      <c r="F18" s="677" t="s">
        <v>1132</v>
      </c>
      <c r="G18" s="677" t="s">
        <v>1132</v>
      </c>
      <c r="H18" s="678" t="s">
        <v>1132</v>
      </c>
      <c r="I18" s="677" t="s">
        <v>1132</v>
      </c>
      <c r="J18" s="677">
        <v>6.4939999999999998</v>
      </c>
      <c r="K18" s="677" t="s">
        <v>1132</v>
      </c>
      <c r="L18" s="677" t="s">
        <v>1132</v>
      </c>
      <c r="M18" s="677" t="s">
        <v>1132</v>
      </c>
      <c r="N18" s="677" t="s">
        <v>1132</v>
      </c>
    </row>
    <row r="19" spans="2:14" ht="11.25" customHeight="1" x14ac:dyDescent="0.25">
      <c r="B19" s="679" t="s">
        <v>1136</v>
      </c>
      <c r="C19" s="677">
        <v>-11.290000000000003</v>
      </c>
      <c r="D19" s="677" t="s">
        <v>1132</v>
      </c>
      <c r="E19" s="677" t="s">
        <v>1132</v>
      </c>
      <c r="F19" s="677" t="s">
        <v>1132</v>
      </c>
      <c r="G19" s="677" t="s">
        <v>1132</v>
      </c>
      <c r="H19" s="678" t="s">
        <v>1132</v>
      </c>
      <c r="I19" s="677">
        <v>-11.290000000000003</v>
      </c>
      <c r="J19" s="677" t="s">
        <v>1132</v>
      </c>
      <c r="K19" s="677" t="s">
        <v>1132</v>
      </c>
      <c r="L19" s="677" t="s">
        <v>1132</v>
      </c>
      <c r="M19" s="677" t="s">
        <v>1132</v>
      </c>
      <c r="N19" s="677" t="s">
        <v>1132</v>
      </c>
    </row>
    <row r="20" spans="2:14" ht="11.25" customHeight="1" x14ac:dyDescent="0.25">
      <c r="B20" s="679" t="s">
        <v>1137</v>
      </c>
      <c r="C20" s="677" t="s">
        <v>1132</v>
      </c>
      <c r="D20" s="677">
        <v>-111.53741194066819</v>
      </c>
      <c r="E20" s="677" t="s">
        <v>1132</v>
      </c>
      <c r="F20" s="677" t="s">
        <v>1132</v>
      </c>
      <c r="G20" s="677" t="s">
        <v>1132</v>
      </c>
      <c r="H20" s="678" t="s">
        <v>1132</v>
      </c>
      <c r="I20" s="677" t="s">
        <v>1132</v>
      </c>
      <c r="J20" s="677">
        <v>-111.53741194066819</v>
      </c>
      <c r="K20" s="677" t="s">
        <v>1132</v>
      </c>
      <c r="L20" s="677" t="s">
        <v>1132</v>
      </c>
      <c r="M20" s="677" t="s">
        <v>1132</v>
      </c>
      <c r="N20" s="677" t="s">
        <v>1132</v>
      </c>
    </row>
    <row r="21" spans="2:14" ht="11.25" customHeight="1" x14ac:dyDescent="0.25">
      <c r="B21" s="679" t="s">
        <v>1138</v>
      </c>
      <c r="C21" s="677" t="s">
        <v>1132</v>
      </c>
      <c r="E21" s="677" t="s">
        <v>1132</v>
      </c>
      <c r="F21" s="677">
        <v>25.401499999999999</v>
      </c>
      <c r="G21" s="677" t="s">
        <v>1132</v>
      </c>
      <c r="H21" s="678" t="s">
        <v>1132</v>
      </c>
      <c r="I21" s="677" t="s">
        <v>1132</v>
      </c>
      <c r="J21" s="677" t="s">
        <v>1132</v>
      </c>
      <c r="K21" s="677" t="s">
        <v>1132</v>
      </c>
      <c r="L21" s="677">
        <v>37.191000000000003</v>
      </c>
      <c r="M21" s="677" t="s">
        <v>1132</v>
      </c>
      <c r="N21" s="677" t="s">
        <v>1132</v>
      </c>
    </row>
    <row r="22" spans="2:14" ht="11.25" customHeight="1" x14ac:dyDescent="0.25">
      <c r="B22" s="679" t="s">
        <v>823</v>
      </c>
      <c r="C22" s="677" t="s">
        <v>1132</v>
      </c>
      <c r="D22" s="677">
        <v>63.877161089086151</v>
      </c>
      <c r="E22" s="677" t="s">
        <v>1132</v>
      </c>
      <c r="F22" s="677">
        <v>35.842577657842803</v>
      </c>
      <c r="G22" s="677" t="s">
        <v>1132</v>
      </c>
      <c r="H22" s="678">
        <v>20.111888995298358</v>
      </c>
      <c r="I22" s="677" t="s">
        <v>1132</v>
      </c>
      <c r="J22" s="677">
        <v>63.877161089086151</v>
      </c>
      <c r="K22" s="677" t="s">
        <v>1132</v>
      </c>
      <c r="L22" s="677">
        <v>-28.034583431243345</v>
      </c>
      <c r="M22" s="677" t="s">
        <v>1132</v>
      </c>
      <c r="N22" s="677">
        <v>-15.730688662544447</v>
      </c>
    </row>
    <row r="23" spans="2:14" ht="11.25" customHeight="1" x14ac:dyDescent="0.25">
      <c r="B23" s="679" t="s">
        <v>1139</v>
      </c>
      <c r="C23" s="677" t="s">
        <v>1132</v>
      </c>
      <c r="D23" s="677">
        <v>29.565999999999999</v>
      </c>
      <c r="E23" s="681" t="s">
        <v>1132</v>
      </c>
      <c r="F23" s="681">
        <v>68.343999999999994</v>
      </c>
      <c r="G23" s="681" t="s">
        <v>1132</v>
      </c>
      <c r="H23" s="682" t="s">
        <v>1132</v>
      </c>
      <c r="I23" s="677" t="s">
        <v>1132</v>
      </c>
      <c r="J23" s="677">
        <v>29.565999999999999</v>
      </c>
      <c r="K23" s="677" t="s">
        <v>1132</v>
      </c>
      <c r="L23" s="677">
        <v>38.777999999999999</v>
      </c>
      <c r="M23" s="677" t="s">
        <v>1132</v>
      </c>
      <c r="N23" s="677" t="s">
        <v>1132</v>
      </c>
    </row>
    <row r="24" spans="2:14" ht="11.25" customHeight="1" x14ac:dyDescent="0.25">
      <c r="B24" s="679" t="s">
        <v>824</v>
      </c>
      <c r="C24" s="677" t="s">
        <v>1132</v>
      </c>
      <c r="D24" s="677">
        <v>50.277093246150024</v>
      </c>
      <c r="E24" s="681" t="s">
        <v>1132</v>
      </c>
      <c r="F24" s="681" t="s">
        <v>1132</v>
      </c>
      <c r="G24" s="681" t="s">
        <v>1132</v>
      </c>
      <c r="H24" s="682" t="s">
        <v>1132</v>
      </c>
      <c r="I24" s="677" t="s">
        <v>1132</v>
      </c>
      <c r="J24" s="677">
        <v>50.277093246150024</v>
      </c>
      <c r="K24" s="677" t="s">
        <v>1132</v>
      </c>
      <c r="L24" s="677" t="s">
        <v>1132</v>
      </c>
      <c r="M24" s="677" t="s">
        <v>1132</v>
      </c>
      <c r="N24" s="677">
        <v>-50.277093246150024</v>
      </c>
    </row>
    <row r="25" spans="2:14" ht="11.25" customHeight="1" x14ac:dyDescent="0.25">
      <c r="B25" s="679" t="s">
        <v>825</v>
      </c>
      <c r="C25" s="677" t="s">
        <v>1132</v>
      </c>
      <c r="D25" s="677" t="s">
        <v>1132</v>
      </c>
      <c r="E25" s="681">
        <v>44.238817000000004</v>
      </c>
      <c r="F25" s="681" t="s">
        <v>1132</v>
      </c>
      <c r="G25" s="681" t="s">
        <v>1132</v>
      </c>
      <c r="H25" s="682" t="s">
        <v>1132</v>
      </c>
      <c r="I25" s="677" t="s">
        <v>1132</v>
      </c>
      <c r="J25" s="677" t="s">
        <v>1132</v>
      </c>
      <c r="K25" s="677">
        <v>44.238817000000004</v>
      </c>
      <c r="L25" s="677" t="s">
        <v>1132</v>
      </c>
      <c r="M25" s="677" t="s">
        <v>1132</v>
      </c>
      <c r="N25" s="677" t="s">
        <v>1132</v>
      </c>
    </row>
    <row r="26" spans="2:14" ht="11.25" customHeight="1" x14ac:dyDescent="0.25">
      <c r="B26" s="679" t="s">
        <v>1140</v>
      </c>
      <c r="C26" s="677" t="s">
        <v>1132</v>
      </c>
      <c r="D26" s="677">
        <v>2.7</v>
      </c>
      <c r="E26" s="681" t="s">
        <v>1132</v>
      </c>
      <c r="F26" s="681" t="s">
        <v>1132</v>
      </c>
      <c r="G26" s="681" t="s">
        <v>1132</v>
      </c>
      <c r="H26" s="682" t="s">
        <v>1132</v>
      </c>
      <c r="I26" s="677" t="s">
        <v>1132</v>
      </c>
      <c r="J26" s="677">
        <v>2.7</v>
      </c>
      <c r="K26" s="677" t="s">
        <v>1132</v>
      </c>
      <c r="L26" s="677" t="s">
        <v>1132</v>
      </c>
      <c r="M26" s="677" t="s">
        <v>1132</v>
      </c>
      <c r="N26" s="677" t="s">
        <v>1132</v>
      </c>
    </row>
    <row r="27" spans="2:14" ht="11.25" customHeight="1" x14ac:dyDescent="0.25">
      <c r="B27" s="679" t="s">
        <v>826</v>
      </c>
      <c r="C27" s="677" t="s">
        <v>1132</v>
      </c>
      <c r="D27" s="677">
        <v>-4.5</v>
      </c>
      <c r="E27" s="681" t="s">
        <v>1132</v>
      </c>
      <c r="F27" s="681" t="s">
        <v>1132</v>
      </c>
      <c r="G27" s="681" t="s">
        <v>1132</v>
      </c>
      <c r="H27" s="682" t="s">
        <v>1132</v>
      </c>
      <c r="I27" s="677" t="s">
        <v>1132</v>
      </c>
      <c r="J27" s="677">
        <v>-4.5</v>
      </c>
      <c r="K27" s="677" t="s">
        <v>1132</v>
      </c>
      <c r="L27" s="677" t="s">
        <v>1132</v>
      </c>
      <c r="M27" s="677" t="s">
        <v>1132</v>
      </c>
      <c r="N27" s="677" t="s">
        <v>1132</v>
      </c>
    </row>
    <row r="28" spans="2:14" ht="11.25" customHeight="1" x14ac:dyDescent="0.25">
      <c r="B28" s="679" t="s">
        <v>827</v>
      </c>
      <c r="C28" s="677" t="s">
        <v>1132</v>
      </c>
      <c r="D28" s="677">
        <v>-13.4</v>
      </c>
      <c r="E28" s="681">
        <v>-20.6</v>
      </c>
      <c r="F28" s="681">
        <v>-24.6</v>
      </c>
      <c r="G28" s="681" t="s">
        <v>1132</v>
      </c>
      <c r="H28" s="682" t="s">
        <v>1132</v>
      </c>
      <c r="I28" s="677" t="s">
        <v>1132</v>
      </c>
      <c r="J28" s="677">
        <v>-13.4</v>
      </c>
      <c r="K28" s="677">
        <v>-7.2</v>
      </c>
      <c r="L28" s="677">
        <v>-4</v>
      </c>
      <c r="M28" s="677" t="s">
        <v>1132</v>
      </c>
      <c r="N28" s="677" t="s">
        <v>1132</v>
      </c>
    </row>
    <row r="29" spans="2:14" ht="11.25" customHeight="1" x14ac:dyDescent="0.25">
      <c r="B29" s="679" t="s">
        <v>828</v>
      </c>
      <c r="C29" s="677" t="s">
        <v>1132</v>
      </c>
      <c r="D29" s="677">
        <v>90.4</v>
      </c>
      <c r="E29" s="681">
        <v>76.5</v>
      </c>
      <c r="F29" s="681" t="s">
        <v>1132</v>
      </c>
      <c r="G29" s="681" t="s">
        <v>1132</v>
      </c>
      <c r="H29" s="682" t="s">
        <v>1132</v>
      </c>
      <c r="I29" s="677" t="s">
        <v>1132</v>
      </c>
      <c r="J29" s="677">
        <v>90.4</v>
      </c>
      <c r="K29" s="677">
        <v>-13.9</v>
      </c>
      <c r="L29" s="677" t="s">
        <v>1132</v>
      </c>
      <c r="M29" s="677" t="s">
        <v>1132</v>
      </c>
      <c r="N29" s="677" t="s">
        <v>1132</v>
      </c>
    </row>
    <row r="30" spans="2:14" ht="11.25" customHeight="1" x14ac:dyDescent="0.25">
      <c r="B30" s="679" t="s">
        <v>1141</v>
      </c>
      <c r="C30" s="677" t="s">
        <v>1132</v>
      </c>
      <c r="D30" s="677">
        <v>56.531999999999996</v>
      </c>
      <c r="E30" s="681" t="s">
        <v>1132</v>
      </c>
      <c r="F30" s="681" t="s">
        <v>1132</v>
      </c>
      <c r="G30" s="681" t="s">
        <v>1132</v>
      </c>
      <c r="H30" s="682" t="s">
        <v>1132</v>
      </c>
      <c r="I30" s="677" t="s">
        <v>1132</v>
      </c>
      <c r="J30" s="677">
        <v>56.531999999999996</v>
      </c>
      <c r="K30" s="677" t="s">
        <v>1132</v>
      </c>
      <c r="L30" s="677" t="s">
        <v>1132</v>
      </c>
      <c r="M30" s="677" t="s">
        <v>1132</v>
      </c>
      <c r="N30" s="677" t="s">
        <v>1132</v>
      </c>
    </row>
    <row r="31" spans="2:14" ht="11.25" customHeight="1" x14ac:dyDescent="0.25">
      <c r="B31" s="679" t="s">
        <v>829</v>
      </c>
      <c r="C31" s="677" t="s">
        <v>1132</v>
      </c>
      <c r="D31" s="677" t="s">
        <v>1132</v>
      </c>
      <c r="E31" s="681">
        <v>-115</v>
      </c>
      <c r="F31" s="681" t="s">
        <v>1132</v>
      </c>
      <c r="G31" s="681" t="s">
        <v>1132</v>
      </c>
      <c r="H31" s="682" t="s">
        <v>1132</v>
      </c>
      <c r="I31" s="677" t="s">
        <v>1132</v>
      </c>
      <c r="J31" s="677" t="s">
        <v>1132</v>
      </c>
      <c r="K31" s="677">
        <v>-115</v>
      </c>
      <c r="L31" s="677" t="s">
        <v>1132</v>
      </c>
      <c r="M31" s="677" t="s">
        <v>1132</v>
      </c>
      <c r="N31" s="677" t="s">
        <v>1132</v>
      </c>
    </row>
    <row r="32" spans="2:14" ht="11.25" customHeight="1" x14ac:dyDescent="0.25">
      <c r="B32" s="679" t="s">
        <v>1142</v>
      </c>
      <c r="C32" s="677" t="s">
        <v>1132</v>
      </c>
      <c r="D32" s="677">
        <v>5.5567380199999894</v>
      </c>
      <c r="E32" s="681" t="s">
        <v>1132</v>
      </c>
      <c r="F32" s="681" t="s">
        <v>1132</v>
      </c>
      <c r="G32" s="681" t="s">
        <v>1132</v>
      </c>
      <c r="H32" s="682" t="s">
        <v>1132</v>
      </c>
      <c r="I32" s="677" t="s">
        <v>1132</v>
      </c>
      <c r="J32" s="677">
        <v>5.5567380199999894</v>
      </c>
      <c r="K32" s="677" t="s">
        <v>1132</v>
      </c>
      <c r="L32" s="677" t="s">
        <v>1132</v>
      </c>
      <c r="M32" s="677" t="s">
        <v>1132</v>
      </c>
      <c r="N32" s="677" t="s">
        <v>1132</v>
      </c>
    </row>
    <row r="33" spans="2:14" ht="11.25" customHeight="1" x14ac:dyDescent="0.25">
      <c r="B33" s="679" t="s">
        <v>1143</v>
      </c>
      <c r="C33" s="677" t="s">
        <v>1132</v>
      </c>
      <c r="D33" s="677">
        <v>16.259273279999999</v>
      </c>
      <c r="E33" s="681">
        <v>15</v>
      </c>
      <c r="F33" s="681" t="s">
        <v>1132</v>
      </c>
      <c r="G33" s="681" t="s">
        <v>1132</v>
      </c>
      <c r="H33" s="682" t="s">
        <v>1132</v>
      </c>
      <c r="I33" s="677" t="s">
        <v>1132</v>
      </c>
      <c r="J33" s="677">
        <v>16.259273279999999</v>
      </c>
      <c r="K33" s="677">
        <v>-1.2592732799999995</v>
      </c>
      <c r="L33" s="677">
        <v>-15</v>
      </c>
      <c r="M33" s="677" t="s">
        <v>1132</v>
      </c>
      <c r="N33" s="677" t="s">
        <v>1132</v>
      </c>
    </row>
    <row r="34" spans="2:14" ht="11.25" customHeight="1" x14ac:dyDescent="0.25">
      <c r="B34" s="679" t="s">
        <v>1144</v>
      </c>
      <c r="C34" s="677" t="s">
        <v>1132</v>
      </c>
      <c r="D34" s="677">
        <v>2.64859504</v>
      </c>
      <c r="E34" s="681" t="s">
        <v>1132</v>
      </c>
      <c r="F34" s="681" t="s">
        <v>1132</v>
      </c>
      <c r="G34" s="681" t="s">
        <v>1132</v>
      </c>
      <c r="H34" s="682" t="s">
        <v>1132</v>
      </c>
      <c r="I34" s="677" t="s">
        <v>1132</v>
      </c>
      <c r="J34" s="677">
        <v>2.64859504</v>
      </c>
      <c r="K34" s="677" t="s">
        <v>1132</v>
      </c>
      <c r="L34" s="677" t="s">
        <v>1132</v>
      </c>
      <c r="M34" s="677" t="s">
        <v>1132</v>
      </c>
      <c r="N34" s="677" t="s">
        <v>1132</v>
      </c>
    </row>
    <row r="35" spans="2:14" ht="11.25" customHeight="1" x14ac:dyDescent="0.25">
      <c r="B35" s="679" t="s">
        <v>1145</v>
      </c>
      <c r="C35" s="677" t="s">
        <v>1132</v>
      </c>
      <c r="D35" s="677">
        <v>9.8000000000000007</v>
      </c>
      <c r="E35" s="681" t="s">
        <v>1132</v>
      </c>
      <c r="F35" s="681" t="s">
        <v>1132</v>
      </c>
      <c r="G35" s="681" t="s">
        <v>1132</v>
      </c>
      <c r="H35" s="682" t="s">
        <v>1132</v>
      </c>
      <c r="I35" s="677" t="s">
        <v>1132</v>
      </c>
      <c r="J35" s="677">
        <v>9.8000000000000007</v>
      </c>
      <c r="K35" s="677" t="s">
        <v>1132</v>
      </c>
      <c r="L35" s="677" t="s">
        <v>1132</v>
      </c>
      <c r="M35" s="677" t="s">
        <v>1132</v>
      </c>
      <c r="N35" s="677" t="s">
        <v>1132</v>
      </c>
    </row>
    <row r="36" spans="2:14" ht="11.25" customHeight="1" x14ac:dyDescent="0.25">
      <c r="B36" s="679" t="s">
        <v>1146</v>
      </c>
      <c r="C36" s="677" t="s">
        <v>1132</v>
      </c>
      <c r="D36" s="677">
        <v>-28.109937500000001</v>
      </c>
      <c r="E36" s="681">
        <v>-60.2930588235294</v>
      </c>
      <c r="F36" s="681">
        <v>-96.419382491554202</v>
      </c>
      <c r="G36" s="681">
        <v>-136.09141769379201</v>
      </c>
      <c r="H36" s="682">
        <v>-180.16437073435898</v>
      </c>
      <c r="I36" s="677" t="s">
        <v>1132</v>
      </c>
      <c r="J36" s="677">
        <v>-28.109937500000001</v>
      </c>
      <c r="K36" s="677">
        <v>-32.183121323529399</v>
      </c>
      <c r="L36" s="677">
        <v>-36.12632366802481</v>
      </c>
      <c r="M36" s="677">
        <v>-39.672035202237794</v>
      </c>
      <c r="N36" s="677">
        <v>-44.072953040566993</v>
      </c>
    </row>
    <row r="37" spans="2:14" ht="11.25" customHeight="1" x14ac:dyDescent="0.25">
      <c r="B37" s="679" t="s">
        <v>1147</v>
      </c>
      <c r="C37" s="677" t="s">
        <v>1132</v>
      </c>
      <c r="D37" s="677" t="s">
        <v>1132</v>
      </c>
      <c r="E37" s="681">
        <v>-9.0129999999999999</v>
      </c>
      <c r="F37" s="681" t="s">
        <v>1132</v>
      </c>
      <c r="G37" s="681" t="s">
        <v>1132</v>
      </c>
      <c r="H37" s="682" t="s">
        <v>1132</v>
      </c>
      <c r="I37" s="677" t="s">
        <v>1132</v>
      </c>
      <c r="J37" s="677" t="s">
        <v>1132</v>
      </c>
      <c r="K37" s="677">
        <v>-9.0129999999999999</v>
      </c>
      <c r="L37" s="677" t="s">
        <v>1132</v>
      </c>
      <c r="M37" s="677" t="s">
        <v>1132</v>
      </c>
      <c r="N37" s="677" t="s">
        <v>1132</v>
      </c>
    </row>
    <row r="38" spans="2:14" ht="11.25" customHeight="1" x14ac:dyDescent="0.25">
      <c r="B38" s="679" t="s">
        <v>1148</v>
      </c>
      <c r="C38" s="677" t="s">
        <v>1132</v>
      </c>
      <c r="D38" s="677" t="s">
        <v>1132</v>
      </c>
      <c r="E38" s="681">
        <v>-0.14199999999999999</v>
      </c>
      <c r="F38" s="681">
        <v>-0.71</v>
      </c>
      <c r="G38" s="681" t="s">
        <v>1132</v>
      </c>
      <c r="H38" s="682" t="s">
        <v>1132</v>
      </c>
      <c r="I38" s="677" t="s">
        <v>1132</v>
      </c>
      <c r="J38" s="677" t="s">
        <v>1132</v>
      </c>
      <c r="K38" s="677">
        <v>-0.14199999999999999</v>
      </c>
      <c r="L38" s="677">
        <v>-0.56799999999999995</v>
      </c>
      <c r="M38" s="677" t="s">
        <v>1132</v>
      </c>
      <c r="N38" s="677" t="s">
        <v>1132</v>
      </c>
    </row>
    <row r="39" spans="2:14" ht="11.25" customHeight="1" x14ac:dyDescent="0.25">
      <c r="B39" s="679" t="s">
        <v>1149</v>
      </c>
      <c r="C39" s="677" t="s">
        <v>1132</v>
      </c>
      <c r="D39" s="677" t="s">
        <v>1132</v>
      </c>
      <c r="E39" s="681">
        <v>-1.9019999999999999</v>
      </c>
      <c r="F39" s="681" t="s">
        <v>1132</v>
      </c>
      <c r="G39" s="681" t="s">
        <v>1132</v>
      </c>
      <c r="H39" s="682" t="s">
        <v>1132</v>
      </c>
      <c r="I39" s="677" t="s">
        <v>1132</v>
      </c>
      <c r="J39" s="677" t="s">
        <v>1132</v>
      </c>
      <c r="K39" s="677">
        <v>-1.9019999999999999</v>
      </c>
      <c r="L39" s="677" t="s">
        <v>1132</v>
      </c>
      <c r="M39" s="677" t="s">
        <v>1132</v>
      </c>
      <c r="N39" s="677" t="s">
        <v>1132</v>
      </c>
    </row>
    <row r="40" spans="2:14" ht="11.25" customHeight="1" x14ac:dyDescent="0.25">
      <c r="B40" s="679" t="s">
        <v>1150</v>
      </c>
      <c r="C40" s="677" t="s">
        <v>1132</v>
      </c>
      <c r="D40" s="677" t="s">
        <v>1132</v>
      </c>
      <c r="E40" s="681">
        <v>-7.1999999999999995E-2</v>
      </c>
      <c r="F40" s="681" t="s">
        <v>1132</v>
      </c>
      <c r="G40" s="681" t="s">
        <v>1132</v>
      </c>
      <c r="H40" s="682" t="s">
        <v>1132</v>
      </c>
      <c r="I40" s="677" t="s">
        <v>1132</v>
      </c>
      <c r="J40" s="677" t="s">
        <v>1132</v>
      </c>
      <c r="K40" s="677">
        <v>-7.1999999999999995E-2</v>
      </c>
      <c r="L40" s="677" t="s">
        <v>1132</v>
      </c>
      <c r="M40" s="677" t="s">
        <v>1132</v>
      </c>
      <c r="N40" s="677" t="s">
        <v>1132</v>
      </c>
    </row>
    <row r="41" spans="2:14" ht="11.25" customHeight="1" x14ac:dyDescent="0.25">
      <c r="B41" s="679" t="s">
        <v>1151</v>
      </c>
      <c r="C41" s="680" t="s">
        <v>1132</v>
      </c>
      <c r="D41" s="680" t="s">
        <v>1132</v>
      </c>
      <c r="E41" s="680" t="s">
        <v>1132</v>
      </c>
      <c r="F41" s="680">
        <v>70</v>
      </c>
      <c r="G41" s="680">
        <v>10</v>
      </c>
      <c r="H41" s="683" t="s">
        <v>1132</v>
      </c>
      <c r="I41" s="677" t="s">
        <v>1132</v>
      </c>
      <c r="J41" s="677" t="s">
        <v>1132</v>
      </c>
      <c r="K41" s="677" t="s">
        <v>1132</v>
      </c>
      <c r="L41" s="677">
        <f>F41</f>
        <v>70</v>
      </c>
      <c r="M41" s="677">
        <f>G41-F41</f>
        <v>-60</v>
      </c>
      <c r="N41" s="677" t="s">
        <v>1132</v>
      </c>
    </row>
    <row r="42" spans="2:14" ht="11.25" customHeight="1" x14ac:dyDescent="0.25">
      <c r="B42" s="679" t="s">
        <v>1152</v>
      </c>
      <c r="C42" s="680" t="s">
        <v>1132</v>
      </c>
      <c r="D42" s="680" t="s">
        <v>1132</v>
      </c>
      <c r="E42" s="680">
        <v>13.9</v>
      </c>
      <c r="F42" s="680">
        <v>55.6</v>
      </c>
      <c r="G42" s="680" t="s">
        <v>1132</v>
      </c>
      <c r="H42" s="683" t="s">
        <v>1132</v>
      </c>
      <c r="I42" s="677" t="s">
        <v>1132</v>
      </c>
      <c r="J42" s="677" t="s">
        <v>1132</v>
      </c>
      <c r="K42" s="677">
        <v>13.9</v>
      </c>
      <c r="L42" s="677">
        <v>41.7</v>
      </c>
      <c r="M42" s="677" t="s">
        <v>1132</v>
      </c>
      <c r="N42" s="677" t="s">
        <v>1132</v>
      </c>
    </row>
    <row r="43" spans="2:14" ht="11.25" customHeight="1" x14ac:dyDescent="0.25">
      <c r="B43" s="679" t="s">
        <v>1153</v>
      </c>
      <c r="C43" s="680" t="s">
        <v>1132</v>
      </c>
      <c r="D43" s="680" t="s">
        <v>1132</v>
      </c>
      <c r="E43" s="680">
        <v>-9.0368811130516189</v>
      </c>
      <c r="F43" s="680">
        <v>-18.69560276031622</v>
      </c>
      <c r="G43" s="680" t="s">
        <v>1132</v>
      </c>
      <c r="H43" s="683" t="s">
        <v>1132</v>
      </c>
      <c r="I43" s="677" t="s">
        <v>1132</v>
      </c>
      <c r="J43" s="677" t="s">
        <v>1132</v>
      </c>
      <c r="K43" s="677">
        <v>-9.0368811130516189</v>
      </c>
      <c r="L43" s="677">
        <v>-9.6587216472645991</v>
      </c>
      <c r="M43" s="677" t="s">
        <v>1132</v>
      </c>
      <c r="N43" s="677" t="s">
        <v>1132</v>
      </c>
    </row>
    <row r="44" spans="2:14" ht="11.25" customHeight="1" x14ac:dyDescent="0.25">
      <c r="B44" s="679" t="s">
        <v>1154</v>
      </c>
      <c r="C44" s="680" t="s">
        <v>1132</v>
      </c>
      <c r="D44" s="680" t="s">
        <v>1132</v>
      </c>
      <c r="E44" s="680">
        <v>-37.0426772625</v>
      </c>
      <c r="F44" s="680">
        <v>-81.894178431699999</v>
      </c>
      <c r="G44" s="680">
        <v>-81.894178431699999</v>
      </c>
      <c r="H44" s="683">
        <v>-135.05711234630002</v>
      </c>
      <c r="I44" s="677" t="s">
        <v>1132</v>
      </c>
      <c r="J44" s="677" t="s">
        <v>1132</v>
      </c>
      <c r="K44" s="677">
        <v>-37.0426772625</v>
      </c>
      <c r="L44" s="677">
        <v>-44.851501169199999</v>
      </c>
      <c r="M44" s="677" t="s">
        <v>1132</v>
      </c>
      <c r="N44" s="677">
        <v>-53.162933914600011</v>
      </c>
    </row>
    <row r="45" spans="2:14" ht="11.25" customHeight="1" x14ac:dyDescent="0.25">
      <c r="B45" s="679" t="s">
        <v>1155</v>
      </c>
      <c r="C45" s="680" t="s">
        <v>1132</v>
      </c>
      <c r="D45" s="680" t="s">
        <v>1132</v>
      </c>
      <c r="E45" s="680">
        <v>22.032484787389336</v>
      </c>
      <c r="F45" s="680">
        <v>85.074722756819568</v>
      </c>
      <c r="G45" s="680">
        <v>74.865756026001222</v>
      </c>
      <c r="H45" s="683">
        <v>65.881865302881067</v>
      </c>
      <c r="I45" s="677" t="s">
        <v>1132</v>
      </c>
      <c r="J45" s="677" t="s">
        <v>1132</v>
      </c>
      <c r="K45" s="677">
        <v>22.032484787389336</v>
      </c>
      <c r="L45" s="677">
        <v>63.042237969430232</v>
      </c>
      <c r="M45" s="677">
        <v>-10.208966730818341</v>
      </c>
      <c r="N45" s="677">
        <v>-8.9838907231201599</v>
      </c>
    </row>
    <row r="46" spans="2:14" ht="11.25" customHeight="1" x14ac:dyDescent="0.25">
      <c r="B46" s="679" t="s">
        <v>1156</v>
      </c>
      <c r="C46" s="680" t="s">
        <v>1132</v>
      </c>
      <c r="D46" s="680" t="s">
        <v>1132</v>
      </c>
      <c r="E46" s="680" t="s">
        <v>1132</v>
      </c>
      <c r="F46" s="680">
        <v>-5.3001589999999998</v>
      </c>
      <c r="G46" s="680">
        <v>-28.077567000000002</v>
      </c>
      <c r="H46" s="683" t="s">
        <v>1132</v>
      </c>
      <c r="I46" s="677" t="s">
        <v>1132</v>
      </c>
      <c r="J46" s="677" t="s">
        <v>1132</v>
      </c>
      <c r="K46" s="677" t="s">
        <v>1132</v>
      </c>
      <c r="L46" s="677">
        <v>-5.3001589999999998</v>
      </c>
      <c r="M46" s="677">
        <v>-22.777408000000005</v>
      </c>
      <c r="N46" s="677" t="s">
        <v>1132</v>
      </c>
    </row>
    <row r="47" spans="2:14" ht="11.25" customHeight="1" x14ac:dyDescent="0.25">
      <c r="B47" s="679" t="s">
        <v>1157</v>
      </c>
      <c r="C47" s="680" t="s">
        <v>1132</v>
      </c>
      <c r="D47" s="680" t="s">
        <v>1132</v>
      </c>
      <c r="E47" s="680">
        <v>-2.5787970810000003</v>
      </c>
      <c r="F47" s="680" t="s">
        <v>1132</v>
      </c>
      <c r="G47" s="680" t="s">
        <v>1132</v>
      </c>
      <c r="H47" s="683" t="s">
        <v>1132</v>
      </c>
      <c r="I47" s="677" t="s">
        <v>1132</v>
      </c>
      <c r="J47" s="677" t="s">
        <v>1132</v>
      </c>
      <c r="K47" s="677">
        <v>-2.5787970810000003</v>
      </c>
      <c r="L47" s="677" t="s">
        <v>1132</v>
      </c>
      <c r="M47" s="677" t="s">
        <v>1132</v>
      </c>
      <c r="N47" s="677" t="s">
        <v>1132</v>
      </c>
    </row>
    <row r="48" spans="2:14" ht="11.25" customHeight="1" x14ac:dyDescent="0.25">
      <c r="B48" s="684" t="s">
        <v>1158</v>
      </c>
      <c r="C48" s="685" t="s">
        <v>1132</v>
      </c>
      <c r="D48" s="685" t="s">
        <v>1132</v>
      </c>
      <c r="E48" s="686">
        <v>-1.3658910734365499</v>
      </c>
      <c r="F48" s="686" t="s">
        <v>1132</v>
      </c>
      <c r="G48" s="686" t="s">
        <v>1132</v>
      </c>
      <c r="H48" s="687" t="s">
        <v>1132</v>
      </c>
      <c r="I48" s="685" t="s">
        <v>1132</v>
      </c>
      <c r="J48" s="685" t="s">
        <v>1132</v>
      </c>
      <c r="K48" s="685">
        <v>-1.3658910734365499</v>
      </c>
      <c r="L48" s="685" t="s">
        <v>1132</v>
      </c>
      <c r="M48" s="685" t="s">
        <v>1132</v>
      </c>
      <c r="N48" s="685" t="s">
        <v>1132</v>
      </c>
    </row>
    <row r="49" spans="2:14" ht="11.25" customHeight="1" x14ac:dyDescent="0.25">
      <c r="B49" s="688" t="s">
        <v>51</v>
      </c>
      <c r="C49" s="689">
        <f>SUM(C5:C48)</f>
        <v>-223.39587717242384</v>
      </c>
      <c r="D49" s="689">
        <f t="shared" ref="D49:H49" si="0">SUM(D5:D48)</f>
        <v>-23.549199487720781</v>
      </c>
      <c r="E49" s="690">
        <f t="shared" si="0"/>
        <v>-187.84530257425516</v>
      </c>
      <c r="F49" s="690">
        <f t="shared" si="0"/>
        <v>23.11619229649898</v>
      </c>
      <c r="G49" s="690">
        <f t="shared" si="0"/>
        <v>-239.98141828193258</v>
      </c>
      <c r="H49" s="691">
        <f t="shared" si="0"/>
        <v>-298.67046007331948</v>
      </c>
      <c r="I49" s="689">
        <f t="shared" ref="I49" si="1">SUM(I5:I48)</f>
        <v>-173.87615788893083</v>
      </c>
      <c r="J49" s="689">
        <f t="shared" ref="J49" si="2">SUM(J5:J48)</f>
        <v>143.6010121765913</v>
      </c>
      <c r="K49" s="689">
        <f t="shared" ref="K49" si="3">SUM(K5:K48)</f>
        <v>-97.155927631966463</v>
      </c>
      <c r="L49" s="689">
        <f t="shared" ref="L49" si="4">SUM(L5:L48)</f>
        <v>120.11496262723146</v>
      </c>
      <c r="M49" s="689">
        <f t="shared" ref="M49" si="5">SUM(M5:M48)</f>
        <v>-121.915135680905</v>
      </c>
      <c r="N49" s="689">
        <f t="shared" ref="N49" si="6">SUM(N5:N48)</f>
        <v>-162.88627969537976</v>
      </c>
    </row>
  </sheetData>
  <mergeCells count="2">
    <mergeCell ref="C3:G3"/>
    <mergeCell ref="I3:N3"/>
  </mergeCells>
  <pageMargins left="0.7" right="0.7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7"/>
  <dimension ref="A2:I34"/>
  <sheetViews>
    <sheetView showGridLines="0" zoomScale="90" zoomScaleNormal="90" workbookViewId="0">
      <selection activeCell="A2" sqref="A2"/>
    </sheetView>
  </sheetViews>
  <sheetFormatPr defaultColWidth="51.5703125" defaultRowHeight="21.75" customHeight="1" x14ac:dyDescent="0.25"/>
  <cols>
    <col min="1" max="1" width="62.5703125" style="34" customWidth="1"/>
    <col min="2" max="8" width="8" style="34" customWidth="1"/>
    <col min="9" max="16384" width="51.5703125" style="34"/>
  </cols>
  <sheetData>
    <row r="2" spans="1:9" ht="18.75" customHeight="1" x14ac:dyDescent="0.25">
      <c r="A2" s="399" t="s">
        <v>141</v>
      </c>
      <c r="B2" s="400"/>
      <c r="C2" s="400"/>
    </row>
    <row r="3" spans="1:9" ht="18.75" customHeight="1" x14ac:dyDescent="0.25">
      <c r="A3" s="57"/>
      <c r="B3" s="58">
        <v>2015</v>
      </c>
      <c r="C3" s="58">
        <v>2016</v>
      </c>
      <c r="D3" s="58">
        <v>2017</v>
      </c>
      <c r="E3" s="58">
        <v>2018</v>
      </c>
      <c r="F3" s="58">
        <v>2019</v>
      </c>
      <c r="G3" s="58">
        <v>2020</v>
      </c>
      <c r="H3" s="58">
        <v>2021</v>
      </c>
    </row>
    <row r="4" spans="1:9" ht="18.75" customHeight="1" x14ac:dyDescent="0.25">
      <c r="A4" s="54" t="s">
        <v>137</v>
      </c>
      <c r="B4" s="190">
        <v>0</v>
      </c>
      <c r="C4" s="190">
        <v>0</v>
      </c>
      <c r="D4" s="190">
        <v>0</v>
      </c>
      <c r="E4" s="190">
        <v>0</v>
      </c>
      <c r="F4" s="190">
        <v>0</v>
      </c>
      <c r="G4" s="190">
        <v>0</v>
      </c>
      <c r="H4" s="190">
        <v>0</v>
      </c>
    </row>
    <row r="5" spans="1:9" ht="18.75" customHeight="1" x14ac:dyDescent="0.25">
      <c r="A5" s="54" t="s">
        <v>138</v>
      </c>
      <c r="B5" s="190">
        <v>0</v>
      </c>
      <c r="C5" s="190">
        <v>0</v>
      </c>
      <c r="D5" s="190">
        <v>0</v>
      </c>
      <c r="E5" s="190">
        <v>0</v>
      </c>
      <c r="F5" s="190">
        <v>0</v>
      </c>
      <c r="G5" s="190">
        <v>0</v>
      </c>
      <c r="H5" s="190">
        <v>0</v>
      </c>
    </row>
    <row r="6" spans="1:9" ht="18.75" customHeight="1" x14ac:dyDescent="0.25">
      <c r="A6" s="54" t="s">
        <v>116</v>
      </c>
      <c r="B6" s="190">
        <v>0</v>
      </c>
      <c r="C6" s="59">
        <v>-35.159999999999997</v>
      </c>
      <c r="D6" s="190"/>
      <c r="E6" s="190"/>
      <c r="F6" s="190"/>
      <c r="G6" s="190"/>
      <c r="H6" s="190"/>
    </row>
    <row r="7" spans="1:9" ht="18.75" customHeight="1" x14ac:dyDescent="0.25">
      <c r="A7" s="55" t="s">
        <v>139</v>
      </c>
      <c r="B7" s="191">
        <v>0</v>
      </c>
      <c r="C7" s="191">
        <v>0</v>
      </c>
      <c r="D7" s="191">
        <v>0</v>
      </c>
      <c r="E7" s="191">
        <v>0</v>
      </c>
      <c r="F7" s="191">
        <v>0</v>
      </c>
      <c r="G7" s="191">
        <v>0</v>
      </c>
      <c r="H7" s="191">
        <v>0</v>
      </c>
    </row>
    <row r="8" spans="1:9" ht="18.75" customHeight="1" x14ac:dyDescent="0.25">
      <c r="A8" s="401" t="s">
        <v>426</v>
      </c>
      <c r="B8" s="402">
        <f t="shared" ref="B8:G8" si="0">SUM(B4:B7)</f>
        <v>0</v>
      </c>
      <c r="C8" s="402">
        <f t="shared" si="0"/>
        <v>-35.159999999999997</v>
      </c>
      <c r="D8" s="402">
        <f t="shared" si="0"/>
        <v>0</v>
      </c>
      <c r="E8" s="402">
        <f t="shared" si="0"/>
        <v>0</v>
      </c>
      <c r="F8" s="402">
        <f t="shared" si="0"/>
        <v>0</v>
      </c>
      <c r="G8" s="402">
        <f t="shared" si="0"/>
        <v>0</v>
      </c>
      <c r="H8" s="402">
        <f t="shared" ref="H8" si="1">SUM(H4:H7)</f>
        <v>0</v>
      </c>
    </row>
    <row r="9" spans="1:9" ht="18.75" customHeight="1" x14ac:dyDescent="0.25"/>
    <row r="10" spans="1:9" ht="18.75" customHeight="1" x14ac:dyDescent="0.25">
      <c r="A10" s="399" t="s">
        <v>142</v>
      </c>
      <c r="B10" s="400"/>
      <c r="C10" s="400"/>
    </row>
    <row r="11" spans="1:9" ht="18.75" customHeight="1" x14ac:dyDescent="0.25">
      <c r="A11" s="57"/>
      <c r="B11" s="58">
        <f>B3</f>
        <v>2015</v>
      </c>
      <c r="C11" s="58">
        <f t="shared" ref="C11:G11" si="2">C3</f>
        <v>2016</v>
      </c>
      <c r="D11" s="58">
        <f t="shared" si="2"/>
        <v>2017</v>
      </c>
      <c r="E11" s="58">
        <f t="shared" si="2"/>
        <v>2018</v>
      </c>
      <c r="F11" s="58">
        <f t="shared" si="2"/>
        <v>2019</v>
      </c>
      <c r="G11" s="58">
        <f t="shared" si="2"/>
        <v>2020</v>
      </c>
      <c r="H11" s="58">
        <f t="shared" ref="H11" si="3">H3</f>
        <v>2021</v>
      </c>
    </row>
    <row r="12" spans="1:9" ht="18.75" customHeight="1" x14ac:dyDescent="0.25">
      <c r="A12" s="54" t="str">
        <f>A4</f>
        <v xml:space="preserve"> - príjmy z predaja telekomunikačných licencií (digitálna dividenda)</v>
      </c>
      <c r="B12" s="190">
        <v>0</v>
      </c>
      <c r="C12" s="190">
        <v>0</v>
      </c>
      <c r="D12" s="190">
        <v>0</v>
      </c>
      <c r="E12" s="190">
        <v>0</v>
      </c>
      <c r="F12" s="190">
        <v>0</v>
      </c>
      <c r="G12" s="190">
        <v>0</v>
      </c>
      <c r="H12" s="190">
        <v>0</v>
      </c>
    </row>
    <row r="13" spans="1:9" ht="18.75" customHeight="1" x14ac:dyDescent="0.25">
      <c r="A13" s="54" t="str">
        <f t="shared" ref="A13:A15" si="4">A5</f>
        <v xml:space="preserve"> - pokuta protimonopolného úradu za stavebný kartel </v>
      </c>
      <c r="B13" s="190">
        <v>0</v>
      </c>
      <c r="C13" s="190">
        <v>0</v>
      </c>
      <c r="D13" s="190">
        <v>0</v>
      </c>
      <c r="E13" s="190">
        <v>0</v>
      </c>
      <c r="F13" s="190">
        <v>0</v>
      </c>
      <c r="G13" s="190">
        <v>0</v>
      </c>
      <c r="H13" s="190">
        <v>0</v>
      </c>
    </row>
    <row r="14" spans="1:9" ht="18.75" customHeight="1" x14ac:dyDescent="0.25">
      <c r="A14" s="54" t="str">
        <f t="shared" si="4"/>
        <v xml:space="preserve"> - nižší odvod do EÚ rozpočtu</v>
      </c>
      <c r="B14" s="190">
        <v>0</v>
      </c>
      <c r="C14" s="59">
        <f>C6/'Tab 20'!C21*100</f>
        <v>-4.137191335638802E-2</v>
      </c>
      <c r="D14" s="190">
        <v>0</v>
      </c>
      <c r="E14" s="190">
        <v>0</v>
      </c>
      <c r="F14" s="190">
        <v>0</v>
      </c>
      <c r="G14" s="190">
        <v>0</v>
      </c>
      <c r="H14" s="190">
        <v>0</v>
      </c>
    </row>
    <row r="15" spans="1:9" ht="18.75" customHeight="1" x14ac:dyDescent="0.25">
      <c r="A15" s="55" t="str">
        <f t="shared" si="4"/>
        <v>-  jednorazové vyplatenie starobných dôchodkov silovým zložkám</v>
      </c>
      <c r="B15" s="191">
        <v>0</v>
      </c>
      <c r="C15" s="191">
        <v>0</v>
      </c>
      <c r="D15" s="191">
        <v>0</v>
      </c>
      <c r="E15" s="191">
        <v>0</v>
      </c>
      <c r="F15" s="191">
        <v>0</v>
      </c>
      <c r="G15" s="191">
        <v>0</v>
      </c>
      <c r="H15" s="191">
        <v>0</v>
      </c>
      <c r="I15" s="3"/>
    </row>
    <row r="16" spans="1:9" ht="18.75" customHeight="1" x14ac:dyDescent="0.25">
      <c r="A16" s="401" t="s">
        <v>426</v>
      </c>
      <c r="B16" s="403">
        <f t="shared" ref="B16:G16" si="5">SUM(B12:B15)</f>
        <v>0</v>
      </c>
      <c r="C16" s="403">
        <f t="shared" si="5"/>
        <v>-4.137191335638802E-2</v>
      </c>
      <c r="D16" s="403">
        <f t="shared" si="5"/>
        <v>0</v>
      </c>
      <c r="E16" s="403">
        <f t="shared" si="5"/>
        <v>0</v>
      </c>
      <c r="F16" s="403">
        <f t="shared" si="5"/>
        <v>0</v>
      </c>
      <c r="G16" s="403">
        <f t="shared" si="5"/>
        <v>0</v>
      </c>
      <c r="H16" s="403">
        <f t="shared" ref="H16" si="6">SUM(H12:H15)</f>
        <v>0</v>
      </c>
      <c r="I16" s="3"/>
    </row>
    <row r="17" spans="1:9" ht="18.75" customHeight="1" x14ac:dyDescent="0.25">
      <c r="A17" s="1037" t="s">
        <v>19</v>
      </c>
      <c r="B17" s="1037"/>
      <c r="C17" s="1037"/>
      <c r="D17" s="1037"/>
      <c r="E17" s="1037"/>
      <c r="F17" s="1037"/>
      <c r="G17" s="1037"/>
      <c r="I17" s="3"/>
    </row>
    <row r="18" spans="1:9" ht="18.75" customHeight="1" x14ac:dyDescent="0.25">
      <c r="I18" s="3"/>
    </row>
    <row r="19" spans="1:9" ht="18.75" customHeight="1" x14ac:dyDescent="0.25">
      <c r="A19" s="399" t="s">
        <v>424</v>
      </c>
      <c r="B19" s="400"/>
      <c r="C19" s="400"/>
      <c r="I19" s="3"/>
    </row>
    <row r="20" spans="1:9" ht="18.75" customHeight="1" x14ac:dyDescent="0.25">
      <c r="A20" s="57"/>
      <c r="B20" s="58">
        <f>B3</f>
        <v>2015</v>
      </c>
      <c r="C20" s="58">
        <f t="shared" ref="C20:G20" si="7">C3</f>
        <v>2016</v>
      </c>
      <c r="D20" s="58">
        <f t="shared" si="7"/>
        <v>2017</v>
      </c>
      <c r="E20" s="58">
        <f t="shared" si="7"/>
        <v>2018</v>
      </c>
      <c r="F20" s="58">
        <f t="shared" si="7"/>
        <v>2019</v>
      </c>
      <c r="G20" s="58">
        <f t="shared" si="7"/>
        <v>2020</v>
      </c>
      <c r="H20" s="58">
        <f t="shared" ref="H20" si="8">H3</f>
        <v>2021</v>
      </c>
    </row>
    <row r="21" spans="1:9" ht="18.75" customHeight="1" x14ac:dyDescent="0.25">
      <c r="A21" s="54" t="s">
        <v>361</v>
      </c>
      <c r="B21" s="190">
        <f>B4</f>
        <v>0</v>
      </c>
      <c r="C21" s="398">
        <f t="shared" ref="C21:G21" si="9">C4</f>
        <v>0</v>
      </c>
      <c r="D21" s="190">
        <f t="shared" si="9"/>
        <v>0</v>
      </c>
      <c r="E21" s="190">
        <f t="shared" si="9"/>
        <v>0</v>
      </c>
      <c r="F21" s="190">
        <f t="shared" si="9"/>
        <v>0</v>
      </c>
      <c r="G21" s="190">
        <f t="shared" si="9"/>
        <v>0</v>
      </c>
      <c r="H21" s="190">
        <f t="shared" ref="H21" si="10">H4</f>
        <v>0</v>
      </c>
    </row>
    <row r="22" spans="1:9" ht="18.75" customHeight="1" x14ac:dyDescent="0.25">
      <c r="A22" s="54" t="s">
        <v>364</v>
      </c>
      <c r="B22" s="190">
        <f t="shared" ref="B22:B24" si="11">B5</f>
        <v>0</v>
      </c>
      <c r="C22" s="398">
        <f t="shared" ref="C22:G22" si="12">C5</f>
        <v>0</v>
      </c>
      <c r="D22" s="190">
        <f t="shared" si="12"/>
        <v>0</v>
      </c>
      <c r="E22" s="190">
        <f t="shared" si="12"/>
        <v>0</v>
      </c>
      <c r="F22" s="190">
        <f t="shared" si="12"/>
        <v>0</v>
      </c>
      <c r="G22" s="190">
        <f t="shared" si="12"/>
        <v>0</v>
      </c>
      <c r="H22" s="190">
        <f t="shared" ref="H22" si="13">H5</f>
        <v>0</v>
      </c>
    </row>
    <row r="23" spans="1:9" ht="18.75" customHeight="1" x14ac:dyDescent="0.25">
      <c r="A23" s="54" t="s">
        <v>362</v>
      </c>
      <c r="B23" s="190">
        <f t="shared" si="11"/>
        <v>0</v>
      </c>
      <c r="C23" s="59">
        <f t="shared" ref="C23:G23" si="14">C6</f>
        <v>-35.159999999999997</v>
      </c>
      <c r="D23" s="190">
        <f t="shared" si="14"/>
        <v>0</v>
      </c>
      <c r="E23" s="190">
        <f t="shared" si="14"/>
        <v>0</v>
      </c>
      <c r="F23" s="190">
        <f t="shared" si="14"/>
        <v>0</v>
      </c>
      <c r="G23" s="190">
        <f t="shared" si="14"/>
        <v>0</v>
      </c>
      <c r="H23" s="190">
        <f t="shared" ref="H23" si="15">H6</f>
        <v>0</v>
      </c>
    </row>
    <row r="24" spans="1:9" ht="18.75" customHeight="1" x14ac:dyDescent="0.25">
      <c r="A24" s="54" t="s">
        <v>363</v>
      </c>
      <c r="B24" s="191">
        <f t="shared" si="11"/>
        <v>0</v>
      </c>
      <c r="C24" s="191">
        <f t="shared" ref="C24:G24" si="16">C7</f>
        <v>0</v>
      </c>
      <c r="D24" s="191">
        <f t="shared" si="16"/>
        <v>0</v>
      </c>
      <c r="E24" s="191">
        <f t="shared" si="16"/>
        <v>0</v>
      </c>
      <c r="F24" s="191">
        <f t="shared" si="16"/>
        <v>0</v>
      </c>
      <c r="G24" s="191">
        <f t="shared" si="16"/>
        <v>0</v>
      </c>
      <c r="H24" s="191">
        <f t="shared" ref="H24" si="17">H7</f>
        <v>0</v>
      </c>
    </row>
    <row r="25" spans="1:9" ht="18.75" customHeight="1" x14ac:dyDescent="0.25">
      <c r="A25" s="401" t="s">
        <v>427</v>
      </c>
      <c r="B25" s="402">
        <f t="shared" ref="B25:G25" si="18">SUM(B21:B24)</f>
        <v>0</v>
      </c>
      <c r="C25" s="402">
        <f t="shared" si="18"/>
        <v>-35.159999999999997</v>
      </c>
      <c r="D25" s="402">
        <f t="shared" si="18"/>
        <v>0</v>
      </c>
      <c r="E25" s="402">
        <f t="shared" si="18"/>
        <v>0</v>
      </c>
      <c r="F25" s="402">
        <f t="shared" si="18"/>
        <v>0</v>
      </c>
      <c r="G25" s="402">
        <f t="shared" si="18"/>
        <v>0</v>
      </c>
      <c r="H25" s="402">
        <f t="shared" ref="H25" si="19">SUM(H21:H24)</f>
        <v>0</v>
      </c>
    </row>
    <row r="26" spans="1:9" ht="18.75" customHeight="1" x14ac:dyDescent="0.25"/>
    <row r="27" spans="1:9" ht="18.75" customHeight="1" x14ac:dyDescent="0.25">
      <c r="A27" s="399" t="s">
        <v>425</v>
      </c>
      <c r="B27" s="400"/>
      <c r="C27" s="400"/>
    </row>
    <row r="28" spans="1:9" ht="18.75" customHeight="1" x14ac:dyDescent="0.25">
      <c r="A28" s="57"/>
      <c r="B28" s="58">
        <f>B3</f>
        <v>2015</v>
      </c>
      <c r="C28" s="58">
        <f t="shared" ref="C28:G28" si="20">C3</f>
        <v>2016</v>
      </c>
      <c r="D28" s="58">
        <f t="shared" si="20"/>
        <v>2017</v>
      </c>
      <c r="E28" s="58">
        <f t="shared" si="20"/>
        <v>2018</v>
      </c>
      <c r="F28" s="58">
        <f t="shared" si="20"/>
        <v>2019</v>
      </c>
      <c r="G28" s="58">
        <f t="shared" si="20"/>
        <v>2020</v>
      </c>
      <c r="H28" s="58">
        <f t="shared" ref="H28" si="21">H3</f>
        <v>2021</v>
      </c>
    </row>
    <row r="29" spans="1:9" ht="18.75" customHeight="1" x14ac:dyDescent="0.25">
      <c r="A29" s="54" t="s">
        <v>361</v>
      </c>
      <c r="B29" s="190">
        <f>B12</f>
        <v>0</v>
      </c>
      <c r="C29" s="190">
        <f t="shared" ref="C29:G29" si="22">C12</f>
        <v>0</v>
      </c>
      <c r="D29" s="190">
        <f t="shared" si="22"/>
        <v>0</v>
      </c>
      <c r="E29" s="190">
        <f t="shared" si="22"/>
        <v>0</v>
      </c>
      <c r="F29" s="190">
        <f t="shared" si="22"/>
        <v>0</v>
      </c>
      <c r="G29" s="190">
        <f t="shared" si="22"/>
        <v>0</v>
      </c>
      <c r="H29" s="190">
        <f t="shared" ref="H29" si="23">H12</f>
        <v>0</v>
      </c>
    </row>
    <row r="30" spans="1:9" ht="18.75" customHeight="1" x14ac:dyDescent="0.25">
      <c r="A30" s="54" t="s">
        <v>364</v>
      </c>
      <c r="B30" s="190">
        <f t="shared" ref="B30:B32" si="24">B13</f>
        <v>0</v>
      </c>
      <c r="C30" s="190">
        <f t="shared" ref="C30:G30" si="25">C13</f>
        <v>0</v>
      </c>
      <c r="D30" s="190">
        <f t="shared" si="25"/>
        <v>0</v>
      </c>
      <c r="E30" s="190">
        <f t="shared" si="25"/>
        <v>0</v>
      </c>
      <c r="F30" s="190">
        <f t="shared" si="25"/>
        <v>0</v>
      </c>
      <c r="G30" s="190">
        <f t="shared" si="25"/>
        <v>0</v>
      </c>
      <c r="H30" s="190">
        <f t="shared" ref="H30" si="26">H13</f>
        <v>0</v>
      </c>
    </row>
    <row r="31" spans="1:9" ht="18.75" customHeight="1" x14ac:dyDescent="0.25">
      <c r="A31" s="54" t="s">
        <v>362</v>
      </c>
      <c r="B31" s="190">
        <f t="shared" si="24"/>
        <v>0</v>
      </c>
      <c r="C31" s="59">
        <f>C14</f>
        <v>-4.137191335638802E-2</v>
      </c>
      <c r="D31" s="190">
        <f t="shared" ref="D31:G31" si="27">D14</f>
        <v>0</v>
      </c>
      <c r="E31" s="190">
        <f t="shared" si="27"/>
        <v>0</v>
      </c>
      <c r="F31" s="190">
        <f t="shared" si="27"/>
        <v>0</v>
      </c>
      <c r="G31" s="190">
        <f t="shared" si="27"/>
        <v>0</v>
      </c>
      <c r="H31" s="190">
        <f t="shared" ref="H31" si="28">H14</f>
        <v>0</v>
      </c>
    </row>
    <row r="32" spans="1:9" ht="18.75" customHeight="1" x14ac:dyDescent="0.25">
      <c r="A32" s="54" t="s">
        <v>363</v>
      </c>
      <c r="B32" s="191">
        <f t="shared" si="24"/>
        <v>0</v>
      </c>
      <c r="C32" s="191">
        <f t="shared" ref="C32:G32" si="29">C15</f>
        <v>0</v>
      </c>
      <c r="D32" s="191">
        <f t="shared" si="29"/>
        <v>0</v>
      </c>
      <c r="E32" s="191">
        <f t="shared" si="29"/>
        <v>0</v>
      </c>
      <c r="F32" s="191">
        <f t="shared" si="29"/>
        <v>0</v>
      </c>
      <c r="G32" s="191">
        <f t="shared" si="29"/>
        <v>0</v>
      </c>
      <c r="H32" s="191">
        <f t="shared" ref="H32" si="30">H15</f>
        <v>0</v>
      </c>
    </row>
    <row r="33" spans="1:8" ht="18.75" customHeight="1" x14ac:dyDescent="0.25">
      <c r="A33" s="401" t="s">
        <v>427</v>
      </c>
      <c r="B33" s="403">
        <f t="shared" ref="B33:G33" si="31">SUM(B29:B32)</f>
        <v>0</v>
      </c>
      <c r="C33" s="403">
        <f t="shared" si="31"/>
        <v>-4.137191335638802E-2</v>
      </c>
      <c r="D33" s="403">
        <f t="shared" si="31"/>
        <v>0</v>
      </c>
      <c r="E33" s="403">
        <f t="shared" si="31"/>
        <v>0</v>
      </c>
      <c r="F33" s="403">
        <f t="shared" si="31"/>
        <v>0</v>
      </c>
      <c r="G33" s="403">
        <f t="shared" si="31"/>
        <v>0</v>
      </c>
      <c r="H33" s="403">
        <f t="shared" ref="H33" si="32">SUM(H29:H32)</f>
        <v>0</v>
      </c>
    </row>
    <row r="34" spans="1:8" ht="21.75" customHeight="1" x14ac:dyDescent="0.25">
      <c r="A34" s="1037" t="s">
        <v>235</v>
      </c>
      <c r="B34" s="1037"/>
      <c r="C34" s="1037"/>
      <c r="D34" s="1037"/>
      <c r="E34" s="1037"/>
      <c r="F34" s="1037"/>
      <c r="G34" s="1037"/>
    </row>
  </sheetData>
  <mergeCells count="2">
    <mergeCell ref="A17:G17"/>
    <mergeCell ref="A34:G3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9"/>
  <dimension ref="A3:Z36"/>
  <sheetViews>
    <sheetView showGridLines="0" zoomScale="90" zoomScaleNormal="90" workbookViewId="0">
      <selection activeCell="E18" sqref="E18:F18"/>
    </sheetView>
  </sheetViews>
  <sheetFormatPr defaultColWidth="9.140625" defaultRowHeight="13.5" x14ac:dyDescent="0.25"/>
  <cols>
    <col min="1" max="1" width="9.140625" style="34"/>
    <col min="2" max="2" width="23.5703125" style="34" bestFit="1" customWidth="1"/>
    <col min="3" max="3" width="12" style="34" customWidth="1"/>
    <col min="4" max="4" width="9.140625" style="300"/>
    <col min="5" max="5" width="30.85546875" style="34" bestFit="1" customWidth="1"/>
    <col min="6" max="9" width="9.140625" style="34"/>
    <col min="10" max="10" width="19.28515625" style="34" bestFit="1" customWidth="1"/>
    <col min="11" max="16384" width="9.140625" style="34"/>
  </cols>
  <sheetData>
    <row r="3" spans="1:26" ht="31.5" customHeight="1" thickBot="1" x14ac:dyDescent="0.3">
      <c r="A3" s="944" t="s">
        <v>1050</v>
      </c>
      <c r="B3" s="944"/>
      <c r="C3" s="944"/>
      <c r="D3" s="542"/>
      <c r="E3" s="944" t="s">
        <v>1059</v>
      </c>
      <c r="F3" s="944"/>
      <c r="J3" s="538"/>
      <c r="K3" s="543">
        <v>2013</v>
      </c>
      <c r="L3" s="543">
        <v>2014</v>
      </c>
      <c r="M3" s="543">
        <v>2015</v>
      </c>
      <c r="N3" s="543">
        <v>2016</v>
      </c>
      <c r="O3" s="543">
        <v>2017</v>
      </c>
      <c r="P3" s="646"/>
      <c r="Q3" s="647"/>
      <c r="R3" s="647"/>
      <c r="S3" s="511"/>
      <c r="T3" s="511"/>
      <c r="U3" s="511"/>
      <c r="V3" s="511"/>
      <c r="W3" s="511"/>
      <c r="X3" s="511"/>
      <c r="Y3" s="511"/>
      <c r="Z3" s="511"/>
    </row>
    <row r="4" spans="1:26" x14ac:dyDescent="0.25">
      <c r="B4" s="515"/>
      <c r="C4" s="9"/>
      <c r="D4" s="513"/>
      <c r="E4" s="69"/>
      <c r="J4" s="535" t="s">
        <v>1051</v>
      </c>
      <c r="K4" s="536">
        <v>-0.72529953399785951</v>
      </c>
      <c r="L4" s="536">
        <v>1.1816621363155599</v>
      </c>
      <c r="M4" s="536">
        <v>1.7295287000556565</v>
      </c>
      <c r="N4" s="536">
        <v>2.0309232467777178</v>
      </c>
      <c r="O4" s="536">
        <v>1.6718733641556183</v>
      </c>
      <c r="P4" s="540"/>
      <c r="Q4" s="540"/>
      <c r="R4" s="540"/>
      <c r="S4" s="511"/>
      <c r="T4" s="511"/>
      <c r="U4" s="511"/>
      <c r="V4" s="511"/>
      <c r="W4" s="511"/>
      <c r="X4" s="511"/>
      <c r="Y4" s="511"/>
      <c r="Z4" s="511"/>
    </row>
    <row r="5" spans="1:26" x14ac:dyDescent="0.25">
      <c r="B5" s="78"/>
      <c r="C5" s="77"/>
      <c r="D5" s="812"/>
      <c r="E5" s="76"/>
      <c r="J5" s="535" t="s">
        <v>1052</v>
      </c>
      <c r="K5" s="536">
        <v>-5.2321139550798576E-2</v>
      </c>
      <c r="L5" s="536">
        <v>0.2277567669030599</v>
      </c>
      <c r="M5" s="536">
        <v>0.24730686067375604</v>
      </c>
      <c r="N5" s="536">
        <v>0.34886023844590686</v>
      </c>
      <c r="O5" s="536">
        <v>0.5343273666346553</v>
      </c>
      <c r="P5" s="540"/>
      <c r="Q5" s="540"/>
      <c r="R5" s="540"/>
      <c r="S5" s="511"/>
      <c r="T5" s="511"/>
      <c r="U5" s="511"/>
      <c r="V5" s="511"/>
      <c r="W5" s="511"/>
      <c r="X5" s="511"/>
      <c r="Y5" s="511"/>
      <c r="Z5" s="511"/>
    </row>
    <row r="6" spans="1:26" x14ac:dyDescent="0.25">
      <c r="J6" s="535" t="s">
        <v>1053</v>
      </c>
      <c r="K6" s="536">
        <v>-0.77762067354865805</v>
      </c>
      <c r="L6" s="536">
        <v>1.4094189032186197</v>
      </c>
      <c r="M6" s="536">
        <v>1.9768355607294126</v>
      </c>
      <c r="N6" s="536">
        <v>2.3797834852236246</v>
      </c>
      <c r="O6" s="536">
        <v>2.2062007307902736</v>
      </c>
      <c r="P6" s="540"/>
      <c r="Q6" s="540"/>
      <c r="R6" s="540"/>
      <c r="S6" s="511"/>
      <c r="T6" s="511"/>
      <c r="U6" s="511"/>
      <c r="V6" s="511"/>
      <c r="W6" s="511"/>
      <c r="X6" s="511"/>
      <c r="Y6" s="511"/>
      <c r="Z6" s="511"/>
    </row>
    <row r="7" spans="1:26" x14ac:dyDescent="0.25">
      <c r="J7" s="535"/>
      <c r="K7" s="536"/>
      <c r="L7" s="536"/>
      <c r="M7" s="536"/>
      <c r="N7" s="536"/>
      <c r="O7" s="536"/>
      <c r="P7" s="536"/>
      <c r="Q7" s="536"/>
      <c r="R7" s="536"/>
      <c r="S7" s="511"/>
      <c r="T7" s="511"/>
      <c r="U7" s="511"/>
      <c r="V7" s="511"/>
      <c r="W7" s="511"/>
      <c r="X7" s="511"/>
      <c r="Y7" s="511"/>
      <c r="Z7" s="511"/>
    </row>
    <row r="8" spans="1:26" x14ac:dyDescent="0.25">
      <c r="J8" s="535"/>
      <c r="K8" s="536"/>
      <c r="L8" s="536"/>
      <c r="M8" s="536"/>
      <c r="N8" s="536"/>
      <c r="O8" s="536"/>
      <c r="P8" s="536"/>
      <c r="Q8" s="536"/>
      <c r="R8" s="536"/>
      <c r="S8" s="511"/>
      <c r="T8" s="511"/>
      <c r="U8" s="511"/>
      <c r="V8" s="511"/>
      <c r="W8" s="511"/>
      <c r="X8" s="511"/>
      <c r="Y8" s="511"/>
      <c r="Z8" s="511"/>
    </row>
    <row r="9" spans="1:26" x14ac:dyDescent="0.25">
      <c r="J9" s="511"/>
      <c r="K9" s="536"/>
      <c r="L9" s="536"/>
      <c r="M9" s="536"/>
      <c r="N9" s="536"/>
      <c r="O9" s="536"/>
      <c r="P9" s="536"/>
      <c r="Q9" s="536"/>
      <c r="R9" s="536"/>
      <c r="S9" s="511"/>
      <c r="T9" s="511"/>
      <c r="U9" s="511"/>
      <c r="V9" s="511"/>
      <c r="W9" s="511"/>
      <c r="X9" s="511"/>
      <c r="Y9" s="511"/>
      <c r="Z9" s="511"/>
    </row>
    <row r="10" spans="1:26" x14ac:dyDescent="0.25">
      <c r="J10" s="511"/>
      <c r="K10" s="536"/>
      <c r="L10" s="536"/>
      <c r="M10" s="536"/>
      <c r="N10" s="536"/>
      <c r="O10" s="536"/>
      <c r="P10" s="536"/>
      <c r="Q10" s="536"/>
      <c r="R10" s="536"/>
      <c r="S10" s="511"/>
      <c r="T10" s="511"/>
      <c r="U10" s="511"/>
      <c r="V10" s="511"/>
      <c r="W10" s="511"/>
      <c r="X10" s="511"/>
      <c r="Y10" s="511"/>
      <c r="Z10" s="511"/>
    </row>
    <row r="11" spans="1:26" x14ac:dyDescent="0.25">
      <c r="J11" s="511"/>
      <c r="K11" s="511"/>
      <c r="L11" s="511"/>
      <c r="M11" s="511"/>
      <c r="N11" s="511"/>
      <c r="O11" s="511"/>
      <c r="P11" s="511"/>
      <c r="Q11" s="511"/>
      <c r="R11" s="511"/>
      <c r="S11" s="511"/>
      <c r="T11" s="511"/>
      <c r="U11" s="511"/>
      <c r="V11" s="511"/>
      <c r="W11" s="511"/>
      <c r="X11" s="511"/>
      <c r="Y11" s="511"/>
      <c r="Z11" s="511"/>
    </row>
    <row r="12" spans="1:26" ht="14.25" thickBot="1" x14ac:dyDescent="0.3">
      <c r="J12" s="538"/>
      <c r="K12" s="543">
        <v>2009</v>
      </c>
      <c r="L12" s="543">
        <v>2010</v>
      </c>
      <c r="M12" s="543">
        <v>2011</v>
      </c>
      <c r="N12" s="543">
        <v>2012</v>
      </c>
      <c r="O12" s="543">
        <v>2013</v>
      </c>
      <c r="P12" s="543">
        <v>2014</v>
      </c>
      <c r="Q12" s="543">
        <v>2015</v>
      </c>
      <c r="R12" s="543">
        <v>2016</v>
      </c>
      <c r="S12" s="543">
        <v>2017</v>
      </c>
      <c r="T12" s="511"/>
      <c r="U12" s="511"/>
      <c r="V12" s="511"/>
      <c r="W12" s="511"/>
      <c r="X12" s="511"/>
      <c r="Y12" s="511"/>
      <c r="Z12" s="511"/>
    </row>
    <row r="13" spans="1:26" x14ac:dyDescent="0.25">
      <c r="J13" s="511" t="s">
        <v>157</v>
      </c>
      <c r="K13" s="541">
        <f>K18-K17-K16-K15-K14</f>
        <v>5.4924797879850162E-2</v>
      </c>
      <c r="L13" s="541">
        <f t="shared" ref="L13:S13" si="0">L18-L17-L16-L15-L14</f>
        <v>7.485828561757768E-2</v>
      </c>
      <c r="M13" s="541">
        <f t="shared" si="0"/>
        <v>0.25526359651475761</v>
      </c>
      <c r="N13" s="541">
        <f t="shared" si="0"/>
        <v>0.32316408932164931</v>
      </c>
      <c r="O13" s="541">
        <f t="shared" si="0"/>
        <v>6.435330589264221E-2</v>
      </c>
      <c r="P13" s="541">
        <f t="shared" si="0"/>
        <v>0.46249905734157526</v>
      </c>
      <c r="Q13" s="541">
        <f t="shared" si="0"/>
        <v>-1.0299681582477183E-2</v>
      </c>
      <c r="R13" s="541">
        <f t="shared" si="0"/>
        <v>0.41881172391750221</v>
      </c>
      <c r="S13" s="541">
        <f t="shared" si="0"/>
        <v>0.17355593071759468</v>
      </c>
      <c r="T13" s="511"/>
      <c r="U13" s="511"/>
      <c r="V13" s="511"/>
      <c r="W13" s="511"/>
      <c r="X13" s="511"/>
      <c r="Y13" s="511"/>
      <c r="Z13" s="511"/>
    </row>
    <row r="14" spans="1:26" x14ac:dyDescent="0.25">
      <c r="J14" s="511" t="s">
        <v>158</v>
      </c>
      <c r="K14" s="541">
        <v>0.69052339420501285</v>
      </c>
      <c r="L14" s="541">
        <v>1.18469647983965</v>
      </c>
      <c r="M14" s="541">
        <v>0.83786052085925733</v>
      </c>
      <c r="N14" s="541">
        <v>0.91882306428472338</v>
      </c>
      <c r="O14" s="541">
        <v>0.82179143959323242</v>
      </c>
      <c r="P14" s="541">
        <v>1.2037923043941081</v>
      </c>
      <c r="Q14" s="541">
        <v>0.69449733976281602</v>
      </c>
      <c r="R14" s="541">
        <v>0.79252869085012767</v>
      </c>
      <c r="S14" s="536">
        <v>1.0790254461814897</v>
      </c>
      <c r="T14" s="511"/>
      <c r="U14" s="511"/>
      <c r="V14" s="511"/>
      <c r="W14" s="511"/>
      <c r="X14" s="511"/>
      <c r="Y14" s="511"/>
      <c r="Z14" s="511"/>
    </row>
    <row r="15" spans="1:26" x14ac:dyDescent="0.25">
      <c r="J15" s="511" t="s">
        <v>161</v>
      </c>
      <c r="K15" s="536">
        <v>6.1777365500273976E-2</v>
      </c>
      <c r="L15" s="536">
        <v>0.29125092599973668</v>
      </c>
      <c r="M15" s="536">
        <v>0.36565665500445832</v>
      </c>
      <c r="N15" s="536">
        <v>4.6047700285822592E-2</v>
      </c>
      <c r="O15" s="536">
        <v>2.6889908026390477E-3</v>
      </c>
      <c r="P15" s="536">
        <v>-7.6414341374564904E-2</v>
      </c>
      <c r="Q15" s="536">
        <v>0.35558979386508249</v>
      </c>
      <c r="R15" s="536">
        <v>0.23145417961336492</v>
      </c>
      <c r="S15" s="43">
        <v>0.19446554983520753</v>
      </c>
    </row>
    <row r="16" spans="1:26" ht="16.5" customHeight="1" x14ac:dyDescent="0.25">
      <c r="B16" s="943" t="s">
        <v>1054</v>
      </c>
      <c r="C16" s="943"/>
      <c r="E16" s="943" t="s">
        <v>193</v>
      </c>
      <c r="F16" s="943"/>
      <c r="J16" s="511" t="s">
        <v>744</v>
      </c>
      <c r="K16" s="536">
        <v>1.2046800612785784</v>
      </c>
      <c r="L16" s="536">
        <v>0.5541305769153102</v>
      </c>
      <c r="M16" s="536">
        <v>5.7925940387167189E-2</v>
      </c>
      <c r="N16" s="536">
        <v>0.76092074821168187</v>
      </c>
      <c r="O16" s="536">
        <v>0.7167038673546946</v>
      </c>
      <c r="P16" s="536">
        <v>0.9454188343100508</v>
      </c>
      <c r="Q16" s="536">
        <v>0.67824389186951217</v>
      </c>
      <c r="R16" s="536">
        <v>1.1598592874484752</v>
      </c>
      <c r="S16" s="43">
        <v>1.0196351004044479</v>
      </c>
    </row>
    <row r="17" spans="1:19" ht="15.75" customHeight="1" x14ac:dyDescent="0.25">
      <c r="B17" s="943"/>
      <c r="C17" s="943"/>
      <c r="D17" s="127"/>
      <c r="J17" s="511" t="s">
        <v>165</v>
      </c>
      <c r="K17" s="541">
        <v>1.0309712829343376</v>
      </c>
      <c r="L17" s="541">
        <v>1.1165402416948482</v>
      </c>
      <c r="M17" s="541">
        <v>0.69395648619404304</v>
      </c>
      <c r="N17" s="541">
        <v>0.49557365998262637</v>
      </c>
      <c r="O17" s="541">
        <v>0.62771301670419621</v>
      </c>
      <c r="P17" s="541">
        <v>1.5909177375618495</v>
      </c>
      <c r="Q17" s="541">
        <v>1.195721569837976</v>
      </c>
      <c r="R17" s="541">
        <v>0.68160432881605959</v>
      </c>
      <c r="S17" s="43">
        <v>2.1385811307559948</v>
      </c>
    </row>
    <row r="18" spans="1:19" ht="27" customHeight="1" thickBot="1" x14ac:dyDescent="0.3">
      <c r="A18" s="944" t="s">
        <v>1058</v>
      </c>
      <c r="B18" s="944"/>
      <c r="C18" s="944"/>
      <c r="E18" s="944" t="s">
        <v>1060</v>
      </c>
      <c r="F18" s="944"/>
      <c r="J18" s="535" t="s">
        <v>1061</v>
      </c>
      <c r="K18" s="648">
        <v>3.0428769017980528</v>
      </c>
      <c r="L18" s="648">
        <v>3.2214765100671228</v>
      </c>
      <c r="M18" s="648">
        <v>2.2106631989596837</v>
      </c>
      <c r="N18" s="648">
        <v>2.5445292620865034</v>
      </c>
      <c r="O18" s="648">
        <v>2.2332506203474045</v>
      </c>
      <c r="P18" s="648">
        <v>4.126213592233019</v>
      </c>
      <c r="Q18" s="648">
        <v>2.9137529137529095</v>
      </c>
      <c r="R18" s="648">
        <v>3.2842582106455298</v>
      </c>
      <c r="S18" s="649">
        <v>4.6052631578947345</v>
      </c>
    </row>
    <row r="21" spans="1:19" ht="14.25" thickBot="1" x14ac:dyDescent="0.3">
      <c r="J21" s="538"/>
      <c r="K21" s="543">
        <v>2013</v>
      </c>
      <c r="L21" s="543">
        <v>2014</v>
      </c>
      <c r="M21" s="543">
        <v>2015</v>
      </c>
      <c r="N21" s="543">
        <v>2016</v>
      </c>
      <c r="O21" s="543">
        <v>2017</v>
      </c>
      <c r="P21" s="646"/>
      <c r="Q21" s="647"/>
      <c r="R21" s="647"/>
    </row>
    <row r="22" spans="1:19" x14ac:dyDescent="0.25">
      <c r="J22" s="535" t="s">
        <v>1055</v>
      </c>
      <c r="K22" s="536">
        <v>-0.72529953399785951</v>
      </c>
      <c r="L22" s="536">
        <v>1.1816621363155599</v>
      </c>
      <c r="M22" s="536">
        <v>1.7295287000556565</v>
      </c>
      <c r="N22" s="536">
        <v>2.0309232467777178</v>
      </c>
      <c r="O22" s="536">
        <v>1.6718733641556183</v>
      </c>
      <c r="P22" s="540"/>
      <c r="Q22" s="540"/>
      <c r="R22" s="540"/>
    </row>
    <row r="23" spans="1:19" x14ac:dyDescent="0.25">
      <c r="J23" s="535" t="s">
        <v>1056</v>
      </c>
      <c r="K23" s="536">
        <v>-5.2321139550798576E-2</v>
      </c>
      <c r="L23" s="536">
        <v>0.2277567669030599</v>
      </c>
      <c r="M23" s="536">
        <v>0.24730686067375604</v>
      </c>
      <c r="N23" s="536">
        <v>0.34886023844590686</v>
      </c>
      <c r="O23" s="536">
        <v>0.5343273666346553</v>
      </c>
      <c r="P23" s="540"/>
      <c r="Q23" s="540"/>
      <c r="R23" s="540"/>
    </row>
    <row r="24" spans="1:19" x14ac:dyDescent="0.25">
      <c r="J24" s="535" t="s">
        <v>1057</v>
      </c>
      <c r="K24" s="536">
        <v>-0.77762067354865805</v>
      </c>
      <c r="L24" s="536">
        <v>1.4094189032186197</v>
      </c>
      <c r="M24" s="536">
        <v>1.9768355607294126</v>
      </c>
      <c r="N24" s="536">
        <v>2.3797834852236246</v>
      </c>
      <c r="O24" s="536">
        <v>2.2062007307902736</v>
      </c>
      <c r="P24" s="540"/>
      <c r="Q24" s="540"/>
      <c r="R24" s="540"/>
    </row>
    <row r="25" spans="1:19" x14ac:dyDescent="0.25">
      <c r="J25" s="535"/>
      <c r="K25" s="536"/>
      <c r="L25" s="536"/>
      <c r="M25" s="536"/>
      <c r="N25" s="536"/>
      <c r="O25" s="536"/>
      <c r="P25" s="536"/>
      <c r="Q25" s="536"/>
      <c r="R25" s="536"/>
    </row>
    <row r="26" spans="1:19" x14ac:dyDescent="0.25">
      <c r="J26" s="535"/>
      <c r="K26" s="536"/>
      <c r="L26" s="536"/>
      <c r="M26" s="536"/>
      <c r="N26" s="536"/>
      <c r="O26" s="536"/>
      <c r="P26" s="536"/>
      <c r="Q26" s="536"/>
      <c r="R26" s="536"/>
    </row>
    <row r="27" spans="1:19" x14ac:dyDescent="0.25">
      <c r="J27" s="511"/>
      <c r="K27" s="536"/>
      <c r="L27" s="536"/>
      <c r="M27" s="536"/>
      <c r="N27" s="536"/>
      <c r="O27" s="536"/>
      <c r="P27" s="536"/>
      <c r="Q27" s="536"/>
      <c r="R27" s="536"/>
    </row>
    <row r="28" spans="1:19" x14ac:dyDescent="0.25">
      <c r="J28" s="511"/>
      <c r="K28" s="536"/>
      <c r="L28" s="536"/>
      <c r="M28" s="536"/>
      <c r="N28" s="536"/>
      <c r="O28" s="536"/>
      <c r="P28" s="536"/>
    </row>
    <row r="29" spans="1:19" x14ac:dyDescent="0.25">
      <c r="J29" s="511"/>
    </row>
    <row r="30" spans="1:19" ht="14.25" thickBot="1" x14ac:dyDescent="0.3">
      <c r="J30" s="538"/>
      <c r="K30" s="543">
        <v>2009</v>
      </c>
      <c r="L30" s="543">
        <v>2010</v>
      </c>
      <c r="M30" s="543">
        <v>2011</v>
      </c>
      <c r="N30" s="543">
        <v>2012</v>
      </c>
      <c r="O30" s="543">
        <v>2013</v>
      </c>
      <c r="P30" s="543">
        <v>2014</v>
      </c>
      <c r="Q30" s="543">
        <v>2015</v>
      </c>
      <c r="R30" s="543">
        <v>2016</v>
      </c>
      <c r="S30" s="543">
        <v>2017</v>
      </c>
    </row>
    <row r="31" spans="1:19" x14ac:dyDescent="0.25">
      <c r="B31" s="943" t="s">
        <v>406</v>
      </c>
      <c r="C31" s="943"/>
      <c r="E31" s="943" t="s">
        <v>406</v>
      </c>
      <c r="F31" s="943"/>
      <c r="J31" s="511" t="s">
        <v>265</v>
      </c>
      <c r="K31" s="541">
        <f>K13</f>
        <v>5.4924797879850162E-2</v>
      </c>
      <c r="L31" s="541">
        <f t="shared" ref="L31:S31" si="1">L13</f>
        <v>7.485828561757768E-2</v>
      </c>
      <c r="M31" s="541">
        <f t="shared" si="1"/>
        <v>0.25526359651475761</v>
      </c>
      <c r="N31" s="541">
        <f t="shared" si="1"/>
        <v>0.32316408932164931</v>
      </c>
      <c r="O31" s="541">
        <f t="shared" si="1"/>
        <v>6.435330589264221E-2</v>
      </c>
      <c r="P31" s="541">
        <f t="shared" si="1"/>
        <v>0.46249905734157526</v>
      </c>
      <c r="Q31" s="541">
        <f t="shared" si="1"/>
        <v>-1.0299681582477183E-2</v>
      </c>
      <c r="R31" s="541">
        <f t="shared" si="1"/>
        <v>0.41881172391750221</v>
      </c>
      <c r="S31" s="541">
        <f t="shared" si="1"/>
        <v>0.17355593071759468</v>
      </c>
    </row>
    <row r="32" spans="1:19" x14ac:dyDescent="0.25">
      <c r="B32" s="943"/>
      <c r="C32" s="943"/>
      <c r="J32" s="511" t="s">
        <v>266</v>
      </c>
      <c r="K32" s="541">
        <f t="shared" ref="K32:K35" si="2">K14</f>
        <v>0.69052339420501285</v>
      </c>
      <c r="L32" s="541">
        <f t="shared" ref="L32:S32" si="3">L14</f>
        <v>1.18469647983965</v>
      </c>
      <c r="M32" s="541">
        <f t="shared" si="3"/>
        <v>0.83786052085925733</v>
      </c>
      <c r="N32" s="541">
        <f t="shared" si="3"/>
        <v>0.91882306428472338</v>
      </c>
      <c r="O32" s="541">
        <f t="shared" si="3"/>
        <v>0.82179143959323242</v>
      </c>
      <c r="P32" s="541">
        <f t="shared" si="3"/>
        <v>1.2037923043941081</v>
      </c>
      <c r="Q32" s="541">
        <f t="shared" si="3"/>
        <v>0.69449733976281602</v>
      </c>
      <c r="R32" s="541">
        <f t="shared" si="3"/>
        <v>0.79252869085012767</v>
      </c>
      <c r="S32" s="541">
        <f t="shared" si="3"/>
        <v>1.0790254461814897</v>
      </c>
    </row>
    <row r="33" spans="10:19" x14ac:dyDescent="0.25">
      <c r="J33" s="511" t="s">
        <v>269</v>
      </c>
      <c r="K33" s="541">
        <f t="shared" si="2"/>
        <v>6.1777365500273976E-2</v>
      </c>
      <c r="L33" s="541">
        <f t="shared" ref="L33:S33" si="4">L15</f>
        <v>0.29125092599973668</v>
      </c>
      <c r="M33" s="541">
        <f t="shared" si="4"/>
        <v>0.36565665500445832</v>
      </c>
      <c r="N33" s="541">
        <f t="shared" si="4"/>
        <v>4.6047700285822592E-2</v>
      </c>
      <c r="O33" s="541">
        <f t="shared" si="4"/>
        <v>2.6889908026390477E-3</v>
      </c>
      <c r="P33" s="541">
        <f t="shared" si="4"/>
        <v>-7.6414341374564904E-2</v>
      </c>
      <c r="Q33" s="541">
        <f t="shared" si="4"/>
        <v>0.35558979386508249</v>
      </c>
      <c r="R33" s="541">
        <f t="shared" si="4"/>
        <v>0.23145417961336492</v>
      </c>
      <c r="S33" s="541">
        <f t="shared" si="4"/>
        <v>0.19446554983520753</v>
      </c>
    </row>
    <row r="34" spans="10:19" x14ac:dyDescent="0.25">
      <c r="J34" s="511" t="s">
        <v>1063</v>
      </c>
      <c r="K34" s="541">
        <f t="shared" si="2"/>
        <v>1.2046800612785784</v>
      </c>
      <c r="L34" s="541">
        <f t="shared" ref="L34:S34" si="5">L16</f>
        <v>0.5541305769153102</v>
      </c>
      <c r="M34" s="541">
        <f t="shared" si="5"/>
        <v>5.7925940387167189E-2</v>
      </c>
      <c r="N34" s="541">
        <f t="shared" si="5"/>
        <v>0.76092074821168187</v>
      </c>
      <c r="O34" s="541">
        <f t="shared" si="5"/>
        <v>0.7167038673546946</v>
      </c>
      <c r="P34" s="541">
        <f t="shared" si="5"/>
        <v>0.9454188343100508</v>
      </c>
      <c r="Q34" s="541">
        <f t="shared" si="5"/>
        <v>0.67824389186951217</v>
      </c>
      <c r="R34" s="541">
        <f t="shared" si="5"/>
        <v>1.1598592874484752</v>
      </c>
      <c r="S34" s="541">
        <f t="shared" si="5"/>
        <v>1.0196351004044479</v>
      </c>
    </row>
    <row r="35" spans="10:19" x14ac:dyDescent="0.25">
      <c r="J35" s="511" t="s">
        <v>272</v>
      </c>
      <c r="K35" s="541">
        <f t="shared" si="2"/>
        <v>1.0309712829343376</v>
      </c>
      <c r="L35" s="541">
        <f t="shared" ref="L35:S36" si="6">L17</f>
        <v>1.1165402416948482</v>
      </c>
      <c r="M35" s="541">
        <f t="shared" si="6"/>
        <v>0.69395648619404304</v>
      </c>
      <c r="N35" s="541">
        <f t="shared" si="6"/>
        <v>0.49557365998262637</v>
      </c>
      <c r="O35" s="541">
        <f t="shared" si="6"/>
        <v>0.62771301670419621</v>
      </c>
      <c r="P35" s="541">
        <f t="shared" si="6"/>
        <v>1.5909177375618495</v>
      </c>
      <c r="Q35" s="541">
        <f t="shared" si="6"/>
        <v>1.195721569837976</v>
      </c>
      <c r="R35" s="541">
        <f t="shared" si="6"/>
        <v>0.68160432881605959</v>
      </c>
      <c r="S35" s="541">
        <f t="shared" si="6"/>
        <v>2.1385811307559948</v>
      </c>
    </row>
    <row r="36" spans="10:19" x14ac:dyDescent="0.25">
      <c r="J36" s="535" t="s">
        <v>1062</v>
      </c>
      <c r="K36" s="650">
        <f>K18</f>
        <v>3.0428769017980528</v>
      </c>
      <c r="L36" s="650">
        <f t="shared" si="6"/>
        <v>3.2214765100671228</v>
      </c>
      <c r="M36" s="650">
        <f t="shared" si="6"/>
        <v>2.2106631989596837</v>
      </c>
      <c r="N36" s="650">
        <f t="shared" si="6"/>
        <v>2.5445292620865034</v>
      </c>
      <c r="O36" s="650">
        <f t="shared" si="6"/>
        <v>2.2332506203474045</v>
      </c>
      <c r="P36" s="650">
        <f t="shared" si="6"/>
        <v>4.126213592233019</v>
      </c>
      <c r="Q36" s="650">
        <f t="shared" si="6"/>
        <v>2.9137529137529095</v>
      </c>
      <c r="R36" s="650">
        <f t="shared" si="6"/>
        <v>3.2842582106455298</v>
      </c>
      <c r="S36" s="650">
        <f t="shared" si="6"/>
        <v>4.6052631578947345</v>
      </c>
    </row>
  </sheetData>
  <mergeCells count="10">
    <mergeCell ref="B31:C31"/>
    <mergeCell ref="E31:F31"/>
    <mergeCell ref="B32:C32"/>
    <mergeCell ref="A3:C3"/>
    <mergeCell ref="E3:F3"/>
    <mergeCell ref="B16:C16"/>
    <mergeCell ref="E16:F16"/>
    <mergeCell ref="B17:C17"/>
    <mergeCell ref="A18:C18"/>
    <mergeCell ref="E18:F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1"/>
  <dimension ref="B3:AH67"/>
  <sheetViews>
    <sheetView showGridLines="0" zoomScale="90" zoomScaleNormal="90" workbookViewId="0">
      <selection activeCell="D19" sqref="D19"/>
    </sheetView>
  </sheetViews>
  <sheetFormatPr defaultColWidth="9.140625" defaultRowHeight="13.5" x14ac:dyDescent="0.25"/>
  <cols>
    <col min="1" max="1" width="9.140625" style="34"/>
    <col min="2" max="2" width="46.5703125" style="34" customWidth="1"/>
    <col min="3" max="3" width="5" style="34" customWidth="1"/>
    <col min="4" max="4" width="48.42578125" style="34" customWidth="1"/>
    <col min="5" max="6" width="9.140625" style="34"/>
    <col min="7" max="7" width="14.140625" style="511" bestFit="1" customWidth="1"/>
    <col min="8" max="32" width="9.140625" style="511"/>
    <col min="33" max="33" width="9.140625" style="105"/>
    <col min="34" max="16384" width="9.140625" style="34"/>
  </cols>
  <sheetData>
    <row r="3" spans="2:34" ht="27.75" thickBot="1" x14ac:dyDescent="0.3">
      <c r="B3" s="787" t="s">
        <v>673</v>
      </c>
      <c r="C3" s="514"/>
      <c r="D3" s="787" t="s">
        <v>675</v>
      </c>
      <c r="G3" s="533"/>
      <c r="H3" s="534">
        <v>41640</v>
      </c>
      <c r="I3" s="534">
        <v>41671</v>
      </c>
      <c r="J3" s="534">
        <v>41699</v>
      </c>
      <c r="K3" s="534">
        <v>41730</v>
      </c>
      <c r="L3" s="534">
        <v>41760</v>
      </c>
      <c r="M3" s="534">
        <v>41791</v>
      </c>
      <c r="N3" s="534">
        <v>41821</v>
      </c>
      <c r="O3" s="534">
        <v>41852</v>
      </c>
      <c r="P3" s="534">
        <v>41883</v>
      </c>
      <c r="Q3" s="534">
        <v>41913</v>
      </c>
      <c r="R3" s="534">
        <v>41944</v>
      </c>
      <c r="S3" s="534">
        <v>41974</v>
      </c>
      <c r="T3" s="534">
        <v>42005</v>
      </c>
      <c r="U3" s="534">
        <v>42036</v>
      </c>
      <c r="V3" s="534">
        <v>42064</v>
      </c>
      <c r="W3" s="534">
        <v>42095</v>
      </c>
      <c r="X3" s="534">
        <v>42125</v>
      </c>
      <c r="Y3" s="534">
        <v>42156</v>
      </c>
      <c r="Z3" s="534">
        <v>42186</v>
      </c>
      <c r="AA3" s="534">
        <v>42217</v>
      </c>
      <c r="AB3" s="534">
        <v>42248</v>
      </c>
      <c r="AC3" s="534">
        <v>42278</v>
      </c>
      <c r="AD3" s="534">
        <v>42309</v>
      </c>
      <c r="AE3" s="534">
        <v>42339</v>
      </c>
      <c r="AF3" s="535"/>
      <c r="AG3" s="106"/>
    </row>
    <row r="4" spans="2:34" ht="14.25" thickBot="1" x14ac:dyDescent="0.3">
      <c r="B4" s="512"/>
      <c r="C4" s="9"/>
      <c r="D4" s="512"/>
      <c r="G4" s="112" t="s">
        <v>450</v>
      </c>
      <c r="H4" s="536">
        <v>4.1374837738559576</v>
      </c>
      <c r="I4" s="536">
        <v>4.1896535020345533</v>
      </c>
      <c r="J4" s="536">
        <v>3.9724405904548852</v>
      </c>
      <c r="K4" s="536">
        <v>3.6286932304715394</v>
      </c>
      <c r="L4" s="536">
        <v>3.4257703089898719</v>
      </c>
      <c r="M4" s="536">
        <v>3.5163514490142109</v>
      </c>
      <c r="N4" s="536">
        <v>3.8195681081872852</v>
      </c>
      <c r="O4" s="536">
        <v>3.7617881745602579</v>
      </c>
      <c r="P4" s="536">
        <v>3.7310819175576606</v>
      </c>
      <c r="Q4" s="536">
        <v>3.722196878625641</v>
      </c>
      <c r="R4" s="536">
        <v>3.8176914975970955</v>
      </c>
      <c r="S4" s="536">
        <v>3.7832094227022361</v>
      </c>
      <c r="T4" s="536">
        <v>3.7181056414088212</v>
      </c>
      <c r="U4" s="536">
        <v>3.6666592143604291</v>
      </c>
      <c r="V4" s="536">
        <v>3.827721139980421</v>
      </c>
      <c r="W4" s="536">
        <v>3.7559667836825064</v>
      </c>
      <c r="X4" s="536">
        <v>3.5432496101820079</v>
      </c>
      <c r="Y4" s="536">
        <v>3.4612314545385638</v>
      </c>
      <c r="Z4" s="536">
        <v>3.1557665376450257</v>
      </c>
      <c r="AA4" s="536">
        <v>3.0077100795366891</v>
      </c>
      <c r="AB4" s="536">
        <v>2.675536258162027</v>
      </c>
      <c r="AC4" s="536">
        <v>2.6147217009466877</v>
      </c>
      <c r="AD4" s="536">
        <v>2.3965344977308134</v>
      </c>
      <c r="AE4" s="536">
        <v>2.4199166922680804</v>
      </c>
    </row>
    <row r="5" spans="2:34" x14ac:dyDescent="0.25">
      <c r="B5" s="76"/>
      <c r="C5" s="77"/>
      <c r="D5" s="76"/>
      <c r="G5" s="112" t="s">
        <v>165</v>
      </c>
      <c r="H5" s="536">
        <v>0.50774765730922411</v>
      </c>
      <c r="I5" s="536">
        <v>0.47034787888825996</v>
      </c>
      <c r="J5" s="536">
        <v>0.43847879578485088</v>
      </c>
      <c r="K5" s="536">
        <v>0.42994195136343699</v>
      </c>
      <c r="L5" s="536">
        <v>0.48741508883953866</v>
      </c>
      <c r="M5" s="536">
        <v>0.34948693360608185</v>
      </c>
      <c r="N5" s="536">
        <v>0.29972838371067229</v>
      </c>
      <c r="O5" s="536">
        <v>0.23410109054999828</v>
      </c>
      <c r="P5" s="536">
        <v>0.1506245012682477</v>
      </c>
      <c r="Q5" s="536">
        <v>0.13782042258789226</v>
      </c>
      <c r="R5" s="536">
        <v>0.138462610910383</v>
      </c>
      <c r="S5" s="536">
        <v>0.11245035217296234</v>
      </c>
      <c r="T5" s="536">
        <v>0.1396172522136532</v>
      </c>
      <c r="U5" s="536">
        <v>0.16665043315459993</v>
      </c>
      <c r="V5" s="536">
        <v>0.19018099868185606</v>
      </c>
      <c r="W5" s="536">
        <v>0.17962381550124226</v>
      </c>
      <c r="X5" s="536">
        <v>0.16792886450639241</v>
      </c>
      <c r="Y5" s="536">
        <v>0.15403724709388616</v>
      </c>
      <c r="Z5" s="536">
        <v>0.15660051396553096</v>
      </c>
      <c r="AA5" s="536">
        <v>0.15977640277058189</v>
      </c>
      <c r="AB5" s="536">
        <v>0.16763052787881833</v>
      </c>
      <c r="AC5" s="536">
        <v>0.20601372850963792</v>
      </c>
      <c r="AD5" s="536">
        <v>0.24113648017249334</v>
      </c>
      <c r="AE5" s="536">
        <v>0.2019242197465031</v>
      </c>
    </row>
    <row r="6" spans="2:34" x14ac:dyDescent="0.25">
      <c r="G6" s="112" t="s">
        <v>451</v>
      </c>
      <c r="H6" s="536">
        <v>-1.0299516679456102</v>
      </c>
      <c r="I6" s="536">
        <v>-1.1537170756198456</v>
      </c>
      <c r="J6" s="536">
        <v>-1.2911385316952995</v>
      </c>
      <c r="K6" s="536">
        <v>-1.3911796611347849</v>
      </c>
      <c r="L6" s="536">
        <v>-1.5336974512049817</v>
      </c>
      <c r="M6" s="536">
        <v>-1.6955300108105185</v>
      </c>
      <c r="N6" s="536">
        <v>-1.8101566708792731</v>
      </c>
      <c r="O6" s="536">
        <v>-1.9343210842254828</v>
      </c>
      <c r="P6" s="536">
        <v>-2.0739078961803026</v>
      </c>
      <c r="Q6" s="536">
        <v>-2.1284524307666643</v>
      </c>
      <c r="R6" s="536">
        <v>-2.1897021748709453</v>
      </c>
      <c r="S6" s="536">
        <v>-2.1836104035209831</v>
      </c>
      <c r="T6" s="536">
        <v>-2.2354790626355392</v>
      </c>
      <c r="U6" s="536">
        <v>-2.2610372067196747</v>
      </c>
      <c r="V6" s="536">
        <v>-2.3454094625110908</v>
      </c>
      <c r="W6" s="536">
        <v>-2.4281844862991164</v>
      </c>
      <c r="X6" s="536">
        <v>-2.5022104448867815</v>
      </c>
      <c r="Y6" s="536">
        <v>-2.5698873158693827</v>
      </c>
      <c r="Z6" s="536">
        <v>-2.6649647897353512</v>
      </c>
      <c r="AA6" s="536">
        <v>-2.7420060111524402</v>
      </c>
      <c r="AB6" s="536">
        <v>-2.8046823355940194</v>
      </c>
      <c r="AC6" s="536">
        <v>-2.9239147399309928</v>
      </c>
      <c r="AD6" s="536">
        <v>-3.0665645958227539</v>
      </c>
      <c r="AE6" s="536">
        <v>-2.3421377717688174</v>
      </c>
    </row>
    <row r="7" spans="2:34" x14ac:dyDescent="0.25">
      <c r="G7" s="112" t="s">
        <v>452</v>
      </c>
      <c r="H7" s="536">
        <v>-1.7522863765398535</v>
      </c>
      <c r="I7" s="536">
        <v>-1.7583087892624762</v>
      </c>
      <c r="J7" s="536">
        <v>-1.7758763388265182</v>
      </c>
      <c r="K7" s="536">
        <v>-1.770124239415704</v>
      </c>
      <c r="L7" s="536">
        <v>-1.7696160618075798</v>
      </c>
      <c r="M7" s="536">
        <v>-1.7528408425275401</v>
      </c>
      <c r="N7" s="536">
        <v>-1.739612312701476</v>
      </c>
      <c r="O7" s="536">
        <v>-1.7162415585226729</v>
      </c>
      <c r="P7" s="536">
        <v>-1.6623325841956909</v>
      </c>
      <c r="Q7" s="536">
        <v>-1.6464588581448047</v>
      </c>
      <c r="R7" s="536">
        <v>-1.7029681335729283</v>
      </c>
      <c r="S7" s="536">
        <v>-1.5796622299412497</v>
      </c>
      <c r="T7" s="536">
        <v>-1.5621899765985028</v>
      </c>
      <c r="U7" s="536">
        <v>-1.5189985399683181</v>
      </c>
      <c r="V7" s="536">
        <v>-1.5134517817802682</v>
      </c>
      <c r="W7" s="536">
        <v>-1.5202109947612099</v>
      </c>
      <c r="X7" s="536">
        <v>-1.5111302424748192</v>
      </c>
      <c r="Y7" s="536">
        <v>-1.4786200873747946</v>
      </c>
      <c r="Z7" s="536">
        <v>-1.4640334450719055</v>
      </c>
      <c r="AA7" s="536">
        <v>-1.4671963751322652</v>
      </c>
      <c r="AB7" s="536">
        <v>-1.4634274481241449</v>
      </c>
      <c r="AC7" s="536">
        <v>-1.4633632824824421</v>
      </c>
      <c r="AD7" s="536">
        <v>-1.4130171414132531</v>
      </c>
      <c r="AE7" s="536">
        <v>-1.4286043108069089</v>
      </c>
    </row>
    <row r="8" spans="2:34" x14ac:dyDescent="0.25">
      <c r="G8" s="112" t="s">
        <v>163</v>
      </c>
      <c r="H8" s="536">
        <v>1.8629933866797104</v>
      </c>
      <c r="I8" s="536">
        <v>1.7479755160404835</v>
      </c>
      <c r="J8" s="536">
        <v>1.343904515717911</v>
      </c>
      <c r="K8" s="536">
        <v>0.89733128128447748</v>
      </c>
      <c r="L8" s="536">
        <v>0.60987188481683774</v>
      </c>
      <c r="M8" s="536">
        <v>0.41746752928222325</v>
      </c>
      <c r="N8" s="536">
        <v>0.56952750831721355</v>
      </c>
      <c r="O8" s="536">
        <v>0.34532662236208783</v>
      </c>
      <c r="P8" s="536">
        <v>0.14546593844991376</v>
      </c>
      <c r="Q8" s="536">
        <v>8.5106012302036321E-2</v>
      </c>
      <c r="R8" s="536">
        <v>6.3483800063590987E-2</v>
      </c>
      <c r="S8" s="536">
        <v>0.13238714141297392</v>
      </c>
      <c r="T8" s="536">
        <v>6.0053854388440298E-2</v>
      </c>
      <c r="U8" s="536">
        <v>5.3273900827046423E-2</v>
      </c>
      <c r="V8" s="536">
        <v>0.15904089437092661</v>
      </c>
      <c r="W8" s="536">
        <v>-1.2804881876570161E-2</v>
      </c>
      <c r="X8" s="536">
        <v>-0.30216221267318522</v>
      </c>
      <c r="Y8" s="536">
        <v>-0.43323870161170719</v>
      </c>
      <c r="Z8" s="536">
        <v>-0.81663118319669825</v>
      </c>
      <c r="AA8" s="536">
        <v>-1.0417159039774222</v>
      </c>
      <c r="AB8" s="536">
        <v>-1.4249429976773222</v>
      </c>
      <c r="AC8" s="536">
        <v>-1.5665425929570791</v>
      </c>
      <c r="AD8" s="536">
        <v>-1.8419107593326878</v>
      </c>
      <c r="AE8" s="536">
        <v>-1.1489011705611436</v>
      </c>
    </row>
    <row r="9" spans="2:34" x14ac:dyDescent="0.25">
      <c r="H9" s="536"/>
      <c r="I9" s="536"/>
      <c r="J9" s="536"/>
      <c r="K9" s="536"/>
      <c r="L9" s="536"/>
      <c r="M9" s="536"/>
      <c r="N9" s="536"/>
      <c r="O9" s="536"/>
      <c r="P9" s="536"/>
      <c r="Q9" s="536"/>
      <c r="R9" s="536"/>
      <c r="S9" s="536"/>
      <c r="T9" s="536"/>
      <c r="U9" s="536"/>
      <c r="V9" s="536"/>
      <c r="W9" s="536"/>
      <c r="X9" s="536"/>
      <c r="Y9" s="536"/>
      <c r="Z9" s="536"/>
      <c r="AA9" s="536"/>
      <c r="AB9" s="536"/>
      <c r="AC9" s="536"/>
      <c r="AD9" s="536"/>
      <c r="AE9" s="536"/>
    </row>
    <row r="11" spans="2:34" ht="14.25" thickBot="1" x14ac:dyDescent="0.3">
      <c r="G11" s="533"/>
      <c r="H11" s="534">
        <v>42370</v>
      </c>
      <c r="I11" s="534">
        <v>42401</v>
      </c>
      <c r="J11" s="534">
        <v>42430</v>
      </c>
      <c r="K11" s="534">
        <v>42461</v>
      </c>
      <c r="L11" s="534">
        <v>42491</v>
      </c>
      <c r="M11" s="534">
        <v>42522</v>
      </c>
      <c r="N11" s="534">
        <v>42552</v>
      </c>
      <c r="O11" s="534">
        <v>42583</v>
      </c>
      <c r="P11" s="534">
        <v>42614</v>
      </c>
      <c r="Q11" s="534">
        <v>42644</v>
      </c>
      <c r="R11" s="534">
        <v>42675</v>
      </c>
      <c r="S11" s="534">
        <v>42705</v>
      </c>
      <c r="T11" s="534">
        <v>42736</v>
      </c>
      <c r="U11" s="534">
        <v>42767</v>
      </c>
      <c r="V11" s="534">
        <v>42795</v>
      </c>
      <c r="W11" s="534">
        <v>42826</v>
      </c>
      <c r="X11" s="534">
        <v>42856</v>
      </c>
      <c r="Y11" s="534">
        <v>42887</v>
      </c>
      <c r="Z11" s="534">
        <v>42917</v>
      </c>
      <c r="AA11" s="534">
        <v>42948</v>
      </c>
      <c r="AB11" s="534">
        <v>42979</v>
      </c>
      <c r="AC11" s="534">
        <v>43009</v>
      </c>
      <c r="AD11" s="534">
        <v>43040</v>
      </c>
      <c r="AE11" s="534">
        <v>43070</v>
      </c>
      <c r="AF11" s="534">
        <v>43101</v>
      </c>
      <c r="AG11" s="534">
        <v>43132</v>
      </c>
      <c r="AH11" s="534">
        <v>43160</v>
      </c>
    </row>
    <row r="12" spans="2:34" x14ac:dyDescent="0.25">
      <c r="G12" s="511" t="s">
        <v>166</v>
      </c>
      <c r="H12" s="536">
        <v>-0.63151676867012996</v>
      </c>
      <c r="I12" s="536">
        <v>-0.39929458008374152</v>
      </c>
      <c r="J12" s="536">
        <v>-0.54199506889858862</v>
      </c>
      <c r="K12" s="536">
        <v>-0.44339880102346768</v>
      </c>
      <c r="L12" s="536">
        <v>-0.79903280831607804</v>
      </c>
      <c r="M12" s="536">
        <v>-0.77678023711626198</v>
      </c>
      <c r="N12" s="536">
        <v>-0.90112589161331846</v>
      </c>
      <c r="O12" s="536">
        <v>-0.83304881127761399</v>
      </c>
      <c r="P12" s="536">
        <v>-0.48198795698920666</v>
      </c>
      <c r="Q12" s="536">
        <v>-0.31113109518627635</v>
      </c>
      <c r="R12" s="536">
        <v>-0.23000268203166879</v>
      </c>
      <c r="S12" s="536">
        <v>0.17003660985193375</v>
      </c>
      <c r="T12" s="536">
        <v>0.7243592054353688</v>
      </c>
      <c r="U12" s="536">
        <v>1.0720429216209946</v>
      </c>
      <c r="V12" s="536">
        <v>0.95882835027441571</v>
      </c>
      <c r="W12" s="536">
        <v>0.77620188824905834</v>
      </c>
      <c r="X12" s="536">
        <v>1.0716869187806881</v>
      </c>
      <c r="Y12" s="536">
        <v>0.95627969800095169</v>
      </c>
      <c r="Z12" s="536">
        <v>1.3947674998186921</v>
      </c>
      <c r="AA12" s="536">
        <v>1.5296967046313141</v>
      </c>
      <c r="AB12" s="536">
        <v>1.6355759447900062</v>
      </c>
      <c r="AC12" s="536">
        <v>1.730068686343323</v>
      </c>
      <c r="AD12" s="536">
        <v>1.9380538284174915</v>
      </c>
      <c r="AE12" s="536">
        <v>1.8614503079338405</v>
      </c>
      <c r="AF12" s="536">
        <v>2.4777108206280221</v>
      </c>
      <c r="AG12" s="536">
        <v>2.0772561602424</v>
      </c>
    </row>
    <row r="13" spans="2:34" x14ac:dyDescent="0.25">
      <c r="G13" s="511" t="s">
        <v>167</v>
      </c>
      <c r="H13" s="536">
        <v>-1.8921923246588479E-2</v>
      </c>
      <c r="I13" s="536">
        <v>0.13276580692705217</v>
      </c>
      <c r="J13" s="536">
        <v>2.3666323377969669E-2</v>
      </c>
      <c r="K13" s="536">
        <v>0.18898303840223252</v>
      </c>
      <c r="L13" s="536">
        <v>5.6574443141852893E-2</v>
      </c>
      <c r="M13" s="536">
        <v>6.5955191096779692E-2</v>
      </c>
      <c r="N13" s="536">
        <v>-1.4142574547588434E-2</v>
      </c>
      <c r="O13" s="536">
        <v>4.247440222972327E-2</v>
      </c>
      <c r="P13" s="536">
        <v>0.28862298698433481</v>
      </c>
      <c r="Q13" s="536">
        <v>0.41130991917707349</v>
      </c>
      <c r="R13" s="536">
        <v>0.34471686481726405</v>
      </c>
      <c r="S13" s="536">
        <v>0.55877185752134739</v>
      </c>
      <c r="T13" s="536">
        <v>0.79475293055152807</v>
      </c>
      <c r="U13" s="536">
        <v>0.90564868830290768</v>
      </c>
      <c r="V13" s="536">
        <v>0.93330399235373407</v>
      </c>
      <c r="W13" s="536">
        <v>0.74980343780115166</v>
      </c>
      <c r="X13" s="536">
        <v>0.83714254981204406</v>
      </c>
      <c r="Y13" s="536">
        <v>0.7077296638540127</v>
      </c>
      <c r="Z13" s="536">
        <v>0.86102342597311621</v>
      </c>
      <c r="AA13" s="536">
        <v>0.94411024380681019</v>
      </c>
      <c r="AB13" s="536">
        <v>0.93373592094421209</v>
      </c>
      <c r="AC13" s="536">
        <v>0.87157923158845207</v>
      </c>
      <c r="AD13" s="536">
        <v>1.0136362556044296</v>
      </c>
      <c r="AE13" s="536">
        <v>0.95352335623043594</v>
      </c>
      <c r="AF13" s="536">
        <v>0.98241592032927205</v>
      </c>
      <c r="AG13" s="536">
        <v>1.0681386973481</v>
      </c>
    </row>
    <row r="14" spans="2:34" x14ac:dyDescent="0.25">
      <c r="G14" s="511" t="s">
        <v>168</v>
      </c>
      <c r="H14" s="536">
        <v>-5.8764985995524585E-2</v>
      </c>
      <c r="I14" s="536">
        <v>1.8370532580499935E-2</v>
      </c>
      <c r="J14" s="536">
        <v>-2.026715917745495E-2</v>
      </c>
      <c r="K14" s="536">
        <v>-9.7024973512938609E-2</v>
      </c>
      <c r="L14" s="536">
        <v>-0.32110567646398863</v>
      </c>
      <c r="M14" s="536">
        <v>-0.30492624664078866</v>
      </c>
      <c r="N14" s="536">
        <v>-0.18501036700718967</v>
      </c>
      <c r="O14" s="536">
        <v>-0.1694866473370982</v>
      </c>
      <c r="P14" s="536">
        <v>-0.20121366478572283</v>
      </c>
      <c r="Q14" s="536">
        <v>-0.20116764504078435</v>
      </c>
      <c r="R14" s="536">
        <v>-5.5980688175340756E-2</v>
      </c>
      <c r="S14" s="536">
        <v>0.12915346534653641</v>
      </c>
      <c r="T14" s="536">
        <v>0.26803517452203279</v>
      </c>
      <c r="U14" s="536">
        <v>0.47020378054317608</v>
      </c>
      <c r="V14" s="536">
        <v>0.38309964607795199</v>
      </c>
      <c r="W14" s="536">
        <v>0.39953044236381496</v>
      </c>
      <c r="X14" s="536">
        <v>0.60844694154050394</v>
      </c>
      <c r="Y14" s="536">
        <v>0.62077633489305128</v>
      </c>
      <c r="Z14" s="536">
        <v>0.73270191121319739</v>
      </c>
      <c r="AA14" s="536">
        <v>0.78617736356261836</v>
      </c>
      <c r="AB14" s="536">
        <v>0.89559407977641048</v>
      </c>
      <c r="AC14" s="536">
        <v>1.0921889980670474</v>
      </c>
      <c r="AD14" s="536">
        <v>1.1688788321207841</v>
      </c>
      <c r="AE14" s="536">
        <v>1.1523599811095255</v>
      </c>
      <c r="AF14" s="536">
        <v>1.2227173132894997</v>
      </c>
      <c r="AG14" s="536">
        <v>0.8263882531197998</v>
      </c>
    </row>
    <row r="15" spans="2:34" x14ac:dyDescent="0.25">
      <c r="G15" s="511" t="s">
        <v>169</v>
      </c>
      <c r="H15" s="536">
        <v>-0.23382985942801682</v>
      </c>
      <c r="I15" s="536">
        <v>-0.23043091959129361</v>
      </c>
      <c r="J15" s="536">
        <v>-0.22539423309910328</v>
      </c>
      <c r="K15" s="536">
        <v>-0.2153568659127616</v>
      </c>
      <c r="L15" s="536">
        <v>-0.21450157499394235</v>
      </c>
      <c r="M15" s="536">
        <v>-0.21780918157225304</v>
      </c>
      <c r="N15" s="536">
        <v>-0.38197295005854043</v>
      </c>
      <c r="O15" s="536">
        <v>-0.38603656617023901</v>
      </c>
      <c r="P15" s="536">
        <v>-0.24939727918781862</v>
      </c>
      <c r="Q15" s="536">
        <v>-0.20127336932256551</v>
      </c>
      <c r="R15" s="536">
        <v>-0.19873885867359209</v>
      </c>
      <c r="S15" s="536">
        <v>-0.19788871301594999</v>
      </c>
      <c r="T15" s="536">
        <v>-0.338428899638192</v>
      </c>
      <c r="U15" s="536">
        <v>-0.40380954722508922</v>
      </c>
      <c r="V15" s="536">
        <v>-0.45757528815727022</v>
      </c>
      <c r="W15" s="536">
        <v>-0.47313199191590832</v>
      </c>
      <c r="X15" s="536">
        <v>-0.47390257257185991</v>
      </c>
      <c r="Y15" s="536">
        <v>-0.47222630074611233</v>
      </c>
      <c r="Z15" s="536">
        <v>-0.29895783736762155</v>
      </c>
      <c r="AA15" s="536">
        <v>-0.30059090273811456</v>
      </c>
      <c r="AB15" s="536">
        <v>-0.29375405593061643</v>
      </c>
      <c r="AC15" s="536">
        <v>-0.33369954331217649</v>
      </c>
      <c r="AD15" s="536">
        <v>-0.3444612593077222</v>
      </c>
      <c r="AE15" s="536">
        <v>-0.34443302940612125</v>
      </c>
      <c r="AF15" s="536">
        <v>0.17257758700924999</v>
      </c>
      <c r="AG15" s="536">
        <v>0.1827292097745</v>
      </c>
    </row>
    <row r="16" spans="2:34" x14ac:dyDescent="0.25">
      <c r="G16" s="511" t="s">
        <v>468</v>
      </c>
      <c r="H16" s="536">
        <v>-0.32</v>
      </c>
      <c r="I16" s="536">
        <v>-0.32</v>
      </c>
      <c r="J16" s="536">
        <v>-0.32</v>
      </c>
      <c r="K16" s="536">
        <v>-0.32</v>
      </c>
      <c r="L16" s="536">
        <v>-0.32</v>
      </c>
      <c r="M16" s="536">
        <v>-0.32</v>
      </c>
      <c r="N16" s="536">
        <v>-0.32</v>
      </c>
      <c r="O16" s="536">
        <v>-0.32</v>
      </c>
      <c r="P16" s="536">
        <v>-0.32</v>
      </c>
      <c r="Q16" s="536">
        <v>-0.32</v>
      </c>
      <c r="R16" s="536">
        <v>-0.32</v>
      </c>
      <c r="S16" s="536">
        <v>-0.32</v>
      </c>
      <c r="T16" s="536">
        <v>0</v>
      </c>
      <c r="U16" s="536">
        <v>0.1</v>
      </c>
      <c r="V16" s="536">
        <v>0.1</v>
      </c>
      <c r="W16" s="536">
        <v>0.1</v>
      </c>
      <c r="X16" s="536">
        <v>0.1</v>
      </c>
      <c r="Y16" s="536">
        <v>0.1</v>
      </c>
      <c r="Z16" s="536">
        <v>0.1</v>
      </c>
      <c r="AA16" s="536">
        <v>0.1</v>
      </c>
      <c r="AB16" s="536">
        <v>0.1</v>
      </c>
      <c r="AC16" s="536">
        <v>0.1</v>
      </c>
      <c r="AD16" s="536">
        <v>0.1</v>
      </c>
      <c r="AE16" s="536">
        <v>0.1</v>
      </c>
      <c r="AF16" s="536">
        <v>0.1</v>
      </c>
      <c r="AG16" s="536">
        <v>0</v>
      </c>
    </row>
    <row r="17" spans="2:34" x14ac:dyDescent="0.25">
      <c r="H17" s="536"/>
      <c r="I17" s="536"/>
      <c r="J17" s="536"/>
      <c r="K17" s="536"/>
      <c r="L17" s="536"/>
      <c r="M17" s="536"/>
      <c r="N17" s="536"/>
      <c r="O17" s="536"/>
      <c r="P17" s="536"/>
      <c r="Q17" s="536"/>
      <c r="R17" s="536"/>
      <c r="S17" s="536"/>
      <c r="T17" s="536"/>
      <c r="U17" s="536"/>
      <c r="V17" s="536"/>
      <c r="W17" s="536"/>
      <c r="X17" s="536"/>
      <c r="Y17" s="536"/>
      <c r="Z17" s="536"/>
      <c r="AA17" s="536"/>
      <c r="AB17" s="536"/>
      <c r="AC17" s="536"/>
      <c r="AD17" s="536"/>
      <c r="AE17" s="536"/>
    </row>
    <row r="18" spans="2:34" ht="14.25" thickBot="1" x14ac:dyDescent="0.3">
      <c r="B18" s="800" t="s">
        <v>193</v>
      </c>
      <c r="C18" s="127"/>
      <c r="D18" s="800" t="s">
        <v>193</v>
      </c>
      <c r="G18" s="533"/>
      <c r="H18" s="534">
        <v>41640</v>
      </c>
      <c r="I18" s="534">
        <v>41671</v>
      </c>
      <c r="J18" s="534">
        <v>41699</v>
      </c>
      <c r="K18" s="534">
        <v>41730</v>
      </c>
      <c r="L18" s="534">
        <v>41760</v>
      </c>
      <c r="M18" s="534">
        <v>41791</v>
      </c>
      <c r="N18" s="534">
        <v>41821</v>
      </c>
      <c r="O18" s="534">
        <v>41852</v>
      </c>
      <c r="P18" s="534">
        <v>41883</v>
      </c>
      <c r="Q18" s="534">
        <v>41913</v>
      </c>
      <c r="R18" s="534">
        <v>41944</v>
      </c>
      <c r="S18" s="534">
        <v>41974</v>
      </c>
      <c r="T18" s="534">
        <v>42005</v>
      </c>
      <c r="U18" s="534">
        <v>42036</v>
      </c>
      <c r="V18" s="534">
        <v>42064</v>
      </c>
      <c r="W18" s="534">
        <v>42095</v>
      </c>
      <c r="X18" s="534">
        <v>42125</v>
      </c>
      <c r="Y18" s="534">
        <v>42156</v>
      </c>
      <c r="Z18" s="534">
        <v>42186</v>
      </c>
      <c r="AA18" s="534">
        <v>42217</v>
      </c>
      <c r="AB18" s="534">
        <v>42248</v>
      </c>
      <c r="AC18" s="534">
        <v>42278</v>
      </c>
      <c r="AD18" s="534">
        <v>42309</v>
      </c>
      <c r="AE18" s="534">
        <v>42339</v>
      </c>
    </row>
    <row r="19" spans="2:34" ht="27.75" thickBot="1" x14ac:dyDescent="0.3">
      <c r="B19" s="787" t="s">
        <v>674</v>
      </c>
      <c r="D19" s="787" t="s">
        <v>444</v>
      </c>
      <c r="G19" s="112" t="s">
        <v>271</v>
      </c>
      <c r="H19" s="536">
        <v>4.1374837738559576</v>
      </c>
      <c r="I19" s="536">
        <v>4.1896535020345533</v>
      </c>
      <c r="J19" s="536">
        <v>3.9724405904548852</v>
      </c>
      <c r="K19" s="536">
        <v>3.6286932304715394</v>
      </c>
      <c r="L19" s="536">
        <v>3.4257703089898719</v>
      </c>
      <c r="M19" s="536">
        <v>3.5163514490142109</v>
      </c>
      <c r="N19" s="536">
        <v>3.8195681081872852</v>
      </c>
      <c r="O19" s="536">
        <v>3.7617881745602579</v>
      </c>
      <c r="P19" s="536">
        <v>3.7310819175576606</v>
      </c>
      <c r="Q19" s="536">
        <v>3.722196878625641</v>
      </c>
      <c r="R19" s="536">
        <v>3.8176914975970955</v>
      </c>
      <c r="S19" s="536">
        <v>3.7832094227022361</v>
      </c>
      <c r="T19" s="536">
        <v>3.7181056414088212</v>
      </c>
      <c r="U19" s="536">
        <v>3.6666592143604291</v>
      </c>
      <c r="V19" s="536">
        <v>3.827721139980421</v>
      </c>
      <c r="W19" s="536">
        <v>3.7559667836825064</v>
      </c>
      <c r="X19" s="536">
        <v>3.5432496101820079</v>
      </c>
      <c r="Y19" s="536">
        <v>3.4612314545385638</v>
      </c>
      <c r="Z19" s="536">
        <v>3.1557665376450257</v>
      </c>
      <c r="AA19" s="536">
        <v>3.0077100795366891</v>
      </c>
      <c r="AB19" s="536">
        <v>2.675536258162027</v>
      </c>
      <c r="AC19" s="536">
        <v>2.6147217009466877</v>
      </c>
      <c r="AD19" s="536">
        <v>2.3965344977308134</v>
      </c>
      <c r="AE19" s="536">
        <v>2.4199166922680804</v>
      </c>
    </row>
    <row r="20" spans="2:34" x14ac:dyDescent="0.25">
      <c r="G20" s="112" t="s">
        <v>272</v>
      </c>
      <c r="H20" s="536">
        <v>0.50774765730922411</v>
      </c>
      <c r="I20" s="536">
        <v>0.47034787888825996</v>
      </c>
      <c r="J20" s="536">
        <v>0.43847879578485088</v>
      </c>
      <c r="K20" s="536">
        <v>0.42994195136343699</v>
      </c>
      <c r="L20" s="536">
        <v>0.48741508883953866</v>
      </c>
      <c r="M20" s="536">
        <v>0.34948693360608185</v>
      </c>
      <c r="N20" s="536">
        <v>0.29972838371067229</v>
      </c>
      <c r="O20" s="536">
        <v>0.23410109054999828</v>
      </c>
      <c r="P20" s="536">
        <v>0.1506245012682477</v>
      </c>
      <c r="Q20" s="536">
        <v>0.13782042258789226</v>
      </c>
      <c r="R20" s="536">
        <v>0.138462610910383</v>
      </c>
      <c r="S20" s="536">
        <v>0.11245035217296234</v>
      </c>
      <c r="T20" s="536">
        <v>0.1396172522136532</v>
      </c>
      <c r="U20" s="536">
        <v>0.16665043315459993</v>
      </c>
      <c r="V20" s="536">
        <v>0.19018099868185606</v>
      </c>
      <c r="W20" s="536">
        <v>0.17962381550124226</v>
      </c>
      <c r="X20" s="536">
        <v>0.16792886450639241</v>
      </c>
      <c r="Y20" s="536">
        <v>0.15403724709388616</v>
      </c>
      <c r="Z20" s="536">
        <v>0.15660051396553096</v>
      </c>
      <c r="AA20" s="536">
        <v>0.15977640277058189</v>
      </c>
      <c r="AB20" s="536">
        <v>0.16763052787881833</v>
      </c>
      <c r="AC20" s="536">
        <v>0.20601372850963792</v>
      </c>
      <c r="AD20" s="536">
        <v>0.24113648017249334</v>
      </c>
      <c r="AE20" s="536">
        <v>0.2019242197465031</v>
      </c>
    </row>
    <row r="21" spans="2:34" x14ac:dyDescent="0.25">
      <c r="G21" s="112" t="s">
        <v>453</v>
      </c>
      <c r="H21" s="536">
        <v>-1.0299516679456102</v>
      </c>
      <c r="I21" s="536">
        <v>-1.1537170756198456</v>
      </c>
      <c r="J21" s="536">
        <v>-1.2911385316952995</v>
      </c>
      <c r="K21" s="536">
        <v>-1.3911796611347849</v>
      </c>
      <c r="L21" s="536">
        <v>-1.5336974512049817</v>
      </c>
      <c r="M21" s="536">
        <v>-1.6955300108105185</v>
      </c>
      <c r="N21" s="536">
        <v>-1.8101566708792731</v>
      </c>
      <c r="O21" s="536">
        <v>-1.9343210842254828</v>
      </c>
      <c r="P21" s="536">
        <v>-2.0739078961803026</v>
      </c>
      <c r="Q21" s="536">
        <v>-2.1284524307666643</v>
      </c>
      <c r="R21" s="536">
        <v>-2.1897021748709453</v>
      </c>
      <c r="S21" s="536">
        <v>-2.1836104035209831</v>
      </c>
      <c r="T21" s="536">
        <v>-2.2354790626355392</v>
      </c>
      <c r="U21" s="536">
        <v>-2.2610372067196747</v>
      </c>
      <c r="V21" s="536">
        <v>-2.3454094625110908</v>
      </c>
      <c r="W21" s="536">
        <v>-2.4281844862991164</v>
      </c>
      <c r="X21" s="536">
        <v>-2.5022104448867815</v>
      </c>
      <c r="Y21" s="536">
        <v>-2.5698873158693827</v>
      </c>
      <c r="Z21" s="536">
        <v>-2.6649647897353512</v>
      </c>
      <c r="AA21" s="536">
        <v>-2.7420060111524402</v>
      </c>
      <c r="AB21" s="536">
        <v>-2.8046823355940194</v>
      </c>
      <c r="AC21" s="536">
        <v>-2.9239147399309928</v>
      </c>
      <c r="AD21" s="536">
        <v>-3.0665645958227539</v>
      </c>
      <c r="AE21" s="536">
        <v>-2.3421377717688174</v>
      </c>
    </row>
    <row r="22" spans="2:34" x14ac:dyDescent="0.25">
      <c r="G22" s="112" t="s">
        <v>454</v>
      </c>
      <c r="H22" s="536">
        <v>-1.7522863765398535</v>
      </c>
      <c r="I22" s="536">
        <v>-1.7583087892624762</v>
      </c>
      <c r="J22" s="536">
        <v>-1.7758763388265182</v>
      </c>
      <c r="K22" s="536">
        <v>-1.770124239415704</v>
      </c>
      <c r="L22" s="536">
        <v>-1.7696160618075798</v>
      </c>
      <c r="M22" s="536">
        <v>-1.7528408425275401</v>
      </c>
      <c r="N22" s="536">
        <v>-1.739612312701476</v>
      </c>
      <c r="O22" s="536">
        <v>-1.7162415585226729</v>
      </c>
      <c r="P22" s="536">
        <v>-1.6623325841956909</v>
      </c>
      <c r="Q22" s="536">
        <v>-1.6464588581448047</v>
      </c>
      <c r="R22" s="536">
        <v>-1.7029681335729283</v>
      </c>
      <c r="S22" s="536">
        <v>-1.5796622299412497</v>
      </c>
      <c r="T22" s="536">
        <v>-1.5621899765985028</v>
      </c>
      <c r="U22" s="536">
        <v>-1.5189985399683181</v>
      </c>
      <c r="V22" s="536">
        <v>-1.5134517817802682</v>
      </c>
      <c r="W22" s="536">
        <v>-1.5202109947612099</v>
      </c>
      <c r="X22" s="536">
        <v>-1.5111302424748192</v>
      </c>
      <c r="Y22" s="536">
        <v>-1.4786200873747946</v>
      </c>
      <c r="Z22" s="536">
        <v>-1.4640334450719055</v>
      </c>
      <c r="AA22" s="536">
        <v>-1.4671963751322652</v>
      </c>
      <c r="AB22" s="536">
        <v>-1.4634274481241449</v>
      </c>
      <c r="AC22" s="536">
        <v>-1.4633632824824421</v>
      </c>
      <c r="AD22" s="536">
        <v>-1.4130171414132531</v>
      </c>
      <c r="AE22" s="536">
        <v>-1.4286043108069089</v>
      </c>
    </row>
    <row r="23" spans="2:34" x14ac:dyDescent="0.25">
      <c r="G23" s="112" t="s">
        <v>273</v>
      </c>
      <c r="H23" s="536">
        <v>1.8629933866797104</v>
      </c>
      <c r="I23" s="536">
        <v>1.7479755160404835</v>
      </c>
      <c r="J23" s="536">
        <v>1.343904515717911</v>
      </c>
      <c r="K23" s="536">
        <v>0.89733128128447748</v>
      </c>
      <c r="L23" s="536">
        <v>0.60987188481683774</v>
      </c>
      <c r="M23" s="536">
        <v>0.41746752928222325</v>
      </c>
      <c r="N23" s="536">
        <v>0.56952750831721355</v>
      </c>
      <c r="O23" s="536">
        <v>0.34532662236208783</v>
      </c>
      <c r="P23" s="536">
        <v>0.14546593844991376</v>
      </c>
      <c r="Q23" s="536">
        <v>8.5106012302036321E-2</v>
      </c>
      <c r="R23" s="536">
        <v>6.3483800063590987E-2</v>
      </c>
      <c r="S23" s="536">
        <v>0.13238714141297392</v>
      </c>
      <c r="T23" s="536">
        <v>6.0053854388440298E-2</v>
      </c>
      <c r="U23" s="536">
        <v>5.3273900827046423E-2</v>
      </c>
      <c r="V23" s="536">
        <v>0.15904089437092661</v>
      </c>
      <c r="W23" s="536">
        <v>-1.2804881876570161E-2</v>
      </c>
      <c r="X23" s="536">
        <v>-0.30216221267318522</v>
      </c>
      <c r="Y23" s="536">
        <v>-0.43323870161170719</v>
      </c>
      <c r="Z23" s="536">
        <v>-0.81663118319669825</v>
      </c>
      <c r="AA23" s="536">
        <v>-1.0417159039774222</v>
      </c>
      <c r="AB23" s="536">
        <v>-1.4249429976773222</v>
      </c>
      <c r="AC23" s="536">
        <v>-1.5665425929570791</v>
      </c>
      <c r="AD23" s="536">
        <v>-1.8419107593326878</v>
      </c>
      <c r="AE23" s="536">
        <v>-1.1489011705611436</v>
      </c>
    </row>
    <row r="26" spans="2:34" ht="14.25" thickBot="1" x14ac:dyDescent="0.3">
      <c r="G26" s="533"/>
      <c r="H26" s="534">
        <v>42005</v>
      </c>
      <c r="I26" s="534">
        <v>42036</v>
      </c>
      <c r="J26" s="534">
        <v>42064</v>
      </c>
      <c r="K26" s="534">
        <v>42095</v>
      </c>
      <c r="L26" s="534">
        <v>42125</v>
      </c>
      <c r="M26" s="534">
        <v>42156</v>
      </c>
      <c r="N26" s="534">
        <v>42186</v>
      </c>
      <c r="O26" s="534">
        <v>42217</v>
      </c>
      <c r="P26" s="534">
        <v>42248</v>
      </c>
      <c r="Q26" s="534">
        <v>42278</v>
      </c>
      <c r="R26" s="534">
        <v>42309</v>
      </c>
      <c r="S26" s="534">
        <v>42339</v>
      </c>
      <c r="T26" s="534">
        <v>42370</v>
      </c>
      <c r="U26" s="534">
        <v>42401</v>
      </c>
      <c r="V26" s="534">
        <v>42430</v>
      </c>
      <c r="W26" s="534">
        <v>42461</v>
      </c>
      <c r="X26" s="534">
        <v>42491</v>
      </c>
      <c r="Y26" s="534">
        <v>42522</v>
      </c>
      <c r="Z26" s="534">
        <v>42552</v>
      </c>
      <c r="AA26" s="534">
        <v>42583</v>
      </c>
      <c r="AB26" s="534">
        <v>42614</v>
      </c>
      <c r="AC26" s="534">
        <v>42644</v>
      </c>
      <c r="AD26" s="534">
        <v>42675</v>
      </c>
      <c r="AE26" s="534">
        <v>42705</v>
      </c>
      <c r="AF26" s="534">
        <v>43101</v>
      </c>
      <c r="AG26" s="534">
        <v>43132</v>
      </c>
      <c r="AH26" s="534">
        <v>43160</v>
      </c>
    </row>
    <row r="27" spans="2:34" x14ac:dyDescent="0.25">
      <c r="G27" s="511" t="s">
        <v>274</v>
      </c>
      <c r="H27" s="536">
        <v>-0.63151676867012996</v>
      </c>
      <c r="I27" s="536">
        <v>-0.39929458008374152</v>
      </c>
      <c r="J27" s="536">
        <v>-0.54199506889858862</v>
      </c>
      <c r="K27" s="536">
        <v>-0.44339880102346768</v>
      </c>
      <c r="L27" s="536">
        <v>-0.79903280831607804</v>
      </c>
      <c r="M27" s="536">
        <v>-0.77678023711626198</v>
      </c>
      <c r="N27" s="536">
        <v>-0.90112589161331846</v>
      </c>
      <c r="O27" s="536">
        <v>-0.83304881127761399</v>
      </c>
      <c r="P27" s="536">
        <v>-0.48198795698920666</v>
      </c>
      <c r="Q27" s="536">
        <v>-0.31113109518627635</v>
      </c>
      <c r="R27" s="536">
        <v>-0.23000268203166879</v>
      </c>
      <c r="S27" s="536">
        <v>0.17003660985193375</v>
      </c>
      <c r="T27" s="536">
        <v>0.7243592054353688</v>
      </c>
      <c r="U27" s="536">
        <v>1.0720429216209946</v>
      </c>
      <c r="V27" s="536">
        <v>0.95882835027441571</v>
      </c>
      <c r="W27" s="536">
        <v>0.77620188824905834</v>
      </c>
      <c r="X27" s="536">
        <v>1.0716869187806881</v>
      </c>
      <c r="Y27" s="536">
        <v>0.95627969800095169</v>
      </c>
      <c r="Z27" s="536">
        <v>1.3947674998186921</v>
      </c>
      <c r="AA27" s="536">
        <v>1.5296967046313141</v>
      </c>
      <c r="AB27" s="536">
        <v>1.6355759447900062</v>
      </c>
      <c r="AC27" s="536">
        <v>1.730068686343323</v>
      </c>
      <c r="AD27" s="536">
        <v>1.9380538284174915</v>
      </c>
      <c r="AE27" s="536">
        <v>1.8614503079338405</v>
      </c>
      <c r="AF27" s="536">
        <v>2.4777108206280221</v>
      </c>
      <c r="AG27" s="536">
        <v>2.0772561602424</v>
      </c>
    </row>
    <row r="28" spans="2:34" x14ac:dyDescent="0.25">
      <c r="G28" s="511" t="s">
        <v>275</v>
      </c>
      <c r="H28" s="536">
        <v>-1.8921923246588479E-2</v>
      </c>
      <c r="I28" s="536">
        <v>0.13276580692705217</v>
      </c>
      <c r="J28" s="536">
        <v>2.3666323377969669E-2</v>
      </c>
      <c r="K28" s="536">
        <v>0.18898303840223252</v>
      </c>
      <c r="L28" s="536">
        <v>5.6574443141852893E-2</v>
      </c>
      <c r="M28" s="536">
        <v>6.5955191096779692E-2</v>
      </c>
      <c r="N28" s="536">
        <v>-1.4142574547588434E-2</v>
      </c>
      <c r="O28" s="536">
        <v>4.247440222972327E-2</v>
      </c>
      <c r="P28" s="536">
        <v>0.28862298698433481</v>
      </c>
      <c r="Q28" s="536">
        <v>0.41130991917707349</v>
      </c>
      <c r="R28" s="536">
        <v>0.34471686481726405</v>
      </c>
      <c r="S28" s="536">
        <v>0.55877185752134739</v>
      </c>
      <c r="T28" s="536">
        <v>0.79475293055152807</v>
      </c>
      <c r="U28" s="536">
        <v>0.90564868830290768</v>
      </c>
      <c r="V28" s="536">
        <v>0.93330399235373407</v>
      </c>
      <c r="W28" s="536">
        <v>0.74980343780115166</v>
      </c>
      <c r="X28" s="536">
        <v>0.83714254981204406</v>
      </c>
      <c r="Y28" s="536">
        <v>0.7077296638540127</v>
      </c>
      <c r="Z28" s="536">
        <v>0.86102342597311621</v>
      </c>
      <c r="AA28" s="536">
        <v>0.94411024380681019</v>
      </c>
      <c r="AB28" s="536">
        <v>0.93373592094421209</v>
      </c>
      <c r="AC28" s="536">
        <v>0.87157923158845207</v>
      </c>
      <c r="AD28" s="536">
        <v>1.0136362556044296</v>
      </c>
      <c r="AE28" s="536">
        <v>0.95352335623043594</v>
      </c>
      <c r="AF28" s="536">
        <v>0.98241592032927205</v>
      </c>
      <c r="AG28" s="536">
        <v>1.0681386973481</v>
      </c>
    </row>
    <row r="29" spans="2:34" x14ac:dyDescent="0.25">
      <c r="G29" s="511" t="s">
        <v>276</v>
      </c>
      <c r="H29" s="536">
        <v>-5.8764985995524585E-2</v>
      </c>
      <c r="I29" s="536">
        <v>1.8370532580499935E-2</v>
      </c>
      <c r="J29" s="536">
        <v>-2.026715917745495E-2</v>
      </c>
      <c r="K29" s="536">
        <v>-9.7024973512938609E-2</v>
      </c>
      <c r="L29" s="536">
        <v>-0.32110567646398863</v>
      </c>
      <c r="M29" s="536">
        <v>-0.30492624664078866</v>
      </c>
      <c r="N29" s="536">
        <v>-0.18501036700718967</v>
      </c>
      <c r="O29" s="536">
        <v>-0.1694866473370982</v>
      </c>
      <c r="P29" s="536">
        <v>-0.20121366478572283</v>
      </c>
      <c r="Q29" s="536">
        <v>-0.20116764504078435</v>
      </c>
      <c r="R29" s="536">
        <v>-5.5980688175340756E-2</v>
      </c>
      <c r="S29" s="536">
        <v>0.12915346534653641</v>
      </c>
      <c r="T29" s="536">
        <v>0.26803517452203279</v>
      </c>
      <c r="U29" s="536">
        <v>0.47020378054317608</v>
      </c>
      <c r="V29" s="536">
        <v>0.38309964607795199</v>
      </c>
      <c r="W29" s="536">
        <v>0.39953044236381496</v>
      </c>
      <c r="X29" s="536">
        <v>0.60844694154050394</v>
      </c>
      <c r="Y29" s="536">
        <v>0.62077633489305128</v>
      </c>
      <c r="Z29" s="536">
        <v>0.73270191121319739</v>
      </c>
      <c r="AA29" s="536">
        <v>0.78617736356261836</v>
      </c>
      <c r="AB29" s="536">
        <v>0.89559407977641048</v>
      </c>
      <c r="AC29" s="536">
        <v>1.0921889980670474</v>
      </c>
      <c r="AD29" s="536">
        <v>1.1688788321207841</v>
      </c>
      <c r="AE29" s="536">
        <v>1.1523599811095255</v>
      </c>
      <c r="AF29" s="536">
        <v>1.2227173132894997</v>
      </c>
      <c r="AG29" s="536">
        <v>0.8263882531197998</v>
      </c>
    </row>
    <row r="30" spans="2:34" x14ac:dyDescent="0.25">
      <c r="G30" s="511" t="s">
        <v>277</v>
      </c>
      <c r="H30" s="536">
        <v>-0.23382985942801682</v>
      </c>
      <c r="I30" s="536">
        <v>-0.23043091959129361</v>
      </c>
      <c r="J30" s="536">
        <v>-0.22539423309910328</v>
      </c>
      <c r="K30" s="536">
        <v>-0.2153568659127616</v>
      </c>
      <c r="L30" s="536">
        <v>-0.21450157499394235</v>
      </c>
      <c r="M30" s="536">
        <v>-0.21780918157225304</v>
      </c>
      <c r="N30" s="536">
        <v>-0.38197295005854043</v>
      </c>
      <c r="O30" s="536">
        <v>-0.38603656617023901</v>
      </c>
      <c r="P30" s="536">
        <v>-0.24939727918781862</v>
      </c>
      <c r="Q30" s="536">
        <v>-0.20127336932256551</v>
      </c>
      <c r="R30" s="536">
        <v>-0.19873885867359209</v>
      </c>
      <c r="S30" s="536">
        <v>-0.19788871301594999</v>
      </c>
      <c r="T30" s="536">
        <v>-0.338428899638192</v>
      </c>
      <c r="U30" s="536">
        <v>-0.40380954722508922</v>
      </c>
      <c r="V30" s="536">
        <v>-0.45757528815727022</v>
      </c>
      <c r="W30" s="536">
        <v>-0.47313199191590832</v>
      </c>
      <c r="X30" s="536">
        <v>-0.47390257257185991</v>
      </c>
      <c r="Y30" s="536">
        <v>-0.47222630074611233</v>
      </c>
      <c r="Z30" s="536">
        <v>-0.29895783736762155</v>
      </c>
      <c r="AA30" s="536">
        <v>-0.30059090273811456</v>
      </c>
      <c r="AB30" s="536">
        <v>-0.29375405593061643</v>
      </c>
      <c r="AC30" s="536">
        <v>-0.33369954331217649</v>
      </c>
      <c r="AD30" s="536">
        <v>-0.3444612593077222</v>
      </c>
      <c r="AE30" s="536">
        <v>-0.34443302940612125</v>
      </c>
      <c r="AF30" s="536">
        <v>0.17257758700924999</v>
      </c>
      <c r="AG30" s="536">
        <v>0.1827292097745</v>
      </c>
    </row>
    <row r="31" spans="2:34" x14ac:dyDescent="0.25">
      <c r="G31" s="511" t="s">
        <v>469</v>
      </c>
      <c r="H31" s="536">
        <v>-0.32</v>
      </c>
      <c r="I31" s="536">
        <v>-0.32</v>
      </c>
      <c r="J31" s="536">
        <v>-0.32</v>
      </c>
      <c r="K31" s="536">
        <v>-0.32</v>
      </c>
      <c r="L31" s="536">
        <v>-0.32</v>
      </c>
      <c r="M31" s="536">
        <v>-0.32</v>
      </c>
      <c r="N31" s="536">
        <v>-0.32</v>
      </c>
      <c r="O31" s="536">
        <v>-0.32</v>
      </c>
      <c r="P31" s="536">
        <v>-0.32</v>
      </c>
      <c r="Q31" s="536">
        <v>-0.32</v>
      </c>
      <c r="R31" s="536">
        <v>-0.32</v>
      </c>
      <c r="S31" s="536">
        <v>-0.32</v>
      </c>
      <c r="T31" s="536">
        <v>0</v>
      </c>
      <c r="U31" s="536">
        <v>0.1</v>
      </c>
      <c r="V31" s="536">
        <v>0.1</v>
      </c>
      <c r="W31" s="536">
        <v>0.1</v>
      </c>
      <c r="X31" s="536">
        <v>0.1</v>
      </c>
      <c r="Y31" s="536">
        <v>0.1</v>
      </c>
      <c r="Z31" s="536">
        <v>0.1</v>
      </c>
      <c r="AA31" s="536">
        <v>0.1</v>
      </c>
      <c r="AB31" s="536">
        <v>0.1</v>
      </c>
      <c r="AC31" s="536">
        <v>0.1</v>
      </c>
      <c r="AD31" s="536">
        <v>0.1</v>
      </c>
      <c r="AE31" s="536">
        <v>0.1</v>
      </c>
      <c r="AF31" s="536">
        <v>0.1</v>
      </c>
      <c r="AG31" s="536">
        <v>0</v>
      </c>
    </row>
    <row r="32" spans="2:34" x14ac:dyDescent="0.25">
      <c r="D32" s="800" t="s">
        <v>405</v>
      </c>
      <c r="E32" s="127"/>
    </row>
    <row r="33" spans="2:25" x14ac:dyDescent="0.25">
      <c r="B33" s="943" t="s">
        <v>405</v>
      </c>
      <c r="C33" s="943"/>
      <c r="D33" s="943" t="s">
        <v>405</v>
      </c>
      <c r="E33" s="943"/>
      <c r="G33" s="511" t="s">
        <v>466</v>
      </c>
    </row>
    <row r="34" spans="2:25" x14ac:dyDescent="0.25">
      <c r="H34" s="511" t="s">
        <v>455</v>
      </c>
      <c r="I34" s="511" t="s">
        <v>456</v>
      </c>
      <c r="J34" s="511" t="s">
        <v>457</v>
      </c>
      <c r="K34" s="511" t="s">
        <v>458</v>
      </c>
      <c r="L34" s="511" t="s">
        <v>459</v>
      </c>
      <c r="M34" s="511" t="s">
        <v>460</v>
      </c>
      <c r="N34" s="511" t="s">
        <v>461</v>
      </c>
      <c r="O34" s="511" t="s">
        <v>462</v>
      </c>
      <c r="P34" s="511" t="s">
        <v>463</v>
      </c>
      <c r="Q34" s="511" t="s">
        <v>464</v>
      </c>
      <c r="R34" s="511" t="s">
        <v>465</v>
      </c>
    </row>
    <row r="35" spans="2:25" x14ac:dyDescent="0.25">
      <c r="G35" s="511" t="s">
        <v>163</v>
      </c>
      <c r="H35" s="537">
        <v>2.8437960544144183E-2</v>
      </c>
      <c r="I35" s="537">
        <v>1.7141142025959719E-2</v>
      </c>
      <c r="J35" s="537">
        <v>9.6396912784290911E-3</v>
      </c>
      <c r="K35" s="537">
        <v>-5.7383380697291573E-3</v>
      </c>
      <c r="L35" s="537">
        <v>3.3843796511753482E-2</v>
      </c>
      <c r="M35" s="537">
        <v>-4.4894497628523719E-3</v>
      </c>
      <c r="N35" s="537">
        <v>-2.4182912397330947E-2</v>
      </c>
      <c r="O35" s="537">
        <v>7.3181225405390639E-3</v>
      </c>
      <c r="P35" s="537">
        <v>-5.4395594168102591E-3</v>
      </c>
      <c r="Q35" s="537">
        <v>6.93894718992389E-3</v>
      </c>
      <c r="R35" s="537">
        <v>-1.0837098602323595E-2</v>
      </c>
    </row>
    <row r="36" spans="2:25" x14ac:dyDescent="0.25">
      <c r="G36" s="511" t="s">
        <v>450</v>
      </c>
      <c r="H36" s="537">
        <v>4.9050687643976867E-2</v>
      </c>
      <c r="I36" s="537">
        <v>4.6140936916302902E-2</v>
      </c>
      <c r="J36" s="537">
        <v>3.6911468145674496E-2</v>
      </c>
      <c r="K36" s="537">
        <v>1.984826179520285E-2</v>
      </c>
      <c r="L36" s="537">
        <v>5.3983563472318002E-2</v>
      </c>
      <c r="M36" s="537">
        <v>3.2395566017122263E-2</v>
      </c>
      <c r="N36" s="537">
        <v>1.006348944675942E-2</v>
      </c>
      <c r="O36" s="537">
        <v>1.4768660595401504E-2</v>
      </c>
      <c r="P36" s="537">
        <v>3.4416073631355619E-2</v>
      </c>
      <c r="Q36" s="537">
        <v>4.1801294903675082E-2</v>
      </c>
      <c r="R36" s="537">
        <v>2.2738396417938705E-2</v>
      </c>
    </row>
    <row r="37" spans="2:25" x14ac:dyDescent="0.25">
      <c r="G37" s="511" t="s">
        <v>165</v>
      </c>
      <c r="H37" s="537">
        <v>1.3219093548197472E-3</v>
      </c>
      <c r="I37" s="537">
        <v>3.1835268089330663E-3</v>
      </c>
      <c r="J37" s="537">
        <v>3.3204522999231135E-3</v>
      </c>
      <c r="K37" s="537">
        <v>-2.1331867652968051E-3</v>
      </c>
      <c r="L37" s="537">
        <v>3.907732571099486E-3</v>
      </c>
      <c r="M37" s="537">
        <v>1.8143216451177808E-3</v>
      </c>
      <c r="N37" s="537">
        <v>3.4471208208045759E-3</v>
      </c>
      <c r="O37" s="537">
        <v>-4.0562391678321662E-3</v>
      </c>
      <c r="P37" s="537">
        <v>4.3851016242496413E-3</v>
      </c>
      <c r="Q37" s="537">
        <v>5.3449725705472587E-3</v>
      </c>
      <c r="R37" s="537">
        <v>6.1874158374945051E-3</v>
      </c>
    </row>
    <row r="38" spans="2:25" x14ac:dyDescent="0.25">
      <c r="G38" s="511" t="s">
        <v>451</v>
      </c>
      <c r="H38" s="537">
        <v>-3.5763708575585521E-3</v>
      </c>
      <c r="I38" s="537">
        <v>-1.5185753270580615E-2</v>
      </c>
      <c r="J38" s="537">
        <v>-1.5860027900013989E-2</v>
      </c>
      <c r="K38" s="537">
        <v>-1.0347755181488861E-2</v>
      </c>
      <c r="L38" s="537">
        <v>-8.5907512439387431E-3</v>
      </c>
      <c r="M38" s="537">
        <v>-2.3174753429924155E-2</v>
      </c>
      <c r="N38" s="537">
        <v>-2.3557985920511556E-2</v>
      </c>
      <c r="O38" s="537">
        <v>8.3859464765787973E-3</v>
      </c>
      <c r="P38" s="537">
        <v>-2.7428209265678495E-2</v>
      </c>
      <c r="Q38" s="537">
        <v>-2.69801418923225E-2</v>
      </c>
      <c r="R38" s="537">
        <v>-2.5320730857060596E-2</v>
      </c>
    </row>
    <row r="39" spans="2:25" x14ac:dyDescent="0.25">
      <c r="G39" s="511" t="s">
        <v>452</v>
      </c>
      <c r="H39" s="537">
        <v>-1.8358265597094012E-2</v>
      </c>
      <c r="I39" s="537">
        <v>-1.699756842869574E-2</v>
      </c>
      <c r="J39" s="537">
        <v>-1.4732201267154202E-2</v>
      </c>
      <c r="K39" s="537">
        <v>-1.3105657918146716E-2</v>
      </c>
      <c r="L39" s="537">
        <v>-1.545674828772549E-2</v>
      </c>
      <c r="M39" s="537">
        <v>-1.5524583995167906E-2</v>
      </c>
      <c r="N39" s="537">
        <v>-1.4135536744383125E-2</v>
      </c>
      <c r="O39" s="537">
        <v>-1.1780245363608981E-2</v>
      </c>
      <c r="P39" s="537">
        <v>-1.6812525406737229E-2</v>
      </c>
      <c r="Q39" s="537">
        <v>-1.3227178391975934E-2</v>
      </c>
      <c r="R39" s="537">
        <v>-1.4442180000696275E-2</v>
      </c>
    </row>
    <row r="42" spans="2:25" x14ac:dyDescent="0.25">
      <c r="G42" s="511" t="s">
        <v>467</v>
      </c>
      <c r="H42" s="511">
        <v>2004</v>
      </c>
      <c r="I42" s="511">
        <v>2005</v>
      </c>
      <c r="J42" s="511">
        <v>2006</v>
      </c>
      <c r="K42" s="511">
        <v>2007</v>
      </c>
      <c r="L42" s="511">
        <v>2008</v>
      </c>
      <c r="M42" s="511">
        <v>2009</v>
      </c>
      <c r="N42" s="511">
        <v>2010</v>
      </c>
      <c r="O42" s="511">
        <v>2011</v>
      </c>
      <c r="P42" s="511">
        <v>2012</v>
      </c>
      <c r="Q42" s="511">
        <v>2013</v>
      </c>
      <c r="R42" s="511">
        <v>2014</v>
      </c>
      <c r="S42" s="511">
        <v>2015</v>
      </c>
      <c r="T42" s="511">
        <v>2016</v>
      </c>
      <c r="U42" s="511">
        <v>2017</v>
      </c>
      <c r="V42" s="511" t="s">
        <v>178</v>
      </c>
      <c r="W42" s="511" t="s">
        <v>179</v>
      </c>
      <c r="X42" s="511" t="s">
        <v>470</v>
      </c>
      <c r="Y42" s="511" t="s">
        <v>1012</v>
      </c>
    </row>
    <row r="43" spans="2:25" x14ac:dyDescent="0.25">
      <c r="G43" s="511" t="s">
        <v>163</v>
      </c>
      <c r="H43" s="536">
        <v>-10.132255017165502</v>
      </c>
      <c r="I43" s="536">
        <v>-10.620351531348463</v>
      </c>
      <c r="J43" s="536">
        <v>-9.4582912824692809</v>
      </c>
      <c r="K43" s="536">
        <v>-5.8667689116681716</v>
      </c>
      <c r="L43" s="536">
        <v>-6.4465229010381595</v>
      </c>
      <c r="M43" s="536">
        <v>-3.4474069037363173</v>
      </c>
      <c r="N43" s="536">
        <v>-4.7108840562111984</v>
      </c>
      <c r="O43" s="536">
        <v>-4.9513366539597747</v>
      </c>
      <c r="P43" s="536">
        <v>0.94038022983709502</v>
      </c>
      <c r="Q43" s="536">
        <v>1.8592766879431979</v>
      </c>
      <c r="R43" s="536">
        <v>1.1439005897002272</v>
      </c>
      <c r="S43" s="536">
        <v>-1.7332138670811934</v>
      </c>
      <c r="T43" s="536">
        <v>-1.4572756164098981</v>
      </c>
      <c r="U43" s="536">
        <v>-1.7792403810772046</v>
      </c>
      <c r="V43" s="536">
        <v>-1.5107999583195413</v>
      </c>
      <c r="W43" s="536">
        <v>-0.62660691976393801</v>
      </c>
      <c r="X43" s="536">
        <v>-2.6829711369413832E-2</v>
      </c>
      <c r="Y43" s="536">
        <v>0.6102419538826005</v>
      </c>
    </row>
    <row r="44" spans="2:25" x14ac:dyDescent="0.25">
      <c r="G44" s="511" t="s">
        <v>450</v>
      </c>
      <c r="H44" s="536">
        <v>-6.0856892698324918</v>
      </c>
      <c r="I44" s="536">
        <v>-7.1463097645733136</v>
      </c>
      <c r="J44" s="536">
        <v>-6.2382607623707402</v>
      </c>
      <c r="K44" s="536">
        <v>-1.8318106444366704</v>
      </c>
      <c r="L44" s="536">
        <v>-1.8438084036521623</v>
      </c>
      <c r="M44" s="536">
        <v>0.36219349132219381</v>
      </c>
      <c r="N44" s="536">
        <v>-0.11822475052807667</v>
      </c>
      <c r="O44" s="536">
        <v>-5.0875067407307628E-2</v>
      </c>
      <c r="P44" s="536">
        <v>3.4465754503583175</v>
      </c>
      <c r="Q44" s="536">
        <v>3.9201499098714336</v>
      </c>
      <c r="R44" s="536">
        <v>3.6243494065268003</v>
      </c>
      <c r="S44" s="536">
        <v>1.3297315393546985</v>
      </c>
      <c r="T44" s="536">
        <v>2.0173660015580932</v>
      </c>
      <c r="U44" s="536">
        <v>0.98274196521201418</v>
      </c>
      <c r="V44" s="536">
        <v>1.5921143269541873</v>
      </c>
      <c r="W44" s="536">
        <v>2.8772081535234055</v>
      </c>
      <c r="X44" s="536">
        <v>3.7833113276368251</v>
      </c>
      <c r="Y44" s="536">
        <v>4.3537221547012743</v>
      </c>
    </row>
    <row r="45" spans="2:25" x14ac:dyDescent="0.25">
      <c r="G45" s="511" t="s">
        <v>165</v>
      </c>
      <c r="H45" s="536">
        <v>2.0967258818921222</v>
      </c>
      <c r="I45" s="536">
        <v>1.6518852585251258</v>
      </c>
      <c r="J45" s="536">
        <v>2.1649660240717021</v>
      </c>
      <c r="K45" s="536">
        <v>1.1140109350744833</v>
      </c>
      <c r="L45" s="536">
        <v>-0.51124465991339696</v>
      </c>
      <c r="M45" s="536">
        <v>-1.4104155028592837</v>
      </c>
      <c r="N45" s="536">
        <v>-0.96383356661557085</v>
      </c>
      <c r="O45" s="536">
        <v>-0.38170244448584251</v>
      </c>
      <c r="P45" s="536">
        <v>0.57961027556257627</v>
      </c>
      <c r="Q45" s="536">
        <v>0.65237127830166075</v>
      </c>
      <c r="R45" s="536">
        <v>0.23100947249236189</v>
      </c>
      <c r="S45" s="536">
        <v>0.22878781403388285</v>
      </c>
      <c r="T45" s="536">
        <v>0.56124367003628617</v>
      </c>
      <c r="U45" s="536">
        <v>0.97369904159303522</v>
      </c>
      <c r="V45" s="536">
        <v>0.79708571472627154</v>
      </c>
      <c r="W45" s="536">
        <v>0.69618492671265597</v>
      </c>
      <c r="X45" s="536">
        <v>0.68985896099376054</v>
      </c>
      <c r="Y45" s="536">
        <v>0.7565197991813265</v>
      </c>
    </row>
    <row r="46" spans="2:25" x14ac:dyDescent="0.25">
      <c r="G46" s="511" t="s">
        <v>451</v>
      </c>
      <c r="H46" s="536">
        <v>-5.8984816018064095</v>
      </c>
      <c r="I46" s="536">
        <v>-4.6049478283808121</v>
      </c>
      <c r="J46" s="536">
        <v>-4.698436903304545</v>
      </c>
      <c r="K46" s="536">
        <v>-4.2659334212341848</v>
      </c>
      <c r="L46" s="536">
        <v>-2.9464633062464416</v>
      </c>
      <c r="M46" s="536">
        <v>-0.87642708695237193</v>
      </c>
      <c r="N46" s="536">
        <v>-2.7911182536768968</v>
      </c>
      <c r="O46" s="536">
        <v>-3.4059278403946527</v>
      </c>
      <c r="P46" s="536">
        <v>-1.664023344777622</v>
      </c>
      <c r="Q46" s="536">
        <v>-0.67065680804646455</v>
      </c>
      <c r="R46" s="536">
        <v>-0.98608546766945815</v>
      </c>
      <c r="S46" s="536">
        <v>-1.7316610737444782</v>
      </c>
      <c r="T46" s="536">
        <v>-2.3490299592086394</v>
      </c>
      <c r="U46" s="536">
        <v>-2.2390677189974442</v>
      </c>
      <c r="V46" s="536">
        <v>-2.4</v>
      </c>
      <c r="W46" s="536">
        <v>-2.7</v>
      </c>
      <c r="X46" s="536">
        <v>-3</v>
      </c>
      <c r="Y46" s="536">
        <v>-3</v>
      </c>
    </row>
    <row r="47" spans="2:25" x14ac:dyDescent="0.25">
      <c r="G47" s="511" t="s">
        <v>452</v>
      </c>
      <c r="H47" s="536">
        <v>-0.24192990944909101</v>
      </c>
      <c r="I47" s="536">
        <v>-0.51589647304707775</v>
      </c>
      <c r="J47" s="536">
        <v>-0.68875312214641793</v>
      </c>
      <c r="K47" s="536">
        <v>-0.88303578107179936</v>
      </c>
      <c r="L47" s="536">
        <v>-1.1434939730607341</v>
      </c>
      <c r="M47" s="536">
        <v>-1.5227578052468547</v>
      </c>
      <c r="N47" s="536">
        <v>-0.83770748539065409</v>
      </c>
      <c r="O47" s="536">
        <v>-1.1128313016719724</v>
      </c>
      <c r="P47" s="536">
        <v>-1.4217821513061768</v>
      </c>
      <c r="Q47" s="536">
        <v>-2.0425876921834321</v>
      </c>
      <c r="R47" s="536">
        <v>-1.725372821649477</v>
      </c>
      <c r="S47" s="536">
        <v>-1.5600721467252969</v>
      </c>
      <c r="T47" s="536">
        <v>-1.6868553287956376</v>
      </c>
      <c r="U47" s="536">
        <v>-1.4966136688848097</v>
      </c>
      <c r="V47" s="536">
        <v>-1.5</v>
      </c>
      <c r="W47" s="536">
        <v>-1.5</v>
      </c>
      <c r="X47" s="536">
        <v>-1.5</v>
      </c>
      <c r="Y47" s="536">
        <v>-1.5</v>
      </c>
    </row>
    <row r="52" spans="2:11" x14ac:dyDescent="0.25">
      <c r="G52" s="511" t="s">
        <v>163</v>
      </c>
      <c r="H52" s="511" t="s">
        <v>450</v>
      </c>
      <c r="I52" s="511" t="s">
        <v>165</v>
      </c>
      <c r="J52" s="511" t="s">
        <v>451</v>
      </c>
      <c r="K52" s="511" t="s">
        <v>452</v>
      </c>
    </row>
    <row r="53" spans="2:11" x14ac:dyDescent="0.25">
      <c r="G53" s="511" t="s">
        <v>477</v>
      </c>
      <c r="H53" s="511" t="s">
        <v>271</v>
      </c>
      <c r="I53" s="511" t="s">
        <v>272</v>
      </c>
      <c r="J53" s="511" t="s">
        <v>453</v>
      </c>
      <c r="K53" s="511" t="s">
        <v>454</v>
      </c>
    </row>
    <row r="54" spans="2:11" x14ac:dyDescent="0.25">
      <c r="F54" s="34">
        <v>2004</v>
      </c>
      <c r="G54" s="537">
        <v>-0.10132255017165502</v>
      </c>
      <c r="H54" s="537">
        <v>-6.0856892698324921E-2</v>
      </c>
      <c r="I54" s="537">
        <v>2.0967258818921222E-2</v>
      </c>
      <c r="J54" s="537">
        <v>-5.8984816018064094E-2</v>
      </c>
      <c r="K54" s="537">
        <v>-2.4192990944909101E-3</v>
      </c>
    </row>
    <row r="55" spans="2:11" x14ac:dyDescent="0.25">
      <c r="F55" s="34">
        <v>2005</v>
      </c>
      <c r="G55" s="537">
        <v>-0.10620351531348463</v>
      </c>
      <c r="H55" s="537">
        <v>-7.1463097645733137E-2</v>
      </c>
      <c r="I55" s="537">
        <v>1.6518852585251258E-2</v>
      </c>
      <c r="J55" s="537">
        <v>-4.6049478283808121E-2</v>
      </c>
      <c r="K55" s="537">
        <v>-5.1589647304707779E-3</v>
      </c>
    </row>
    <row r="56" spans="2:11" x14ac:dyDescent="0.25">
      <c r="F56" s="34">
        <v>2006</v>
      </c>
      <c r="G56" s="537">
        <v>-9.4582912824692805E-2</v>
      </c>
      <c r="H56" s="537">
        <v>-6.2382607623707405E-2</v>
      </c>
      <c r="I56" s="537">
        <v>2.164966024071702E-2</v>
      </c>
      <c r="J56" s="537">
        <v>-4.6984369033045446E-2</v>
      </c>
      <c r="K56" s="537">
        <v>-6.8875312214641791E-3</v>
      </c>
    </row>
    <row r="57" spans="2:11" x14ac:dyDescent="0.25">
      <c r="B57" s="800"/>
      <c r="F57" s="34">
        <v>2007</v>
      </c>
      <c r="G57" s="537">
        <v>-5.8667689116681715E-2</v>
      </c>
      <c r="H57" s="537">
        <v>-1.8318106444366704E-2</v>
      </c>
      <c r="I57" s="537">
        <v>1.1140109350744833E-2</v>
      </c>
      <c r="J57" s="537">
        <v>-4.2659334212341853E-2</v>
      </c>
      <c r="K57" s="537">
        <v>-8.8303578107179932E-3</v>
      </c>
    </row>
    <row r="58" spans="2:11" x14ac:dyDescent="0.25">
      <c r="F58" s="34">
        <v>2008</v>
      </c>
      <c r="G58" s="537">
        <v>-6.4465229010381597E-2</v>
      </c>
      <c r="H58" s="537">
        <v>-1.8438084036521623E-2</v>
      </c>
      <c r="I58" s="537">
        <v>-5.1124465991339695E-3</v>
      </c>
      <c r="J58" s="537">
        <v>-2.9464633062464416E-2</v>
      </c>
      <c r="K58" s="537">
        <v>-1.143493973060734E-2</v>
      </c>
    </row>
    <row r="59" spans="2:11" x14ac:dyDescent="0.25">
      <c r="F59" s="34">
        <v>2009</v>
      </c>
      <c r="G59" s="537">
        <v>-3.4474069037363171E-2</v>
      </c>
      <c r="H59" s="537">
        <v>3.621934913221938E-3</v>
      </c>
      <c r="I59" s="537">
        <v>-1.4104155028592838E-2</v>
      </c>
      <c r="J59" s="537">
        <v>-8.7642708695237197E-3</v>
      </c>
      <c r="K59" s="537">
        <v>-1.5227578052468547E-2</v>
      </c>
    </row>
    <row r="60" spans="2:11" x14ac:dyDescent="0.25">
      <c r="F60" s="34">
        <v>2010</v>
      </c>
      <c r="G60" s="537">
        <v>-4.7108840562111988E-2</v>
      </c>
      <c r="H60" s="537">
        <v>-1.1822475052807666E-3</v>
      </c>
      <c r="I60" s="537">
        <v>-9.6383356661557083E-3</v>
      </c>
      <c r="J60" s="537">
        <v>-2.7911182536768969E-2</v>
      </c>
      <c r="K60" s="537">
        <v>-8.3770748539065409E-3</v>
      </c>
    </row>
    <row r="61" spans="2:11" x14ac:dyDescent="0.25">
      <c r="F61" s="34">
        <v>2011</v>
      </c>
      <c r="G61" s="537">
        <v>-4.9513366539597752E-2</v>
      </c>
      <c r="H61" s="537">
        <v>-5.0875067407307631E-4</v>
      </c>
      <c r="I61" s="537">
        <v>-3.8170244448584253E-3</v>
      </c>
      <c r="J61" s="537">
        <v>-3.4059278403946527E-2</v>
      </c>
      <c r="K61" s="537">
        <v>-1.1128313016719724E-2</v>
      </c>
    </row>
    <row r="62" spans="2:11" x14ac:dyDescent="0.25">
      <c r="F62" s="34">
        <v>2012</v>
      </c>
      <c r="G62" s="537">
        <v>9.4038022983709505E-3</v>
      </c>
      <c r="H62" s="537">
        <v>3.4465754503583176E-2</v>
      </c>
      <c r="I62" s="537">
        <v>5.7961027556257625E-3</v>
      </c>
      <c r="J62" s="537">
        <v>-1.664023344777622E-2</v>
      </c>
      <c r="K62" s="537">
        <v>-1.4217821513061769E-2</v>
      </c>
    </row>
    <row r="63" spans="2:11" x14ac:dyDescent="0.25">
      <c r="F63" s="34">
        <v>2013</v>
      </c>
      <c r="G63" s="537">
        <v>1.8592766879431979E-2</v>
      </c>
      <c r="H63" s="537">
        <v>3.9201499098714336E-2</v>
      </c>
      <c r="I63" s="537">
        <v>6.5237127830166074E-3</v>
      </c>
      <c r="J63" s="537">
        <v>-6.7065680804646458E-3</v>
      </c>
      <c r="K63" s="537">
        <v>-2.042587692183432E-2</v>
      </c>
    </row>
    <row r="64" spans="2:11" x14ac:dyDescent="0.25">
      <c r="F64" s="34">
        <v>2014</v>
      </c>
      <c r="G64" s="537">
        <v>1.1439005897002271E-2</v>
      </c>
      <c r="H64" s="537">
        <v>3.6243494065268E-2</v>
      </c>
      <c r="I64" s="537">
        <v>2.3100947249236189E-3</v>
      </c>
      <c r="J64" s="537">
        <v>-9.8608546766945811E-3</v>
      </c>
      <c r="K64" s="537">
        <v>-1.7253728216494769E-2</v>
      </c>
    </row>
    <row r="65" spans="6:11" x14ac:dyDescent="0.25">
      <c r="F65" s="34">
        <v>2015</v>
      </c>
      <c r="G65" s="537">
        <v>-1.7332138670811934E-2</v>
      </c>
      <c r="H65" s="537">
        <v>1.3297315393546984E-2</v>
      </c>
      <c r="I65" s="537">
        <v>2.2878781403388284E-3</v>
      </c>
      <c r="J65" s="537">
        <v>-1.7316610737444782E-2</v>
      </c>
      <c r="K65" s="537">
        <v>-1.5600721467252969E-2</v>
      </c>
    </row>
    <row r="66" spans="6:11" x14ac:dyDescent="0.25">
      <c r="F66" s="34">
        <v>2016</v>
      </c>
      <c r="G66" s="537">
        <v>-1.457275616409898E-2</v>
      </c>
      <c r="H66" s="537">
        <v>2.0173660015580932E-2</v>
      </c>
      <c r="I66" s="537">
        <v>5.6124367003628616E-3</v>
      </c>
      <c r="J66" s="537">
        <v>-2.3490299592086396E-2</v>
      </c>
      <c r="K66" s="537">
        <v>-1.6868553287956375E-2</v>
      </c>
    </row>
    <row r="67" spans="6:11" x14ac:dyDescent="0.25">
      <c r="F67" s="34">
        <v>2017</v>
      </c>
      <c r="G67" s="511">
        <v>-1.7792403810772045E-2</v>
      </c>
      <c r="H67" s="511">
        <v>9.8274196521201413E-3</v>
      </c>
      <c r="I67" s="511">
        <v>9.7369904159303518E-3</v>
      </c>
      <c r="J67" s="511">
        <v>-2.239067718997444E-2</v>
      </c>
      <c r="K67" s="511">
        <v>-1.4966136688848098E-2</v>
      </c>
    </row>
  </sheetData>
  <mergeCells count="2">
    <mergeCell ref="B33:C33"/>
    <mergeCell ref="D33:E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2"/>
  <dimension ref="A3:I40"/>
  <sheetViews>
    <sheetView showGridLines="0" topLeftCell="A16" zoomScale="90" zoomScaleNormal="90" workbookViewId="0">
      <selection activeCell="A22" sqref="A22:I22"/>
    </sheetView>
  </sheetViews>
  <sheetFormatPr defaultColWidth="9.140625" defaultRowHeight="13.5" x14ac:dyDescent="0.25"/>
  <cols>
    <col min="1" max="1" width="9.140625" style="34"/>
    <col min="2" max="2" width="29.140625" style="34" customWidth="1"/>
    <col min="3" max="16384" width="9.140625" style="34"/>
  </cols>
  <sheetData>
    <row r="3" spans="1:9" s="105" customFormat="1" ht="14.25" thickBot="1" x14ac:dyDescent="0.3">
      <c r="A3" s="946" t="s">
        <v>1426</v>
      </c>
      <c r="B3" s="946"/>
      <c r="C3" s="946"/>
      <c r="D3" s="946"/>
      <c r="E3" s="946"/>
      <c r="F3" s="946"/>
      <c r="G3" s="946"/>
      <c r="H3" s="946"/>
      <c r="I3" s="946"/>
    </row>
    <row r="4" spans="1:9" ht="14.25" thickBot="1" x14ac:dyDescent="0.3">
      <c r="A4" s="152" t="s">
        <v>20</v>
      </c>
      <c r="B4" s="152" t="s">
        <v>21</v>
      </c>
      <c r="C4" s="152"/>
      <c r="D4" s="947" t="s">
        <v>22</v>
      </c>
      <c r="E4" s="947"/>
      <c r="F4" s="947" t="s">
        <v>23</v>
      </c>
      <c r="G4" s="947"/>
      <c r="H4" s="947"/>
      <c r="I4" s="947"/>
    </row>
    <row r="5" spans="1:9" ht="14.25" thickBot="1" x14ac:dyDescent="0.3">
      <c r="A5" s="152"/>
      <c r="B5" s="152"/>
      <c r="C5" s="152" t="s">
        <v>24</v>
      </c>
      <c r="D5" s="152">
        <v>2016</v>
      </c>
      <c r="E5" s="152">
        <v>2017</v>
      </c>
      <c r="F5" s="152">
        <v>2018</v>
      </c>
      <c r="G5" s="152">
        <v>2019</v>
      </c>
      <c r="H5" s="152">
        <v>2020</v>
      </c>
      <c r="I5" s="152">
        <v>2021</v>
      </c>
    </row>
    <row r="6" spans="1:9" x14ac:dyDescent="0.25">
      <c r="A6" s="101">
        <v>1</v>
      </c>
      <c r="B6" s="5" t="s">
        <v>25</v>
      </c>
      <c r="C6" s="101" t="s">
        <v>26</v>
      </c>
      <c r="D6" s="187">
        <v>81.153965999999997</v>
      </c>
      <c r="E6" s="187">
        <v>84.985192000000012</v>
      </c>
      <c r="F6" s="187">
        <v>90.161316900320898</v>
      </c>
      <c r="G6" s="187">
        <v>96.09213309162206</v>
      </c>
      <c r="H6" s="187">
        <v>102.0104937003524</v>
      </c>
      <c r="I6" s="187">
        <v>107.905098232923</v>
      </c>
    </row>
    <row r="7" spans="1:9" x14ac:dyDescent="0.25">
      <c r="A7" s="101">
        <v>2</v>
      </c>
      <c r="B7" s="5" t="s">
        <v>27</v>
      </c>
      <c r="C7" s="101" t="s">
        <v>28</v>
      </c>
      <c r="D7" s="187">
        <v>3.3246952959640197</v>
      </c>
      <c r="E7" s="187">
        <v>3.4001663110798441</v>
      </c>
      <c r="F7" s="187">
        <v>4.2132237559521224</v>
      </c>
      <c r="G7" s="187">
        <v>4.5082075300671542</v>
      </c>
      <c r="H7" s="187">
        <v>3.8741085149651688</v>
      </c>
      <c r="I7" s="187">
        <v>3.3915538796869038</v>
      </c>
    </row>
    <row r="8" spans="1:9" x14ac:dyDescent="0.25">
      <c r="A8" s="101">
        <v>3</v>
      </c>
      <c r="B8" s="5" t="s">
        <v>29</v>
      </c>
      <c r="C8" s="101" t="s">
        <v>28</v>
      </c>
      <c r="D8" s="187">
        <v>2.6836591378538444</v>
      </c>
      <c r="E8" s="187">
        <v>3.5780605257671017</v>
      </c>
      <c r="F8" s="187">
        <v>3.498311037837154</v>
      </c>
      <c r="G8" s="187">
        <v>3.1999157340899531</v>
      </c>
      <c r="H8" s="187">
        <v>2.7793222739003864</v>
      </c>
      <c r="I8" s="187">
        <v>2.4820867487257869</v>
      </c>
    </row>
    <row r="9" spans="1:9" x14ac:dyDescent="0.25">
      <c r="A9" s="101">
        <v>4</v>
      </c>
      <c r="B9" s="15" t="s">
        <v>30</v>
      </c>
      <c r="C9" s="101" t="s">
        <v>28</v>
      </c>
      <c r="D9" s="187">
        <v>1.5760584746165929</v>
      </c>
      <c r="E9" s="187">
        <v>0.23594799445572079</v>
      </c>
      <c r="F9" s="187">
        <v>0.6245413252709664</v>
      </c>
      <c r="G9" s="187">
        <v>1.2703806199453993</v>
      </c>
      <c r="H9" s="187">
        <v>1.175795834340021</v>
      </c>
      <c r="I9" s="187">
        <v>1.2006118891987327</v>
      </c>
    </row>
    <row r="10" spans="1:9" x14ac:dyDescent="0.25">
      <c r="A10" s="101">
        <v>5</v>
      </c>
      <c r="B10" s="15" t="s">
        <v>31</v>
      </c>
      <c r="C10" s="101" t="s">
        <v>28</v>
      </c>
      <c r="D10" s="187">
        <v>-8.2522595403796366</v>
      </c>
      <c r="E10" s="187">
        <v>3.1842761958973176</v>
      </c>
      <c r="F10" s="187">
        <v>5.1633486218114477</v>
      </c>
      <c r="G10" s="187">
        <v>3.2799277083456424</v>
      </c>
      <c r="H10" s="187">
        <v>3.2953395740739966</v>
      </c>
      <c r="I10" s="187">
        <v>2.9574304802249207</v>
      </c>
    </row>
    <row r="11" spans="1:9" x14ac:dyDescent="0.25">
      <c r="A11" s="101">
        <v>6</v>
      </c>
      <c r="B11" s="15" t="s">
        <v>32</v>
      </c>
      <c r="C11" s="101" t="s">
        <v>28</v>
      </c>
      <c r="D11" s="187">
        <v>6.2375507707628675</v>
      </c>
      <c r="E11" s="187">
        <v>4.2552584965335649</v>
      </c>
      <c r="F11" s="187">
        <v>7.8756579859551756</v>
      </c>
      <c r="G11" s="187">
        <v>8.5005399917416735</v>
      </c>
      <c r="H11" s="187">
        <v>7.0829799668113091</v>
      </c>
      <c r="I11" s="187">
        <v>5.8855357530764429</v>
      </c>
    </row>
    <row r="12" spans="1:9" x14ac:dyDescent="0.25">
      <c r="A12" s="101">
        <v>7</v>
      </c>
      <c r="B12" s="15" t="s">
        <v>33</v>
      </c>
      <c r="C12" s="101" t="s">
        <v>28</v>
      </c>
      <c r="D12" s="187">
        <v>3.7266848398924912</v>
      </c>
      <c r="E12" s="187">
        <v>3.8833477486462042</v>
      </c>
      <c r="F12" s="187">
        <v>7.145797474066784</v>
      </c>
      <c r="G12" s="187">
        <v>7.191013511983102</v>
      </c>
      <c r="H12" s="187">
        <v>6.1510222967257056</v>
      </c>
      <c r="I12" s="187">
        <v>5.1881842711139825</v>
      </c>
    </row>
    <row r="13" spans="1:9" x14ac:dyDescent="0.25">
      <c r="A13" s="101">
        <v>8</v>
      </c>
      <c r="B13" s="5" t="s">
        <v>34</v>
      </c>
      <c r="C13" s="101" t="s">
        <v>28</v>
      </c>
      <c r="D13" s="187">
        <v>-0.32770656322884495</v>
      </c>
      <c r="E13" s="187">
        <v>9.2176087213173427E-2</v>
      </c>
      <c r="F13" s="187">
        <v>0.56642343268447592</v>
      </c>
      <c r="G13" s="187">
        <v>1.0994109254611752</v>
      </c>
      <c r="H13" s="187">
        <v>1.0871002021800185</v>
      </c>
      <c r="I13" s="187">
        <v>0.79466472355658557</v>
      </c>
    </row>
    <row r="14" spans="1:9" x14ac:dyDescent="0.25">
      <c r="A14" s="101">
        <v>9</v>
      </c>
      <c r="B14" s="5" t="s">
        <v>35</v>
      </c>
      <c r="C14" s="101" t="s">
        <v>28</v>
      </c>
      <c r="D14" s="187">
        <v>3.2842582106455298</v>
      </c>
      <c r="E14" s="187">
        <v>4.6052631578947345</v>
      </c>
      <c r="F14" s="187">
        <v>5.2410901467505155</v>
      </c>
      <c r="G14" s="187">
        <v>5.3784860557768877</v>
      </c>
      <c r="H14" s="187">
        <v>5.1984877126654006</v>
      </c>
      <c r="I14" s="187">
        <v>5.211141060197666</v>
      </c>
    </row>
    <row r="15" spans="1:9" x14ac:dyDescent="0.25">
      <c r="A15" s="101">
        <v>10</v>
      </c>
      <c r="B15" s="5" t="s">
        <v>36</v>
      </c>
      <c r="C15" s="101" t="s">
        <v>28</v>
      </c>
      <c r="D15" s="187">
        <v>2.8102336316112586</v>
      </c>
      <c r="E15" s="187">
        <v>1.5471078764235591</v>
      </c>
      <c r="F15" s="187">
        <v>1.1757367743840286</v>
      </c>
      <c r="G15" s="187">
        <v>0.76718864923273067</v>
      </c>
      <c r="H15" s="187">
        <v>0.73803035223649616</v>
      </c>
      <c r="I15" s="187">
        <v>0.4084680430874954</v>
      </c>
    </row>
    <row r="16" spans="1:9" x14ac:dyDescent="0.25">
      <c r="A16" s="101">
        <v>11</v>
      </c>
      <c r="B16" s="15" t="s">
        <v>37</v>
      </c>
      <c r="C16" s="101" t="s">
        <v>28</v>
      </c>
      <c r="D16" s="187">
        <v>2.3797834852236299</v>
      </c>
      <c r="E16" s="187">
        <v>2.2062007307902753</v>
      </c>
      <c r="F16" s="187">
        <v>1.663946036842634</v>
      </c>
      <c r="G16" s="187">
        <v>1.0456436719018969</v>
      </c>
      <c r="H16" s="187">
        <v>1.0177997652084603</v>
      </c>
      <c r="I16" s="187">
        <v>0.65996609885750068</v>
      </c>
    </row>
    <row r="17" spans="1:9" ht="27" x14ac:dyDescent="0.25">
      <c r="A17" s="101">
        <v>12</v>
      </c>
      <c r="B17" s="15" t="s">
        <v>38</v>
      </c>
      <c r="C17" s="101" t="s">
        <v>28</v>
      </c>
      <c r="D17" s="187">
        <v>9.645253346461546</v>
      </c>
      <c r="E17" s="187">
        <v>8.1312241983328271</v>
      </c>
      <c r="F17" s="187">
        <v>7.2537248845564148</v>
      </c>
      <c r="G17" s="187">
        <v>6.6984931864088422</v>
      </c>
      <c r="H17" s="187">
        <v>6.1404678015497973</v>
      </c>
      <c r="I17" s="187">
        <v>5.8698107335162808</v>
      </c>
    </row>
    <row r="18" spans="1:9" x14ac:dyDescent="0.25">
      <c r="A18" s="101">
        <v>13</v>
      </c>
      <c r="B18" s="15" t="s">
        <v>39</v>
      </c>
      <c r="C18" s="101" t="s">
        <v>28</v>
      </c>
      <c r="D18" s="187">
        <v>9.4849735430648074</v>
      </c>
      <c r="E18" s="187">
        <v>7.0622593859209521</v>
      </c>
      <c r="F18" s="187">
        <v>6.1330169926965512</v>
      </c>
      <c r="G18" s="187">
        <v>5.6317420907997366</v>
      </c>
      <c r="H18" s="187">
        <v>5.1059578963842469</v>
      </c>
      <c r="I18" s="187">
        <v>4.8838057168349502</v>
      </c>
    </row>
    <row r="19" spans="1:9" ht="27" x14ac:dyDescent="0.25">
      <c r="A19" s="101">
        <v>14</v>
      </c>
      <c r="B19" s="15" t="s">
        <v>40</v>
      </c>
      <c r="C19" s="101" t="s">
        <v>28</v>
      </c>
      <c r="D19" s="187">
        <v>-0.48166666666665803</v>
      </c>
      <c r="E19" s="187">
        <v>1.3908660045887533</v>
      </c>
      <c r="F19" s="187">
        <v>2.0266341670489574</v>
      </c>
      <c r="G19" s="187">
        <v>2.0329114245243307</v>
      </c>
      <c r="H19" s="187">
        <v>2.1948853336249297</v>
      </c>
      <c r="I19" s="187">
        <v>2.347396507362931</v>
      </c>
    </row>
    <row r="20" spans="1:9" ht="14.25" thickBot="1" x14ac:dyDescent="0.3">
      <c r="A20" s="154">
        <v>15</v>
      </c>
      <c r="B20" s="532" t="s">
        <v>170</v>
      </c>
      <c r="C20" s="154" t="s">
        <v>28</v>
      </c>
      <c r="D20" s="508">
        <v>-1.4572756164098981</v>
      </c>
      <c r="E20" s="508">
        <v>-1.7792403810772</v>
      </c>
      <c r="F20" s="508">
        <v>-1.6182612251644362</v>
      </c>
      <c r="G20" s="508">
        <v>-0.72989785888780268</v>
      </c>
      <c r="H20" s="508">
        <v>-0.12895648905965801</v>
      </c>
      <c r="I20" s="508">
        <v>0.50667013517388204</v>
      </c>
    </row>
    <row r="21" spans="1:9" ht="27" customHeight="1" x14ac:dyDescent="0.25">
      <c r="H21" s="945" t="s">
        <v>193</v>
      </c>
      <c r="I21" s="945"/>
    </row>
    <row r="22" spans="1:9" ht="14.25" thickBot="1" x14ac:dyDescent="0.3">
      <c r="A22" s="919" t="s">
        <v>1427</v>
      </c>
      <c r="B22" s="919"/>
      <c r="C22" s="919"/>
      <c r="D22" s="919"/>
      <c r="E22" s="919"/>
      <c r="F22" s="919"/>
      <c r="G22" s="919"/>
      <c r="H22" s="919"/>
      <c r="I22" s="919"/>
    </row>
    <row r="23" spans="1:9" ht="14.25" thickBot="1" x14ac:dyDescent="0.3">
      <c r="A23" s="152" t="s">
        <v>278</v>
      </c>
      <c r="B23" s="152" t="s">
        <v>279</v>
      </c>
      <c r="C23" s="152"/>
      <c r="D23" s="947" t="s">
        <v>280</v>
      </c>
      <c r="E23" s="947"/>
      <c r="F23" s="947" t="s">
        <v>281</v>
      </c>
      <c r="G23" s="947"/>
      <c r="H23" s="947"/>
      <c r="I23" s="947"/>
    </row>
    <row r="24" spans="1:9" ht="14.25" thickBot="1" x14ac:dyDescent="0.3">
      <c r="A24" s="152"/>
      <c r="B24" s="152"/>
      <c r="C24" s="152" t="s">
        <v>282</v>
      </c>
      <c r="D24" s="152">
        <v>2016</v>
      </c>
      <c r="E24" s="152">
        <v>2017</v>
      </c>
      <c r="F24" s="152">
        <v>2018</v>
      </c>
      <c r="G24" s="152">
        <v>2019</v>
      </c>
      <c r="H24" s="152">
        <v>2020</v>
      </c>
      <c r="I24" s="152">
        <v>2021</v>
      </c>
    </row>
    <row r="25" spans="1:9" x14ac:dyDescent="0.25">
      <c r="A25" s="101">
        <v>1</v>
      </c>
      <c r="B25" s="5" t="s">
        <v>283</v>
      </c>
      <c r="C25" s="101" t="s">
        <v>298</v>
      </c>
      <c r="D25" s="187">
        <f>D6</f>
        <v>81.153965999999997</v>
      </c>
      <c r="E25" s="187">
        <f t="shared" ref="E25:I25" si="0">E6</f>
        <v>84.985192000000012</v>
      </c>
      <c r="F25" s="187">
        <f t="shared" si="0"/>
        <v>90.161316900320898</v>
      </c>
      <c r="G25" s="187">
        <f t="shared" si="0"/>
        <v>96.09213309162206</v>
      </c>
      <c r="H25" s="187">
        <f t="shared" si="0"/>
        <v>102.0104937003524</v>
      </c>
      <c r="I25" s="187">
        <f t="shared" si="0"/>
        <v>107.905098232923</v>
      </c>
    </row>
    <row r="26" spans="1:9" x14ac:dyDescent="0.25">
      <c r="A26" s="101">
        <v>2</v>
      </c>
      <c r="B26" s="5" t="s">
        <v>284</v>
      </c>
      <c r="C26" s="101" t="s">
        <v>28</v>
      </c>
      <c r="D26" s="187">
        <f t="shared" ref="D26:I26" si="1">D7</f>
        <v>3.3246952959640197</v>
      </c>
      <c r="E26" s="187">
        <f t="shared" si="1"/>
        <v>3.4001663110798441</v>
      </c>
      <c r="F26" s="187">
        <f t="shared" si="1"/>
        <v>4.2132237559521224</v>
      </c>
      <c r="G26" s="187">
        <f t="shared" si="1"/>
        <v>4.5082075300671542</v>
      </c>
      <c r="H26" s="187">
        <f t="shared" si="1"/>
        <v>3.8741085149651688</v>
      </c>
      <c r="I26" s="187">
        <f t="shared" si="1"/>
        <v>3.3915538796869038</v>
      </c>
    </row>
    <row r="27" spans="1:9" x14ac:dyDescent="0.25">
      <c r="A27" s="101">
        <v>3</v>
      </c>
      <c r="B27" s="5" t="s">
        <v>285</v>
      </c>
      <c r="C27" s="101" t="s">
        <v>28</v>
      </c>
      <c r="D27" s="187">
        <f t="shared" ref="D27:I27" si="2">D8</f>
        <v>2.6836591378538444</v>
      </c>
      <c r="E27" s="187">
        <f t="shared" si="2"/>
        <v>3.5780605257671017</v>
      </c>
      <c r="F27" s="187">
        <f t="shared" si="2"/>
        <v>3.498311037837154</v>
      </c>
      <c r="G27" s="187">
        <f t="shared" si="2"/>
        <v>3.1999157340899531</v>
      </c>
      <c r="H27" s="187">
        <f t="shared" si="2"/>
        <v>2.7793222739003864</v>
      </c>
      <c r="I27" s="187">
        <f t="shared" si="2"/>
        <v>2.4820867487257869</v>
      </c>
    </row>
    <row r="28" spans="1:9" x14ac:dyDescent="0.25">
      <c r="A28" s="101">
        <v>4</v>
      </c>
      <c r="B28" s="15" t="s">
        <v>286</v>
      </c>
      <c r="C28" s="101" t="s">
        <v>28</v>
      </c>
      <c r="D28" s="187">
        <f t="shared" ref="D28:I28" si="3">D9</f>
        <v>1.5760584746165929</v>
      </c>
      <c r="E28" s="187">
        <f t="shared" si="3"/>
        <v>0.23594799445572079</v>
      </c>
      <c r="F28" s="187">
        <f t="shared" si="3"/>
        <v>0.6245413252709664</v>
      </c>
      <c r="G28" s="187">
        <f t="shared" si="3"/>
        <v>1.2703806199453993</v>
      </c>
      <c r="H28" s="187">
        <f t="shared" si="3"/>
        <v>1.175795834340021</v>
      </c>
      <c r="I28" s="187">
        <f t="shared" si="3"/>
        <v>1.2006118891987327</v>
      </c>
    </row>
    <row r="29" spans="1:9" x14ac:dyDescent="0.25">
      <c r="A29" s="101">
        <v>5</v>
      </c>
      <c r="B29" s="15" t="s">
        <v>287</v>
      </c>
      <c r="C29" s="101" t="s">
        <v>28</v>
      </c>
      <c r="D29" s="187">
        <f t="shared" ref="D29:I29" si="4">D10</f>
        <v>-8.2522595403796366</v>
      </c>
      <c r="E29" s="187">
        <f t="shared" si="4"/>
        <v>3.1842761958973176</v>
      </c>
      <c r="F29" s="187">
        <f t="shared" si="4"/>
        <v>5.1633486218114477</v>
      </c>
      <c r="G29" s="187">
        <f t="shared" si="4"/>
        <v>3.2799277083456424</v>
      </c>
      <c r="H29" s="187">
        <f t="shared" si="4"/>
        <v>3.2953395740739966</v>
      </c>
      <c r="I29" s="187">
        <f t="shared" si="4"/>
        <v>2.9574304802249207</v>
      </c>
    </row>
    <row r="30" spans="1:9" x14ac:dyDescent="0.25">
      <c r="A30" s="101">
        <v>6</v>
      </c>
      <c r="B30" s="15" t="s">
        <v>288</v>
      </c>
      <c r="C30" s="101" t="s">
        <v>28</v>
      </c>
      <c r="D30" s="187">
        <f t="shared" ref="D30:I30" si="5">D11</f>
        <v>6.2375507707628675</v>
      </c>
      <c r="E30" s="187">
        <f t="shared" si="5"/>
        <v>4.2552584965335649</v>
      </c>
      <c r="F30" s="187">
        <f t="shared" si="5"/>
        <v>7.8756579859551756</v>
      </c>
      <c r="G30" s="187">
        <f t="shared" si="5"/>
        <v>8.5005399917416735</v>
      </c>
      <c r="H30" s="187">
        <f t="shared" si="5"/>
        <v>7.0829799668113091</v>
      </c>
      <c r="I30" s="187">
        <f t="shared" si="5"/>
        <v>5.8855357530764429</v>
      </c>
    </row>
    <row r="31" spans="1:9" x14ac:dyDescent="0.25">
      <c r="A31" s="101">
        <v>7</v>
      </c>
      <c r="B31" s="15" t="s">
        <v>289</v>
      </c>
      <c r="C31" s="101" t="s">
        <v>28</v>
      </c>
      <c r="D31" s="187">
        <f t="shared" ref="D31:I31" si="6">D12</f>
        <v>3.7266848398924912</v>
      </c>
      <c r="E31" s="187">
        <f t="shared" si="6"/>
        <v>3.8833477486462042</v>
      </c>
      <c r="F31" s="187">
        <f t="shared" si="6"/>
        <v>7.145797474066784</v>
      </c>
      <c r="G31" s="187">
        <f t="shared" si="6"/>
        <v>7.191013511983102</v>
      </c>
      <c r="H31" s="187">
        <f t="shared" si="6"/>
        <v>6.1510222967257056</v>
      </c>
      <c r="I31" s="187">
        <f t="shared" si="6"/>
        <v>5.1881842711139825</v>
      </c>
    </row>
    <row r="32" spans="1:9" x14ac:dyDescent="0.25">
      <c r="A32" s="101">
        <v>8</v>
      </c>
      <c r="B32" s="5" t="s">
        <v>290</v>
      </c>
      <c r="C32" s="101" t="s">
        <v>28</v>
      </c>
      <c r="D32" s="187">
        <f t="shared" ref="D32:I32" si="7">D13</f>
        <v>-0.32770656322884495</v>
      </c>
      <c r="E32" s="187">
        <f t="shared" si="7"/>
        <v>9.2176087213173427E-2</v>
      </c>
      <c r="F32" s="187">
        <f t="shared" si="7"/>
        <v>0.56642343268447592</v>
      </c>
      <c r="G32" s="187">
        <f t="shared" si="7"/>
        <v>1.0994109254611752</v>
      </c>
      <c r="H32" s="187">
        <f t="shared" si="7"/>
        <v>1.0871002021800185</v>
      </c>
      <c r="I32" s="187">
        <f t="shared" si="7"/>
        <v>0.79466472355658557</v>
      </c>
    </row>
    <row r="33" spans="1:9" x14ac:dyDescent="0.25">
      <c r="A33" s="101">
        <v>9</v>
      </c>
      <c r="B33" s="5" t="s">
        <v>291</v>
      </c>
      <c r="C33" s="101" t="s">
        <v>28</v>
      </c>
      <c r="D33" s="187">
        <f t="shared" ref="D33:I33" si="8">D14</f>
        <v>3.2842582106455298</v>
      </c>
      <c r="E33" s="187">
        <f t="shared" si="8"/>
        <v>4.6052631578947345</v>
      </c>
      <c r="F33" s="187">
        <f t="shared" si="8"/>
        <v>5.2410901467505155</v>
      </c>
      <c r="G33" s="187">
        <f t="shared" si="8"/>
        <v>5.3784860557768877</v>
      </c>
      <c r="H33" s="187">
        <f t="shared" si="8"/>
        <v>5.1984877126654006</v>
      </c>
      <c r="I33" s="187">
        <f t="shared" si="8"/>
        <v>5.211141060197666</v>
      </c>
    </row>
    <row r="34" spans="1:9" x14ac:dyDescent="0.25">
      <c r="A34" s="101">
        <v>10</v>
      </c>
      <c r="B34" s="5" t="s">
        <v>292</v>
      </c>
      <c r="C34" s="101" t="s">
        <v>28</v>
      </c>
      <c r="D34" s="187">
        <f t="shared" ref="D34:I34" si="9">D15</f>
        <v>2.8102336316112586</v>
      </c>
      <c r="E34" s="187">
        <f t="shared" si="9"/>
        <v>1.5471078764235591</v>
      </c>
      <c r="F34" s="187">
        <f t="shared" si="9"/>
        <v>1.1757367743840286</v>
      </c>
      <c r="G34" s="187">
        <f t="shared" si="9"/>
        <v>0.76718864923273067</v>
      </c>
      <c r="H34" s="187">
        <f t="shared" si="9"/>
        <v>0.73803035223649616</v>
      </c>
      <c r="I34" s="187">
        <f t="shared" si="9"/>
        <v>0.4084680430874954</v>
      </c>
    </row>
    <row r="35" spans="1:9" x14ac:dyDescent="0.25">
      <c r="A35" s="101">
        <v>11</v>
      </c>
      <c r="B35" s="5" t="s">
        <v>293</v>
      </c>
      <c r="C35" s="101" t="s">
        <v>28</v>
      </c>
      <c r="D35" s="187">
        <f t="shared" ref="D35:I35" si="10">D16</f>
        <v>2.3797834852236299</v>
      </c>
      <c r="E35" s="187">
        <f t="shared" si="10"/>
        <v>2.2062007307902753</v>
      </c>
      <c r="F35" s="187">
        <f t="shared" si="10"/>
        <v>1.663946036842634</v>
      </c>
      <c r="G35" s="187">
        <f t="shared" si="10"/>
        <v>1.0456436719018969</v>
      </c>
      <c r="H35" s="187">
        <f t="shared" si="10"/>
        <v>1.0177997652084603</v>
      </c>
      <c r="I35" s="187">
        <f t="shared" si="10"/>
        <v>0.65996609885750068</v>
      </c>
    </row>
    <row r="36" spans="1:9" x14ac:dyDescent="0.25">
      <c r="A36" s="101">
        <v>12</v>
      </c>
      <c r="B36" s="15" t="s">
        <v>294</v>
      </c>
      <c r="C36" s="101" t="s">
        <v>28</v>
      </c>
      <c r="D36" s="187">
        <f t="shared" ref="D36:I36" si="11">D17</f>
        <v>9.645253346461546</v>
      </c>
      <c r="E36" s="187">
        <f t="shared" si="11"/>
        <v>8.1312241983328271</v>
      </c>
      <c r="F36" s="187">
        <f t="shared" si="11"/>
        <v>7.2537248845564148</v>
      </c>
      <c r="G36" s="187">
        <f t="shared" si="11"/>
        <v>6.6984931864088422</v>
      </c>
      <c r="H36" s="187">
        <f t="shared" si="11"/>
        <v>6.1404678015497973</v>
      </c>
      <c r="I36" s="187">
        <f t="shared" si="11"/>
        <v>5.8698107335162808</v>
      </c>
    </row>
    <row r="37" spans="1:9" x14ac:dyDescent="0.25">
      <c r="A37" s="101">
        <v>13</v>
      </c>
      <c r="B37" s="15" t="s">
        <v>295</v>
      </c>
      <c r="C37" s="101" t="s">
        <v>28</v>
      </c>
      <c r="D37" s="187">
        <f t="shared" ref="D37:I37" si="12">D18</f>
        <v>9.4849735430648074</v>
      </c>
      <c r="E37" s="187">
        <f t="shared" si="12"/>
        <v>7.0622593859209521</v>
      </c>
      <c r="F37" s="187">
        <f t="shared" si="12"/>
        <v>6.1330169926965512</v>
      </c>
      <c r="G37" s="187">
        <f t="shared" si="12"/>
        <v>5.6317420907997366</v>
      </c>
      <c r="H37" s="187">
        <f t="shared" si="12"/>
        <v>5.1059578963842469</v>
      </c>
      <c r="I37" s="187">
        <f t="shared" si="12"/>
        <v>4.8838057168349502</v>
      </c>
    </row>
    <row r="38" spans="1:9" x14ac:dyDescent="0.25">
      <c r="A38" s="101">
        <v>14</v>
      </c>
      <c r="B38" s="15" t="s">
        <v>296</v>
      </c>
      <c r="C38" s="101" t="s">
        <v>28</v>
      </c>
      <c r="D38" s="187">
        <f t="shared" ref="D38:I38" si="13">D19</f>
        <v>-0.48166666666665803</v>
      </c>
      <c r="E38" s="187">
        <f t="shared" si="13"/>
        <v>1.3908660045887533</v>
      </c>
      <c r="F38" s="187">
        <f t="shared" si="13"/>
        <v>2.0266341670489574</v>
      </c>
      <c r="G38" s="187">
        <f t="shared" si="13"/>
        <v>2.0329114245243307</v>
      </c>
      <c r="H38" s="187">
        <f t="shared" si="13"/>
        <v>2.1948853336249297</v>
      </c>
      <c r="I38" s="187">
        <f t="shared" si="13"/>
        <v>2.347396507362931</v>
      </c>
    </row>
    <row r="39" spans="1:9" ht="14.25" thickBot="1" x14ac:dyDescent="0.3">
      <c r="A39" s="154">
        <v>15</v>
      </c>
      <c r="B39" s="532" t="s">
        <v>297</v>
      </c>
      <c r="C39" s="154" t="s">
        <v>28</v>
      </c>
      <c r="D39" s="205">
        <f t="shared" ref="D39:I39" si="14">D20</f>
        <v>-1.4572756164098981</v>
      </c>
      <c r="E39" s="205">
        <f t="shared" si="14"/>
        <v>-1.7792403810772</v>
      </c>
      <c r="F39" s="205">
        <f t="shared" si="14"/>
        <v>-1.6182612251644362</v>
      </c>
      <c r="G39" s="205">
        <f t="shared" si="14"/>
        <v>-0.72989785888780268</v>
      </c>
      <c r="H39" s="205">
        <f t="shared" si="14"/>
        <v>-0.12895648905965801</v>
      </c>
      <c r="I39" s="205">
        <f t="shared" si="14"/>
        <v>0.50667013517388204</v>
      </c>
    </row>
    <row r="40" spans="1:9" ht="27" customHeight="1" x14ac:dyDescent="0.25">
      <c r="H40" s="945" t="s">
        <v>405</v>
      </c>
      <c r="I40" s="945"/>
    </row>
  </sheetData>
  <mergeCells count="8">
    <mergeCell ref="H40:I40"/>
    <mergeCell ref="H21:I21"/>
    <mergeCell ref="A3:I3"/>
    <mergeCell ref="D4:E4"/>
    <mergeCell ref="F4:I4"/>
    <mergeCell ref="A22:I22"/>
    <mergeCell ref="D23:E23"/>
    <mergeCell ref="F23:I23"/>
  </mergeCells>
  <hyperlinks>
    <hyperlink ref="B8" location="_ftn1" display="_ftn1"/>
    <hyperlink ref="B27" location="_ftn1" display="_ftn1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65</vt:i4>
      </vt:variant>
      <vt:variant>
        <vt:lpstr>Pomenované rozsahy</vt:lpstr>
      </vt:variant>
      <vt:variant>
        <vt:i4>35</vt:i4>
      </vt:variant>
    </vt:vector>
  </HeadingPairs>
  <TitlesOfParts>
    <vt:vector size="100" baseType="lpstr">
      <vt:lpstr>Obsah</vt:lpstr>
      <vt:lpstr>Graf 1+2</vt:lpstr>
      <vt:lpstr>Tab 1 </vt:lpstr>
      <vt:lpstr>Graf 3+4</vt:lpstr>
      <vt:lpstr>Graf 5+6</vt:lpstr>
      <vt:lpstr>Grafy 7+8</vt:lpstr>
      <vt:lpstr>Graf 9+10</vt:lpstr>
      <vt:lpstr>Graf 11+12 </vt:lpstr>
      <vt:lpstr>Tab 2 </vt:lpstr>
      <vt:lpstr>Graf 13+14 </vt:lpstr>
      <vt:lpstr>Graf 15+16 </vt:lpstr>
      <vt:lpstr>Tab 3 </vt:lpstr>
      <vt:lpstr>Tab 4 </vt:lpstr>
      <vt:lpstr>Graf 17+Tab 5 </vt:lpstr>
      <vt:lpstr>Graf 18+Tab 6 </vt:lpstr>
      <vt:lpstr>Graf 19  + Tab 7 </vt:lpstr>
      <vt:lpstr>Tab 8</vt:lpstr>
      <vt:lpstr>Tab 9</vt:lpstr>
      <vt:lpstr>ESA2010_source</vt:lpstr>
      <vt:lpstr>Graf 20+21 </vt:lpstr>
      <vt:lpstr>Graf 22</vt:lpstr>
      <vt:lpstr>Graf 23+24</vt:lpstr>
      <vt:lpstr>Graf 25</vt:lpstr>
      <vt:lpstr>Tab 10</vt:lpstr>
      <vt:lpstr>Tab 11 </vt:lpstr>
      <vt:lpstr>Graf 26+27; Tab 12</vt:lpstr>
      <vt:lpstr>Graf 28+29</vt:lpstr>
      <vt:lpstr>Tab 13 </vt:lpstr>
      <vt:lpstr>Tab 14 </vt:lpstr>
      <vt:lpstr>Tab 15 </vt:lpstr>
      <vt:lpstr>Tab 16 </vt:lpstr>
      <vt:lpstr>Tab 17 </vt:lpstr>
      <vt:lpstr>Tab 18 </vt:lpstr>
      <vt:lpstr>Graf 30+31 </vt:lpstr>
      <vt:lpstr>Graf 32</vt:lpstr>
      <vt:lpstr>Graf  33 </vt:lpstr>
      <vt:lpstr>Graf 34</vt:lpstr>
      <vt:lpstr>Tab 19</vt:lpstr>
      <vt:lpstr>Tab 20</vt:lpstr>
      <vt:lpstr>Graf 35</vt:lpstr>
      <vt:lpstr>Graf 36 </vt:lpstr>
      <vt:lpstr>Graf 37+38</vt:lpstr>
      <vt:lpstr>Tab 21 </vt:lpstr>
      <vt:lpstr>Tab 22 </vt:lpstr>
      <vt:lpstr>Tab 23 </vt:lpstr>
      <vt:lpstr>Tab 24 </vt:lpstr>
      <vt:lpstr>Graf 39+40</vt:lpstr>
      <vt:lpstr>Graf 41+42</vt:lpstr>
      <vt:lpstr>Graf 43+44</vt:lpstr>
      <vt:lpstr>Tab 25</vt:lpstr>
      <vt:lpstr>Graf 45+46</vt:lpstr>
      <vt:lpstr>Graf 47</vt:lpstr>
      <vt:lpstr>Graf 48+49</vt:lpstr>
      <vt:lpstr>Graf 50+51</vt:lpstr>
      <vt:lpstr>Graf 52+53</vt:lpstr>
      <vt:lpstr>Tab 26</vt:lpstr>
      <vt:lpstr>Graf 54</vt:lpstr>
      <vt:lpstr>Graf 55</vt:lpstr>
      <vt:lpstr>Graf 56+57</vt:lpstr>
      <vt:lpstr>Graf 58</vt:lpstr>
      <vt:lpstr>Tab 27</vt:lpstr>
      <vt:lpstr>Graf 59</vt:lpstr>
      <vt:lpstr>Graf 60+61+62</vt:lpstr>
      <vt:lpstr>DRM</vt:lpstr>
      <vt:lpstr>One-offs EK</vt:lpstr>
      <vt:lpstr>'Tab 2 '!_ftn1</vt:lpstr>
      <vt:lpstr>'Tab 2 '!_ftnref1</vt:lpstr>
      <vt:lpstr>'Grafy 7+8'!_Toc416944006</vt:lpstr>
      <vt:lpstr>'Graf 15+16 '!_Toc416944014</vt:lpstr>
      <vt:lpstr>'Graf 15+16 '!_Toc416944015</vt:lpstr>
      <vt:lpstr>'Graf 19  + Tab 7 '!_Toc416944019</vt:lpstr>
      <vt:lpstr>'Graf 19  + Tab 7 '!_Toc416944024</vt:lpstr>
      <vt:lpstr>'Graf 19  + Tab 7 '!_Toc416944025</vt:lpstr>
      <vt:lpstr>'Graf 22'!_Toc416944033</vt:lpstr>
      <vt:lpstr>'Graf 30+31 '!_Toc416944045</vt:lpstr>
      <vt:lpstr>'Graf 30+31 '!_Toc416944046</vt:lpstr>
      <vt:lpstr>'Graf 36 '!_Toc417907480</vt:lpstr>
      <vt:lpstr>'Tab 26'!_Toc432509118</vt:lpstr>
      <vt:lpstr>'Tab 10'!_Toc449430145</vt:lpstr>
      <vt:lpstr>'Tab 15 '!_Toc449430150</vt:lpstr>
      <vt:lpstr>'Tab 17 '!_Toc449430152</vt:lpstr>
      <vt:lpstr>'Graf 45+46'!_Toc463861269</vt:lpstr>
      <vt:lpstr>'Graf 48+49'!_Toc463861271</vt:lpstr>
      <vt:lpstr>'Graf 60+61+62'!_Toc477358256</vt:lpstr>
      <vt:lpstr>'Graf  33 '!_Toc480457470</vt:lpstr>
      <vt:lpstr>'Graf 26+27; Tab 12'!_Toc480533165</vt:lpstr>
      <vt:lpstr>'Tab 19'!_Toc480533168</vt:lpstr>
      <vt:lpstr>'Graf 23+24'!_Toc480577913</vt:lpstr>
      <vt:lpstr>'Graf 23+24'!_Toc480577914</vt:lpstr>
      <vt:lpstr>'Graf 50+51'!_Toc480577940</vt:lpstr>
      <vt:lpstr>'Graf 50+51'!_Toc480577941</vt:lpstr>
      <vt:lpstr>'Graf 60+61+62'!_Toc480905490</vt:lpstr>
      <vt:lpstr>'Tab 8'!_Toc495395953</vt:lpstr>
      <vt:lpstr>'Tab 25'!_Toc495395967</vt:lpstr>
      <vt:lpstr>'Graf 26+27; Tab 12'!_Toc512001581</vt:lpstr>
      <vt:lpstr>'Graf 26+27; Tab 12'!_Toc512001582</vt:lpstr>
      <vt:lpstr>'Graf 39+40'!_Toc512001594</vt:lpstr>
      <vt:lpstr>'Graf 39+40'!_Toc512001595</vt:lpstr>
      <vt:lpstr>'Graf 41+42'!_Toc512001596</vt:lpstr>
      <vt:lpstr>'Graf 41+42'!_Toc512001597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2019-05-15T07:57:57Z</dcterms:modified>
</cp:coreProperties>
</file>