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theme/themeOverride4.xml" ContentType="application/vnd.openxmlformats-officedocument.themeOverride+xml"/>
  <Override PartName="/xl/charts/chart13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ml.chartshapes+xml"/>
  <Override PartName="/xl/charts/chart1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3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32.xml" ContentType="application/vnd.openxmlformats-officedocument.drawingml.chart+xml"/>
  <Override PartName="/xl/theme/themeOverride8.xml" ContentType="application/vnd.openxmlformats-officedocument.themeOverride+xml"/>
  <Override PartName="/xl/charts/chart33.xml" ContentType="application/vnd.openxmlformats-officedocument.drawingml.chart+xml"/>
  <Override PartName="/xl/theme/themeOverride9.xml" ContentType="application/vnd.openxmlformats-officedocument.themeOverride+xml"/>
  <Override PartName="/xl/drawings/drawing28.xml" ContentType="application/vnd.openxmlformats-officedocument.drawing+xml"/>
  <Override PartName="/xl/charts/chart3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3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omments2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37.xml" ContentType="application/vnd.openxmlformats-officedocument.drawingml.chart+xml"/>
  <Override PartName="/xl/theme/themeOverride10.xml" ContentType="application/vnd.openxmlformats-officedocument.themeOverride+xml"/>
  <Override PartName="/xl/charts/chart38.xml" ContentType="application/vnd.openxmlformats-officedocument.drawingml.chart+xml"/>
  <Override PartName="/xl/theme/themeOverride11.xml" ContentType="application/vnd.openxmlformats-officedocument.themeOverride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39.xml" ContentType="application/vnd.openxmlformats-officedocument.drawingml.chart+xml"/>
  <Override PartName="/xl/theme/themeOverride12.xml" ContentType="application/vnd.openxmlformats-officedocument.themeOverride+xml"/>
  <Override PartName="/xl/charts/chart40.xml" ContentType="application/vnd.openxmlformats-officedocument.drawingml.chart+xml"/>
  <Override PartName="/xl/theme/themeOverride13.xml" ContentType="application/vnd.openxmlformats-officedocument.themeOverride+xml"/>
  <Override PartName="/xl/charts/chart41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+xml"/>
  <Override PartName="/xl/charts/chart4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4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45.xml" ContentType="application/vnd.openxmlformats-officedocument.drawingml.chart+xml"/>
  <Override PartName="/xl/theme/themeOverride15.xml" ContentType="application/vnd.openxmlformats-officedocument.themeOverride+xml"/>
  <Override PartName="/xl/charts/chart4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6.xml" ContentType="application/vnd.openxmlformats-officedocument.themeOverride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47.xml" ContentType="application/vnd.openxmlformats-officedocument.drawingml.chart+xml"/>
  <Override PartName="/xl/theme/themeOverride17.xml" ContentType="application/vnd.openxmlformats-officedocument.themeOverride+xml"/>
  <Override PartName="/xl/charts/chart48.xml" ContentType="application/vnd.openxmlformats-officedocument.drawingml.chart+xml"/>
  <Override PartName="/xl/theme/themeOverride18.xml" ContentType="application/vnd.openxmlformats-officedocument.themeOverride+xml"/>
  <Override PartName="/xl/drawings/drawing43.xml" ContentType="application/vnd.openxmlformats-officedocument.drawing+xml"/>
  <Override PartName="/xl/charts/chart49.xml" ContentType="application/vnd.openxmlformats-officedocument.drawingml.chart+xml"/>
  <Override PartName="/xl/theme/themeOverride19.xml" ContentType="application/vnd.openxmlformats-officedocument.themeOverride+xml"/>
  <Override PartName="/xl/charts/chart50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5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1.xml" ContentType="application/vnd.openxmlformats-officedocument.themeOverride+xml"/>
  <Override PartName="/xl/charts/chart5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2.xml" ContentType="application/vnd.openxmlformats-officedocument.themeOverride+xml"/>
  <Override PartName="/xl/drawings/drawing46.xml" ContentType="application/vnd.openxmlformats-officedocument.drawing+xml"/>
  <Override PartName="/xl/charts/chart5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3.xml" ContentType="application/vnd.openxmlformats-officedocument.themeOverride+xml"/>
  <Override PartName="/xl/charts/chart54.xml" ContentType="application/vnd.openxmlformats-officedocument.drawingml.chart+xml"/>
  <Override PartName="/xl/theme/themeOverride24.xml" ContentType="application/vnd.openxmlformats-officedocument.themeOverride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5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5.xml" ContentType="application/vnd.openxmlformats-officedocument.themeOverride+xml"/>
  <Override PartName="/xl/charts/chart5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always" codeName="Tento_zošit"/>
  <bookViews>
    <workbookView xWindow="2790" yWindow="0" windowWidth="25605" windowHeight="16005" tabRatio="921"/>
  </bookViews>
  <sheets>
    <sheet name="Obsah" sheetId="153" r:id="rId1"/>
    <sheet name="MMF_TABULKA" sheetId="193" r:id="rId2"/>
    <sheet name="Graf 1 + 2" sheetId="16" r:id="rId3"/>
    <sheet name="Graf 3 + 4" sheetId="15" r:id="rId4"/>
    <sheet name="Graf 5 + 6" sheetId="18" r:id="rId5"/>
    <sheet name="Graf 7 + 8" sheetId="19" r:id="rId6"/>
    <sheet name="Box 1_ Graf 9_ Tabuľka 1+2" sheetId="2" r:id="rId7"/>
    <sheet name="Graf 10" sheetId="20" r:id="rId8"/>
    <sheet name="Graf 11 " sheetId="139" r:id="rId9"/>
    <sheet name="Graf 12" sheetId="181" r:id="rId10"/>
    <sheet name="Tabuľka 3" sheetId="102" r:id="rId11"/>
    <sheet name="Tabuľka 4" sheetId="164" r:id="rId12"/>
    <sheet name="BOX 3 _ graf 13 + 14 _ Tab5" sheetId="155" r:id="rId13"/>
    <sheet name="Graf 15 + 16 + Tab 6" sheetId="165" r:id="rId14"/>
    <sheet name="Tabuľka 7 " sheetId="106" r:id="rId15"/>
    <sheet name="Tabuľka 8" sheetId="107" r:id="rId16"/>
    <sheet name="Graf 17" sheetId="31" r:id="rId17"/>
    <sheet name="Graf 18" sheetId="32" r:id="rId18"/>
    <sheet name="Box 5_Graf 19" sheetId="30" r:id="rId19"/>
    <sheet name="Box 6 _ Tab 9 + Graf 20" sheetId="142" r:id="rId20"/>
    <sheet name="Graf 21 + 22" sheetId="143" r:id="rId21"/>
    <sheet name="Graf 23 + 24" sheetId="166" r:id="rId22"/>
    <sheet name="Graf 25 + 26" sheetId="167" r:id="rId23"/>
    <sheet name="Graf 27 + 28" sheetId="168" r:id="rId24"/>
    <sheet name="Graf 29 + 30" sheetId="169" r:id="rId25"/>
    <sheet name="Graf 31 + 32" sheetId="151" r:id="rId26"/>
    <sheet name="Graf 33 + Tabuľka 10" sheetId="154" r:id="rId27"/>
    <sheet name="Graf 34" sheetId="170" r:id="rId28"/>
    <sheet name="Tabuľka 11" sheetId="122" r:id="rId29"/>
    <sheet name="Tabuľka 12" sheetId="123" r:id="rId30"/>
    <sheet name="Box 10_tabuľka 13" sheetId="126" r:id="rId31"/>
    <sheet name="Tabuľka 14" sheetId="127" r:id="rId32"/>
    <sheet name="Graf 35 + 36" sheetId="128" r:id="rId33"/>
    <sheet name="BOX 11_Tabuľka 15" sheetId="171" r:id="rId34"/>
    <sheet name="Box 11_Graf 37 + 38" sheetId="129" r:id="rId35"/>
    <sheet name="Graf 39" sheetId="182" r:id="rId36"/>
    <sheet name="Tabuľka 16" sheetId="183" r:id="rId37"/>
    <sheet name="Tabuľka 17" sheetId="184" r:id="rId38"/>
    <sheet name="Graf 40 + 41 + 42" sheetId="185" r:id="rId39"/>
    <sheet name="Tabuľka 18 " sheetId="186" r:id="rId40"/>
    <sheet name="Graf 43 + 44" sheetId="187" r:id="rId41"/>
    <sheet name="Graf 45 + 46" sheetId="188" r:id="rId42"/>
    <sheet name="Tabuľka 19" sheetId="189" r:id="rId43"/>
    <sheet name="Graf 47 + 48" sheetId="190" r:id="rId44"/>
    <sheet name="Graf 49 + 50" sheetId="191" r:id="rId45"/>
    <sheet name="Tabuľka 20 " sheetId="192" r:id="rId46"/>
    <sheet name="Tabuľka 21" sheetId="134" r:id="rId47"/>
    <sheet name="Tabuľka 22" sheetId="135" r:id="rId48"/>
    <sheet name="Graf 51 + 52" sheetId="158" r:id="rId49"/>
  </sheets>
  <externalReferences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</externalReferences>
  <definedNames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>#REF!</definedName>
    <definedName name="\B" localSheetId="21">#REF!</definedName>
    <definedName name="\B">#REF!</definedName>
    <definedName name="\C" localSheetId="21">#REF!</definedName>
    <definedName name="\C">#REF!</definedName>
    <definedName name="\D" localSheetId="21">#REF!</definedName>
    <definedName name="\D">#REF!</definedName>
    <definedName name="\E" localSheetId="21">#REF!</definedName>
    <definedName name="\E">#REF!</definedName>
    <definedName name="\F" localSheetId="21">#REF!</definedName>
    <definedName name="\F">#REF!</definedName>
    <definedName name="\G" localSheetId="21">#REF!</definedName>
    <definedName name="\G">#REF!</definedName>
    <definedName name="\H" localSheetId="21">#REF!</definedName>
    <definedName name="\H">#REF!</definedName>
    <definedName name="\I" localSheetId="21">#REF!</definedName>
    <definedName name="\I">#REF!</definedName>
    <definedName name="\J" localSheetId="21">#REF!</definedName>
    <definedName name="\J">#REF!</definedName>
    <definedName name="\K" localSheetId="21">#REF!</definedName>
    <definedName name="\K">#REF!</definedName>
    <definedName name="\L" localSheetId="21">#REF!</definedName>
    <definedName name="\L">#REF!</definedName>
    <definedName name="\M" localSheetId="21">#REF!</definedName>
    <definedName name="\M">#REF!</definedName>
    <definedName name="\N" localSheetId="21">#REF!</definedName>
    <definedName name="\N">#REF!</definedName>
    <definedName name="\O" localSheetId="21">#REF!</definedName>
    <definedName name="\O">#REF!</definedName>
    <definedName name="\P" localSheetId="21">#REF!</definedName>
    <definedName name="\P">#REF!</definedName>
    <definedName name="\Q" localSheetId="21">#REF!</definedName>
    <definedName name="\Q">#REF!</definedName>
    <definedName name="\R" localSheetId="21">#REF!</definedName>
    <definedName name="\R">#REF!</definedName>
    <definedName name="\S" localSheetId="21">#REF!</definedName>
    <definedName name="\S">#REF!</definedName>
    <definedName name="\T" localSheetId="21">#REF!</definedName>
    <definedName name="\T">#REF!</definedName>
    <definedName name="\U" localSheetId="21">#REF!</definedName>
    <definedName name="\U">#REF!</definedName>
    <definedName name="\V" localSheetId="21">#REF!</definedName>
    <definedName name="\V">#REF!</definedName>
    <definedName name="\W" localSheetId="21">#REF!</definedName>
    <definedName name="\W">#REF!</definedName>
    <definedName name="\X" localSheetId="21">#REF!</definedName>
    <definedName name="\X">#REF!</definedName>
    <definedName name="\Y" localSheetId="21">#REF!</definedName>
    <definedName name="\Y">#REF!</definedName>
    <definedName name="\Z" localSheetId="21">#REF!</definedName>
    <definedName name="\Z">#REF!</definedName>
    <definedName name="_____BOP2">[1]BoP!#REF!</definedName>
    <definedName name="_____dat1">'[2]work Q real'!#REF!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'[3]Annual Tables'!#REF!</definedName>
    <definedName name="_____PAG2">[3]Index!#REF!</definedName>
    <definedName name="_____PAG3">[3]Index!#REF!</definedName>
    <definedName name="_____PAG4">[3]Index!#REF!</definedName>
    <definedName name="_____PAG5">[3]Index!#REF!</definedName>
    <definedName name="_____PAG6">[3]Index!#REF!</definedName>
    <definedName name="_____RES2">[1]RES!#REF!</definedName>
    <definedName name="_____TAB7">#REF!</definedName>
    <definedName name="____BOP1">#REF!</definedName>
    <definedName name="____BOP2">[1]BoP!#REF!</definedName>
    <definedName name="____dat1">'[2]work Q real'!#REF!</definedName>
    <definedName name="____dat2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'[3]Annual Tables'!#REF!</definedName>
    <definedName name="____OUT1">#REF!</definedName>
    <definedName name="____OUT2">#REF!</definedName>
    <definedName name="____PAG2">[3]Index!#REF!</definedName>
    <definedName name="____PAG3">[3]Index!#REF!</definedName>
    <definedName name="____PAG4">[3]Index!#REF!</definedName>
    <definedName name="____PAG5">[3]Index!#REF!</definedName>
    <definedName name="____PAG6">[3]Index!#REF!</definedName>
    <definedName name="____PAG7">#REF!</definedName>
    <definedName name="____pro2001">[4]pro2001!$A$1:$B$72</definedName>
    <definedName name="____RES2">[1]RES!#REF!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WEO1">#REF!</definedName>
    <definedName name="____WEO2">#REF!</definedName>
    <definedName name="___BOP1">#REF!</definedName>
    <definedName name="___BOP2">[1]BoP!#REF!</definedName>
    <definedName name="___dat1">'[2]work Q real'!#REF!</definedName>
    <definedName name="___dat2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'[3]Annual Tables'!#REF!</definedName>
    <definedName name="___OUT1">#REF!</definedName>
    <definedName name="___OUT2">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PAG7">#REF!</definedName>
    <definedName name="___pro2001">[4]pro2001!$A$1:$B$72</definedName>
    <definedName name="___RES2">[1]RES!#REF!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WEO1">#REF!</definedName>
    <definedName name="___WEO2">#REF!</definedName>
    <definedName name="__123Graph_A" localSheetId="21" hidden="1">#REF!</definedName>
    <definedName name="__123Graph_A" localSheetId="48" hidden="1">#REF!</definedName>
    <definedName name="__123Graph_A" hidden="1">#REF!</definedName>
    <definedName name="__123Graph_AEXP" hidden="1">#REF!</definedName>
    <definedName name="__123Graph_ATEST1" localSheetId="9" hidden="1">[5]REER!$AZ$144:$AZ$210</definedName>
    <definedName name="__123Graph_ATEST1" localSheetId="21" hidden="1">[6]REER!$AZ$144:$AZ$210</definedName>
    <definedName name="__123Graph_ATEST1" hidden="1">[7]REER!$AZ$144:$AZ$210</definedName>
    <definedName name="__123Graph_B" localSheetId="8" hidden="1">#REF!</definedName>
    <definedName name="__123Graph_B" localSheetId="9" hidden="1">#REF!</definedName>
    <definedName name="__123Graph_B" localSheetId="21" hidden="1">#REF!</definedName>
    <definedName name="__123Graph_B" localSheetId="48" hidden="1">#REF!</definedName>
    <definedName name="__123Graph_B" hidden="1">#REF!</definedName>
    <definedName name="__123Graph_BCurrent" localSheetId="8" hidden="1">[8]G!#REF!</definedName>
    <definedName name="__123Graph_BCurrent" localSheetId="9" hidden="1">[8]G!#REF!</definedName>
    <definedName name="__123Graph_BCurrent" localSheetId="21" hidden="1">[8]G!#REF!</definedName>
    <definedName name="__123Graph_BCurrent" localSheetId="48" hidden="1">[8]G!#REF!</definedName>
    <definedName name="__123Graph_BCurrent" hidden="1">[8]G!#REF!</definedName>
    <definedName name="__123Graph_BGDP" hidden="1">'[9]Quarterly Program'!#REF!</definedName>
    <definedName name="__123Graph_BMONEY" hidden="1">'[9]Quarterly Program'!#REF!</definedName>
    <definedName name="__123Graph_BREER3" localSheetId="9" hidden="1">[5]REER!$BB$144:$BB$212</definedName>
    <definedName name="__123Graph_BREER3" localSheetId="21" hidden="1">[6]REER!$BB$144:$BB$212</definedName>
    <definedName name="__123Graph_BREER3" hidden="1">[7]REER!$BB$144:$BB$212</definedName>
    <definedName name="__123Graph_BTEST1" localSheetId="9" hidden="1">[5]REER!$AY$144:$AY$210</definedName>
    <definedName name="__123Graph_BTEST1" localSheetId="21" hidden="1">[6]REER!$AY$144:$AY$210</definedName>
    <definedName name="__123Graph_BTEST1" hidden="1">[7]REER!$AY$144:$AY$210</definedName>
    <definedName name="__123Graph_CREER3" localSheetId="9" hidden="1">[5]REER!$BB$144:$BB$212</definedName>
    <definedName name="__123Graph_CREER3" localSheetId="21" hidden="1">[6]REER!$BB$144:$BB$212</definedName>
    <definedName name="__123Graph_CREER3" hidden="1">[7]REER!$BB$144:$BB$212</definedName>
    <definedName name="__123Graph_CTEST1" localSheetId="9" hidden="1">[5]REER!$BK$140:$BK$140</definedName>
    <definedName name="__123Graph_CTEST1" localSheetId="21" hidden="1">[6]REER!$BK$140:$BK$140</definedName>
    <definedName name="__123Graph_CTEST1" hidden="1">[7]REER!$BK$140:$BK$140</definedName>
    <definedName name="__123Graph_DREER3" localSheetId="9" hidden="1">[5]REER!$BB$144:$BB$210</definedName>
    <definedName name="__123Graph_DREER3" localSheetId="21" hidden="1">[6]REER!$BB$144:$BB$210</definedName>
    <definedName name="__123Graph_DREER3" hidden="1">[7]REER!$BB$144:$BB$210</definedName>
    <definedName name="__123Graph_DTEST1" localSheetId="9" hidden="1">[5]REER!$BB$144:$BB$210</definedName>
    <definedName name="__123Graph_DTEST1" localSheetId="21" hidden="1">[6]REER!$BB$144:$BB$210</definedName>
    <definedName name="__123Graph_DTEST1" hidden="1">[7]REER!$BB$144:$BB$210</definedName>
    <definedName name="__123Graph_EREER3" localSheetId="9" hidden="1">[5]REER!$BR$144:$BR$211</definedName>
    <definedName name="__123Graph_EREER3" localSheetId="21" hidden="1">[6]REER!$BR$144:$BR$211</definedName>
    <definedName name="__123Graph_EREER3" hidden="1">[7]REER!$BR$144:$BR$211</definedName>
    <definedName name="__123Graph_ETEST1" localSheetId="9" hidden="1">[5]REER!$BR$144:$BR$211</definedName>
    <definedName name="__123Graph_ETEST1" localSheetId="21" hidden="1">[6]REER!$BR$144:$BR$211</definedName>
    <definedName name="__123Graph_ETEST1" hidden="1">[7]REER!$BR$144:$BR$211</definedName>
    <definedName name="__123Graph_FREER3" localSheetId="9" hidden="1">[5]REER!$BN$140:$BN$140</definedName>
    <definedName name="__123Graph_FREER3" localSheetId="21" hidden="1">[6]REER!$BN$140:$BN$140</definedName>
    <definedName name="__123Graph_FREER3" hidden="1">[7]REER!$BN$140:$BN$140</definedName>
    <definedName name="__123Graph_FTEST1" localSheetId="9" hidden="1">[5]REER!$BN$140:$BN$140</definedName>
    <definedName name="__123Graph_FTEST1" localSheetId="21" hidden="1">[6]REER!$BN$140:$BN$140</definedName>
    <definedName name="__123Graph_FTEST1" hidden="1">[7]REER!$BN$140:$BN$140</definedName>
    <definedName name="__123Graph_X" localSheetId="8" hidden="1">'[10]i2-KA'!#REF!</definedName>
    <definedName name="__123Graph_X" localSheetId="9" hidden="1">'[10]i2-KA'!#REF!</definedName>
    <definedName name="__123Graph_X" localSheetId="21" hidden="1">'[10]i2-KA'!#REF!</definedName>
    <definedName name="__123Graph_X" localSheetId="22" hidden="1">'[10]i2-KA'!#REF!</definedName>
    <definedName name="__123Graph_X" localSheetId="23" hidden="1">'[10]i2-KA'!#REF!</definedName>
    <definedName name="__123Graph_X" localSheetId="24" hidden="1">'[10]i2-KA'!#REF!</definedName>
    <definedName name="__123Graph_X" localSheetId="48" hidden="1">'[10]i2-KA'!#REF!</definedName>
    <definedName name="__123Graph_X" hidden="1">'[10]i2-KA'!#REF!</definedName>
    <definedName name="__123Graph_XCurrent" localSheetId="8" hidden="1">'[10]i2-KA'!#REF!</definedName>
    <definedName name="__123Graph_XCurrent" localSheetId="21" hidden="1">'[10]i2-KA'!#REF!</definedName>
    <definedName name="__123Graph_XCurrent" localSheetId="48" hidden="1">'[10]i2-KA'!#REF!</definedName>
    <definedName name="__123Graph_XCurrent" hidden="1">'[10]i2-KA'!#REF!</definedName>
    <definedName name="__123Graph_XEXP" hidden="1">[11]EdssGeeGAS!#REF!</definedName>
    <definedName name="__123Graph_XChart1" localSheetId="21" hidden="1">'[10]i2-KA'!#REF!</definedName>
    <definedName name="__123Graph_XChart1" localSheetId="48" hidden="1">'[10]i2-KA'!#REF!</definedName>
    <definedName name="__123Graph_XChart1" hidden="1">'[10]i2-KA'!#REF!</definedName>
    <definedName name="__123Graph_XChart2" localSheetId="21" hidden="1">'[10]i2-KA'!#REF!</definedName>
    <definedName name="__123Graph_XChart2" localSheetId="48" hidden="1">'[10]i2-KA'!#REF!</definedName>
    <definedName name="__123Graph_XChart2" hidden="1">'[10]i2-KA'!#REF!</definedName>
    <definedName name="__123Graph_XTEST1" localSheetId="9" hidden="1">[5]REER!$C$9:$C$75</definedName>
    <definedName name="__123Graph_XTEST1" localSheetId="21" hidden="1">[6]REER!$C$9:$C$75</definedName>
    <definedName name="__123Graph_XTEST1" hidden="1">[7]REER!$C$9:$C$75</definedName>
    <definedName name="__BOP1" localSheetId="21">#REF!</definedName>
    <definedName name="__BOP1" localSheetId="22">#REF!</definedName>
    <definedName name="__BOP1" localSheetId="23">#REF!</definedName>
    <definedName name="__BOP1" localSheetId="24">#REF!</definedName>
    <definedName name="__BOP1">#REF!</definedName>
    <definedName name="__BOP2" localSheetId="21">[1]BoP!#REF!</definedName>
    <definedName name="__BOP2">[1]BoP!#REF!</definedName>
    <definedName name="__dat1" localSheetId="21">'[2]work Q real'!#REF!</definedName>
    <definedName name="__dat1" localSheetId="22">'[2]work Q real'!#REF!</definedName>
    <definedName name="__dat1" localSheetId="23">'[2]work Q real'!#REF!</definedName>
    <definedName name="__dat1" localSheetId="24">'[2]work Q real'!#REF!</definedName>
    <definedName name="__dat1">'[2]work Q real'!#REF!</definedName>
    <definedName name="__dat2" localSheetId="21">#REF!</definedName>
    <definedName name="__dat2" localSheetId="22">#REF!</definedName>
    <definedName name="__dat2" localSheetId="23">#REF!</definedName>
    <definedName name="__dat2" localSheetId="24">#REF!</definedName>
    <definedName name="__dat2">#REF!</definedName>
    <definedName name="__EXP5" localSheetId="21">#REF!</definedName>
    <definedName name="__EXP5" localSheetId="22">#REF!</definedName>
    <definedName name="__EXP5" localSheetId="23">#REF!</definedName>
    <definedName name="__EXP5" localSheetId="24">#REF!</definedName>
    <definedName name="__EXP5">#REF!</definedName>
    <definedName name="__EXP6" localSheetId="21">#REF!</definedName>
    <definedName name="__EXP6" localSheetId="22">#REF!</definedName>
    <definedName name="__EXP6" localSheetId="23">#REF!</definedName>
    <definedName name="__EXP6" localSheetId="24">#REF!</definedName>
    <definedName name="__EXP6">#REF!</definedName>
    <definedName name="__EXP7" localSheetId="21">#REF!</definedName>
    <definedName name="__EXP7">#REF!</definedName>
    <definedName name="__EXP9" localSheetId="21">#REF!</definedName>
    <definedName name="__EXP9">#REF!</definedName>
    <definedName name="__IMP10">#REF!</definedName>
    <definedName name="__IMP2" localSheetId="21">#REF!</definedName>
    <definedName name="__IMP2">#REF!</definedName>
    <definedName name="__IMP4" localSheetId="21">#REF!</definedName>
    <definedName name="__IMP4">#REF!</definedName>
    <definedName name="__IMP6" localSheetId="21">#REF!</definedName>
    <definedName name="__IMP6">#REF!</definedName>
    <definedName name="__IMP7" localSheetId="21">#REF!</definedName>
    <definedName name="__IMP7">#REF!</definedName>
    <definedName name="__IMP8">#REF!</definedName>
    <definedName name="__MTS2" localSheetId="21">'[3]Annual Tables'!#REF!</definedName>
    <definedName name="__MTS2">'[3]Annual Tables'!#REF!</definedName>
    <definedName name="__OUT1" localSheetId="21">#REF!</definedName>
    <definedName name="__OUT1" localSheetId="22">#REF!</definedName>
    <definedName name="__OUT1" localSheetId="23">#REF!</definedName>
    <definedName name="__OUT1" localSheetId="24">#REF!</definedName>
    <definedName name="__OUT1">#REF!</definedName>
    <definedName name="__OUT2" localSheetId="21">#REF!</definedName>
    <definedName name="__OUT2" localSheetId="22">#REF!</definedName>
    <definedName name="__OUT2" localSheetId="23">#REF!</definedName>
    <definedName name="__OUT2" localSheetId="24">#REF!</definedName>
    <definedName name="__OUT2">#REF!</definedName>
    <definedName name="__PAG2" localSheetId="21">[3]Index!#REF!</definedName>
    <definedName name="__PAG2" localSheetId="22">[3]Index!#REF!</definedName>
    <definedName name="__PAG2" localSheetId="23">[3]Index!#REF!</definedName>
    <definedName name="__PAG2" localSheetId="24">[3]Index!#REF!</definedName>
    <definedName name="__PAG2">[3]Index!#REF!</definedName>
    <definedName name="__PAG3" localSheetId="21">[3]Index!#REF!</definedName>
    <definedName name="__PAG3" localSheetId="22">[3]Index!#REF!</definedName>
    <definedName name="__PAG3" localSheetId="23">[3]Index!#REF!</definedName>
    <definedName name="__PAG3" localSheetId="24">[3]Index!#REF!</definedName>
    <definedName name="__PAG3">[3]Index!#REF!</definedName>
    <definedName name="__PAG4" localSheetId="21">[3]Index!#REF!</definedName>
    <definedName name="__PAG4">[3]Index!#REF!</definedName>
    <definedName name="__PAG5" localSheetId="21">[3]Index!#REF!</definedName>
    <definedName name="__PAG5">[3]Index!#REF!</definedName>
    <definedName name="__PAG6" localSheetId="21">[3]Index!#REF!</definedName>
    <definedName name="__PAG6">[3]Index!#REF!</definedName>
    <definedName name="__PAG7" localSheetId="21">#REF!</definedName>
    <definedName name="__PAG7" localSheetId="22">#REF!</definedName>
    <definedName name="__PAG7" localSheetId="23">#REF!</definedName>
    <definedName name="__PAG7" localSheetId="24">#REF!</definedName>
    <definedName name="__PAG7">#REF!</definedName>
    <definedName name="__pro2001">[12]pro2001!$A$1:$B$72</definedName>
    <definedName name="__RES2" localSheetId="21">[1]RES!#REF!</definedName>
    <definedName name="__RES2" localSheetId="22">[1]RES!#REF!</definedName>
    <definedName name="__RES2" localSheetId="23">[1]RES!#REF!</definedName>
    <definedName name="__RES2" localSheetId="24">[1]RES!#REF!</definedName>
    <definedName name="__RES2">[1]RES!#REF!</definedName>
    <definedName name="__TAB1" localSheetId="21">#REF!</definedName>
    <definedName name="__TAB1" localSheetId="22">#REF!</definedName>
    <definedName name="__TAB1" localSheetId="23">#REF!</definedName>
    <definedName name="__TAB1" localSheetId="24">#REF!</definedName>
    <definedName name="__TAB1">#REF!</definedName>
    <definedName name="__TAB10" localSheetId="21">#REF!</definedName>
    <definedName name="__TAB10" localSheetId="22">#REF!</definedName>
    <definedName name="__TAB10" localSheetId="23">#REF!</definedName>
    <definedName name="__TAB10" localSheetId="24">#REF!</definedName>
    <definedName name="__TAB10">#REF!</definedName>
    <definedName name="__TAB12" localSheetId="21">#REF!</definedName>
    <definedName name="__TAB12" localSheetId="22">#REF!</definedName>
    <definedName name="__TAB12" localSheetId="23">#REF!</definedName>
    <definedName name="__TAB12" localSheetId="24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 localSheetId="21">#REF!</definedName>
    <definedName name="__TAB7">#REF!</definedName>
    <definedName name="__TAB8">#REF!</definedName>
    <definedName name="__tab9">#REF!</definedName>
    <definedName name="__TB41">#REF!</definedName>
    <definedName name="__WEO1">#REF!</definedName>
    <definedName name="__WEO2">#REF!</definedName>
    <definedName name="_1_123Graph_A" hidden="1">#REF!</definedName>
    <definedName name="_10__123Graph_ACHART_2" hidden="1">'[13]Employment Data Sectors (wages)'!$A$8173:$A$8184</definedName>
    <definedName name="_10__123Graph_ACHART_8" hidden="1">'[14]Employment Data Sectors (wages)'!$W$8175:$W$8186</definedName>
    <definedName name="_10__123Graph_BCHART_1" hidden="1">'[15]Employment Data Sectors (wages)'!$B$8173:$B$8184</definedName>
    <definedName name="_100__123Graph_BCHART_8" localSheetId="21" hidden="1">'[16]Employment Data Sectors (wages)'!$W$13:$W$8187</definedName>
    <definedName name="_100__123Graph_BCHART_8" hidden="1">'[17]Employment Data Sectors (wages)'!$W$13:$W$8187</definedName>
    <definedName name="_102__123Graph_CCHART_1" localSheetId="21" hidden="1">'[18]Employment Data Sectors (wages)'!$C$8173:$C$8184</definedName>
    <definedName name="_105__123Graph_CCHART_1" localSheetId="21" hidden="1">'[16]Employment Data Sectors (wages)'!$C$8173:$C$8184</definedName>
    <definedName name="_105__123Graph_CCHART_1" hidden="1">'[17]Employment Data Sectors (wages)'!$C$8173:$C$8184</definedName>
    <definedName name="_107__123Graph_CCHART_2" localSheetId="21" hidden="1">'[18]Employment Data Sectors (wages)'!$C$8173:$C$8184</definedName>
    <definedName name="_11__123Graph_BCHART_1" hidden="1">'[14]Employment Data Sectors (wages)'!$B$8173:$B$8184</definedName>
    <definedName name="_11__123Graph_BCHART_2" hidden="1">'[15]Employment Data Sectors (wages)'!$B$8173:$B$8184</definedName>
    <definedName name="_110__123Graph_CCHART_2" localSheetId="21" hidden="1">'[16]Employment Data Sectors (wages)'!$C$8173:$C$8184</definedName>
    <definedName name="_110__123Graph_CCHART_2" hidden="1">'[17]Employment Data Sectors (wages)'!$C$8173:$C$8184</definedName>
    <definedName name="_112__123Graph_CCHART_3" localSheetId="21" hidden="1">'[18]Employment Data Sectors (wages)'!$C$11:$C$8185</definedName>
    <definedName name="_115__123Graph_CCHART_3" localSheetId="21" hidden="1">'[16]Employment Data Sectors (wages)'!$C$11:$C$8185</definedName>
    <definedName name="_115__123Graph_CCHART_3" hidden="1">'[17]Employment Data Sectors (wages)'!$C$11:$C$8185</definedName>
    <definedName name="_117__123Graph_CCHART_4" localSheetId="21" hidden="1">'[18]Employment Data Sectors (wages)'!$C$12:$C$23</definedName>
    <definedName name="_12__123Graph_ACHART_3" hidden="1">'[13]Employment Data Sectors (wages)'!$A$11:$A$8185</definedName>
    <definedName name="_12__123Graph_BCHART_2" hidden="1">'[14]Employment Data Sectors (wages)'!$B$8173:$B$8184</definedName>
    <definedName name="_12__123Graph_BCHART_3" hidden="1">'[15]Employment Data Sectors (wages)'!$B$11:$B$8185</definedName>
    <definedName name="_120__123Graph_CCHART_4" localSheetId="21" hidden="1">'[16]Employment Data Sectors (wages)'!$C$12:$C$23</definedName>
    <definedName name="_120__123Graph_CCHART_4" hidden="1">'[17]Employment Data Sectors (wages)'!$C$12:$C$23</definedName>
    <definedName name="_122__123Graph_CCHART_5" localSheetId="21" hidden="1">'[18]Employment Data Sectors (wages)'!$C$24:$C$35</definedName>
    <definedName name="_123Graph_AB" localSheetId="8" hidden="1">#REF!</definedName>
    <definedName name="_123Graph_AB" localSheetId="9" hidden="1">#REF!</definedName>
    <definedName name="_123Graph_AB" localSheetId="21" hidden="1">#REF!</definedName>
    <definedName name="_123Graph_AB" localSheetId="48" hidden="1">#REF!</definedName>
    <definedName name="_123Graph_AB" hidden="1">#REF!</definedName>
    <definedName name="_123Graph_B" localSheetId="21" hidden="1">#REF!</definedName>
    <definedName name="_123Graph_B" localSheetId="48" hidden="1">#REF!</definedName>
    <definedName name="_123Graph_B" hidden="1">#REF!</definedName>
    <definedName name="_123Graph_DB" localSheetId="21" hidden="1">#REF!</definedName>
    <definedName name="_123Graph_DB" localSheetId="48" hidden="1">#REF!</definedName>
    <definedName name="_123Graph_DB" hidden="1">#REF!</definedName>
    <definedName name="_123Graph_EB" localSheetId="21" hidden="1">#REF!</definedName>
    <definedName name="_123Graph_EB" localSheetId="48" hidden="1">#REF!</definedName>
    <definedName name="_123Graph_EB" hidden="1">#REF!</definedName>
    <definedName name="_123Graph_FB" localSheetId="21" hidden="1">#REF!</definedName>
    <definedName name="_123Graph_FB" localSheetId="48" hidden="1">#REF!</definedName>
    <definedName name="_123Graph_FB" hidden="1">#REF!</definedName>
    <definedName name="_125__123Graph_CCHART_5" localSheetId="21" hidden="1">'[16]Employment Data Sectors (wages)'!$C$24:$C$35</definedName>
    <definedName name="_125__123Graph_CCHART_5" hidden="1">'[17]Employment Data Sectors (wages)'!$C$24:$C$35</definedName>
    <definedName name="_127__123Graph_CCHART_6" localSheetId="21" hidden="1">'[18]Employment Data Sectors (wages)'!$U$49:$U$8103</definedName>
    <definedName name="_13__123Graph_BCHART_3" hidden="1">'[14]Employment Data Sectors (wages)'!$B$11:$B$8185</definedName>
    <definedName name="_13__123Graph_BCHART_4" hidden="1">'[15]Employment Data Sectors (wages)'!$B$12:$B$23</definedName>
    <definedName name="_130__123Graph_CCHART_6" localSheetId="21" hidden="1">'[16]Employment Data Sectors (wages)'!$U$49:$U$8103</definedName>
    <definedName name="_130__123Graph_CCHART_6" hidden="1">'[17]Employment Data Sectors (wages)'!$U$49:$U$8103</definedName>
    <definedName name="_132__123Graph_CCHART_7" localSheetId="21" hidden="1">'[18]Employment Data Sectors (wages)'!$Y$14:$Y$25</definedName>
    <definedName name="_132Graph_CB" localSheetId="8" hidden="1">#REF!</definedName>
    <definedName name="_132Graph_CB" localSheetId="21" hidden="1">#REF!</definedName>
    <definedName name="_132Graph_CB" localSheetId="48" hidden="1">#REF!</definedName>
    <definedName name="_132Graph_CB" hidden="1">#REF!</definedName>
    <definedName name="_135__123Graph_CCHART_7" localSheetId="21" hidden="1">'[16]Employment Data Sectors (wages)'!$Y$14:$Y$25</definedName>
    <definedName name="_135__123Graph_CCHART_7" hidden="1">'[17]Employment Data Sectors (wages)'!$Y$14:$Y$25</definedName>
    <definedName name="_137__123Graph_CCHART_8" localSheetId="21" hidden="1">'[18]Employment Data Sectors (wages)'!$W$14:$W$25</definedName>
    <definedName name="_14__123Graph_ACHART_4" hidden="1">'[13]Employment Data Sectors (wages)'!$A$12:$A$23</definedName>
    <definedName name="_14__123Graph_BCHART_4" hidden="1">'[14]Employment Data Sectors (wages)'!$B$12:$B$23</definedName>
    <definedName name="_14__123Graph_BCHART_5" hidden="1">'[15]Employment Data Sectors (wages)'!$B$24:$B$35</definedName>
    <definedName name="_140__123Graph_CCHART_8" localSheetId="21" hidden="1">'[16]Employment Data Sectors (wages)'!$W$14:$W$25</definedName>
    <definedName name="_140__123Graph_CCHART_8" hidden="1">'[17]Employment Data Sectors (wages)'!$W$14:$W$25</definedName>
    <definedName name="_142__123Graph_DCHART_7" localSheetId="21" hidden="1">'[18]Employment Data Sectors (wages)'!$Y$26:$Y$37</definedName>
    <definedName name="_145__123Graph_DCHART_7" localSheetId="21" hidden="1">'[16]Employment Data Sectors (wages)'!$Y$26:$Y$37</definedName>
    <definedName name="_145__123Graph_DCHART_7" hidden="1">'[17]Employment Data Sectors (wages)'!$Y$26:$Y$37</definedName>
    <definedName name="_147__123Graph_DCHART_8" localSheetId="21" hidden="1">'[18]Employment Data Sectors (wages)'!$W$26:$W$37</definedName>
    <definedName name="_15__123Graph_BCHART_5" hidden="1">'[14]Employment Data Sectors (wages)'!$B$24:$B$35</definedName>
    <definedName name="_15__123Graph_BCHART_6" hidden="1">'[15]Employment Data Sectors (wages)'!$AS$49:$AS$8103</definedName>
    <definedName name="_150__123Graph_DCHART_8" localSheetId="21" hidden="1">'[16]Employment Data Sectors (wages)'!$W$26:$W$37</definedName>
    <definedName name="_150__123Graph_DCHART_8" hidden="1">'[17]Employment Data Sectors (wages)'!$W$26:$W$37</definedName>
    <definedName name="_152__123Graph_ECHART_7" localSheetId="21" hidden="1">'[18]Employment Data Sectors (wages)'!$Y$38:$Y$49</definedName>
    <definedName name="_155__123Graph_ECHART_7" localSheetId="21" hidden="1">'[16]Employment Data Sectors (wages)'!$Y$38:$Y$49</definedName>
    <definedName name="_155__123Graph_ECHART_7" hidden="1">'[17]Employment Data Sectors (wages)'!$Y$38:$Y$49</definedName>
    <definedName name="_157__123Graph_ECHART_8" localSheetId="21" hidden="1">'[18]Employment Data Sectors (wages)'!$H$86:$H$99</definedName>
    <definedName name="_16__123Graph_ACHART_5" hidden="1">'[13]Employment Data Sectors (wages)'!$A$24:$A$35</definedName>
    <definedName name="_16__123Graph_BCHART_6" hidden="1">'[14]Employment Data Sectors (wages)'!$AS$49:$AS$8103</definedName>
    <definedName name="_16__123Graph_BCHART_7" hidden="1">'[15]Employment Data Sectors (wages)'!$Y$13:$Y$8187</definedName>
    <definedName name="_160__123Graph_ECHART_8" localSheetId="21" hidden="1">'[16]Employment Data Sectors (wages)'!$H$86:$H$99</definedName>
    <definedName name="_160__123Graph_ECHART_8" hidden="1">'[17]Employment Data Sectors (wages)'!$H$86:$H$99</definedName>
    <definedName name="_162__123Graph_FCHART_8" localSheetId="21" hidden="1">'[18]Employment Data Sectors (wages)'!$H$6:$H$17</definedName>
    <definedName name="_165__123Graph_FCHART_8" localSheetId="21" hidden="1">'[16]Employment Data Sectors (wages)'!$H$6:$H$17</definedName>
    <definedName name="_165__123Graph_FCHART_8" hidden="1">'[17]Employment Data Sectors (wages)'!$H$6:$H$17</definedName>
    <definedName name="_17__123Graph_BCHART_7" hidden="1">'[14]Employment Data Sectors (wages)'!$Y$13:$Y$8187</definedName>
    <definedName name="_17__123Graph_BCHART_8" hidden="1">'[15]Employment Data Sectors (wages)'!$W$13:$W$8187</definedName>
    <definedName name="_18__123Graph_ACHART_6" hidden="1">'[13]Employment Data Sectors (wages)'!$Y$49:$Y$8103</definedName>
    <definedName name="_18__123Graph_BCHART_8" hidden="1">'[14]Employment Data Sectors (wages)'!$W$13:$W$8187</definedName>
    <definedName name="_18__123Graph_CCHART_1" hidden="1">'[15]Employment Data Sectors (wages)'!$C$8173:$C$8184</definedName>
    <definedName name="_19__123Graph_CCHART_1" hidden="1">'[14]Employment Data Sectors (wages)'!$C$8173:$C$8184</definedName>
    <definedName name="_19__123Graph_CCHART_2" hidden="1">'[15]Employment Data Sectors (wages)'!$C$8173:$C$8184</definedName>
    <definedName name="_1992BOPB" localSheetId="21">#REF!</definedName>
    <definedName name="_1992BOPB" localSheetId="22">#REF!</definedName>
    <definedName name="_1992BOPB" localSheetId="23">#REF!</definedName>
    <definedName name="_1992BOPB" localSheetId="24">#REF!</definedName>
    <definedName name="_1992BOPB">#REF!</definedName>
    <definedName name="_1Macros_Import_.qbop">[19]!'[Macros Import].qbop'</definedName>
    <definedName name="_2__123Graph_ACHART_1" hidden="1">'[15]Employment Data Sectors (wages)'!$A$8173:$A$8184</definedName>
    <definedName name="_20__123Graph_ACHART_7" hidden="1">'[13]Employment Data Sectors (wages)'!$Y$8175:$Y$8186</definedName>
    <definedName name="_20__123Graph_CCHART_2" hidden="1">'[14]Employment Data Sectors (wages)'!$C$8173:$C$8184</definedName>
    <definedName name="_20__123Graph_CCHART_3" hidden="1">'[15]Employment Data Sectors (wages)'!$C$11:$C$8185</definedName>
    <definedName name="_20Macros_Import_.qbop">[19]!'[Macros Import].qbop'</definedName>
    <definedName name="_21__123Graph_CCHART_3" hidden="1">'[14]Employment Data Sectors (wages)'!$C$11:$C$8185</definedName>
    <definedName name="_21__123Graph_CCHART_4" hidden="1">'[15]Employment Data Sectors (wages)'!$C$12:$C$23</definedName>
    <definedName name="_22__123Graph_ACHART_1" localSheetId="21" hidden="1">'[18]Employment Data Sectors (wages)'!$A$8173:$A$8184</definedName>
    <definedName name="_22__123Graph_ACHART_8" hidden="1">'[13]Employment Data Sectors (wages)'!$W$8175:$W$8186</definedName>
    <definedName name="_22__123Graph_CCHART_4" hidden="1">'[14]Employment Data Sectors (wages)'!$C$12:$C$23</definedName>
    <definedName name="_22__123Graph_CCHART_5" hidden="1">'[15]Employment Data Sectors (wages)'!$C$24:$C$35</definedName>
    <definedName name="_23__123Graph_CCHART_5" hidden="1">'[14]Employment Data Sectors (wages)'!$C$24:$C$35</definedName>
    <definedName name="_23__123Graph_CCHART_6" hidden="1">'[15]Employment Data Sectors (wages)'!$U$49:$U$8103</definedName>
    <definedName name="_24__123Graph_BCHART_1" hidden="1">'[13]Employment Data Sectors (wages)'!$B$8173:$B$8184</definedName>
    <definedName name="_24__123Graph_CCHART_6" hidden="1">'[14]Employment Data Sectors (wages)'!$U$49:$U$8103</definedName>
    <definedName name="_24__123Graph_CCHART_7" hidden="1">'[15]Employment Data Sectors (wages)'!$Y$14:$Y$25</definedName>
    <definedName name="_25__123Graph_ACHART_1" localSheetId="21" hidden="1">'[16]Employment Data Sectors (wages)'!$A$8173:$A$8184</definedName>
    <definedName name="_25__123Graph_ACHART_1" hidden="1">'[17]Employment Data Sectors (wages)'!$A$8173:$A$8184</definedName>
    <definedName name="_25__123Graph_CCHART_7" hidden="1">'[14]Employment Data Sectors (wages)'!$Y$14:$Y$25</definedName>
    <definedName name="_25__123Graph_CCHART_8" hidden="1">'[15]Employment Data Sectors (wages)'!$W$14:$W$25</definedName>
    <definedName name="_26__123Graph_BCHART_2" hidden="1">'[13]Employment Data Sectors (wages)'!$B$8173:$B$8184</definedName>
    <definedName name="_26__123Graph_CCHART_8" hidden="1">'[14]Employment Data Sectors (wages)'!$W$14:$W$25</definedName>
    <definedName name="_26__123Graph_DCHART_7" hidden="1">'[15]Employment Data Sectors (wages)'!$Y$26:$Y$37</definedName>
    <definedName name="_27__123Graph_ACHART_2" localSheetId="21" hidden="1">'[18]Employment Data Sectors (wages)'!$A$8173:$A$8184</definedName>
    <definedName name="_27__123Graph_DCHART_7" hidden="1">'[14]Employment Data Sectors (wages)'!$Y$26:$Y$37</definedName>
    <definedName name="_27__123Graph_DCHART_8" hidden="1">'[15]Employment Data Sectors (wages)'!$W$26:$W$37</definedName>
    <definedName name="_28__123Graph_BCHART_3" hidden="1">'[13]Employment Data Sectors (wages)'!$B$11:$B$8185</definedName>
    <definedName name="_28__123Graph_DCHART_8" hidden="1">'[14]Employment Data Sectors (wages)'!$W$26:$W$37</definedName>
    <definedName name="_28__123Graph_ECHART_7" hidden="1">'[15]Employment Data Sectors (wages)'!$Y$38:$Y$49</definedName>
    <definedName name="_29__123Graph_ECHART_7" hidden="1">'[14]Employment Data Sectors (wages)'!$Y$38:$Y$49</definedName>
    <definedName name="_29__123Graph_ECHART_8" hidden="1">'[15]Employment Data Sectors (wages)'!$H$86:$H$99</definedName>
    <definedName name="_2Macros_Import_.qbop">[19]!'[Macros Import].qbop'</definedName>
    <definedName name="_3__123Graph_ACHART_1" hidden="1">'[14]Employment Data Sectors (wages)'!$A$8173:$A$8184</definedName>
    <definedName name="_3__123Graph_ACHART_2" hidden="1">'[15]Employment Data Sectors (wages)'!$A$8173:$A$8184</definedName>
    <definedName name="_30__123Graph_ACHART_2" localSheetId="21" hidden="1">'[16]Employment Data Sectors (wages)'!$A$8173:$A$8184</definedName>
    <definedName name="_30__123Graph_ACHART_2" hidden="1">'[17]Employment Data Sectors (wages)'!$A$8173:$A$8184</definedName>
    <definedName name="_30__123Graph_BCHART_4" hidden="1">'[13]Employment Data Sectors (wages)'!$B$12:$B$23</definedName>
    <definedName name="_30__123Graph_ECHART_8" hidden="1">'[14]Employment Data Sectors (wages)'!$H$86:$H$99</definedName>
    <definedName name="_30__123Graph_FCHART_8" hidden="1">'[15]Employment Data Sectors (wages)'!$H$6:$H$17</definedName>
    <definedName name="_31__123Graph_FCHART_8" hidden="1">'[14]Employment Data Sectors (wages)'!$H$6:$H$17</definedName>
    <definedName name="_32__123Graph_ACHART_3" localSheetId="21" hidden="1">'[18]Employment Data Sectors (wages)'!$A$11:$A$8185</definedName>
    <definedName name="_32__123Graph_BCHART_5" hidden="1">'[13]Employment Data Sectors (wages)'!$B$24:$B$35</definedName>
    <definedName name="_34__123Graph_BCHART_6" hidden="1">'[13]Employment Data Sectors (wages)'!$AS$49:$AS$8103</definedName>
    <definedName name="_35__123Graph_ACHART_3" localSheetId="21" hidden="1">'[16]Employment Data Sectors (wages)'!$A$11:$A$8185</definedName>
    <definedName name="_35__123Graph_ACHART_3" hidden="1">'[17]Employment Data Sectors (wages)'!$A$11:$A$8185</definedName>
    <definedName name="_36__123Graph_BCHART_7" hidden="1">'[13]Employment Data Sectors (wages)'!$Y$13:$Y$8187</definedName>
    <definedName name="_37__123Graph_ACHART_4" localSheetId="21" hidden="1">'[18]Employment Data Sectors (wages)'!$A$12:$A$23</definedName>
    <definedName name="_38__123Graph_BCHART_8" hidden="1">'[13]Employment Data Sectors (wages)'!$W$13:$W$8187</definedName>
    <definedName name="_4__123Graph_ACHART_2" hidden="1">'[14]Employment Data Sectors (wages)'!$A$8173:$A$8184</definedName>
    <definedName name="_4__123Graph_ACHART_3" hidden="1">'[15]Employment Data Sectors (wages)'!$A$11:$A$8185</definedName>
    <definedName name="_40__123Graph_ACHART_4" localSheetId="21" hidden="1">'[16]Employment Data Sectors (wages)'!$A$12:$A$23</definedName>
    <definedName name="_40__123Graph_ACHART_4" hidden="1">'[17]Employment Data Sectors (wages)'!$A$12:$A$23</definedName>
    <definedName name="_40__123Graph_CCHART_1" hidden="1">'[13]Employment Data Sectors (wages)'!$C$8173:$C$8184</definedName>
    <definedName name="_42__123Graph_ACHART_5" localSheetId="21" hidden="1">'[18]Employment Data Sectors (wages)'!$A$24:$A$35</definedName>
    <definedName name="_42__123Graph_CCHART_2" hidden="1">'[13]Employment Data Sectors (wages)'!$C$8173:$C$8184</definedName>
    <definedName name="_44__123Graph_CCHART_3" hidden="1">'[13]Employment Data Sectors (wages)'!$C$11:$C$8185</definedName>
    <definedName name="_45__123Graph_ACHART_5" localSheetId="21" hidden="1">'[16]Employment Data Sectors (wages)'!$A$24:$A$35</definedName>
    <definedName name="_45__123Graph_ACHART_5" hidden="1">'[17]Employment Data Sectors (wages)'!$A$24:$A$35</definedName>
    <definedName name="_46__123Graph_CCHART_4" hidden="1">'[13]Employment Data Sectors (wages)'!$C$12:$C$23</definedName>
    <definedName name="_47__123Graph_ACHART_6" localSheetId="21" hidden="1">'[18]Employment Data Sectors (wages)'!$Y$49:$Y$8103</definedName>
    <definedName name="_48__123Graph_CCHART_5" hidden="1">'[13]Employment Data Sectors (wages)'!$C$24:$C$35</definedName>
    <definedName name="_5__123Graph_ACHART_3" hidden="1">'[14]Employment Data Sectors (wages)'!$A$11:$A$8185</definedName>
    <definedName name="_5__123Graph_ACHART_4" hidden="1">'[15]Employment Data Sectors (wages)'!$A$12:$A$23</definedName>
    <definedName name="_50__123Graph_ACHART_6" localSheetId="21" hidden="1">'[16]Employment Data Sectors (wages)'!$Y$49:$Y$8103</definedName>
    <definedName name="_50__123Graph_ACHART_6" hidden="1">'[17]Employment Data Sectors (wages)'!$Y$49:$Y$8103</definedName>
    <definedName name="_50__123Graph_CCHART_6" hidden="1">'[13]Employment Data Sectors (wages)'!$U$49:$U$8103</definedName>
    <definedName name="_52__123Graph_ACHART_7" localSheetId="21" hidden="1">'[18]Employment Data Sectors (wages)'!$Y$8175:$Y$8186</definedName>
    <definedName name="_52__123Graph_CCHART_7" hidden="1">'[13]Employment Data Sectors (wages)'!$Y$14:$Y$25</definedName>
    <definedName name="_54__123Graph_CCHART_8" hidden="1">'[13]Employment Data Sectors (wages)'!$W$14:$W$25</definedName>
    <definedName name="_55__123Graph_ACHART_7" localSheetId="21" hidden="1">'[16]Employment Data Sectors (wages)'!$Y$8175:$Y$8186</definedName>
    <definedName name="_55__123Graph_ACHART_7" hidden="1">'[17]Employment Data Sectors (wages)'!$Y$8175:$Y$8186</definedName>
    <definedName name="_56__123Graph_DCHART_7" hidden="1">'[13]Employment Data Sectors (wages)'!$Y$26:$Y$37</definedName>
    <definedName name="_57__123Graph_ACHART_8" localSheetId="21" hidden="1">'[18]Employment Data Sectors (wages)'!$W$8175:$W$8186</definedName>
    <definedName name="_58__123Graph_DCHART_8" hidden="1">'[13]Employment Data Sectors (wages)'!$W$26:$W$37</definedName>
    <definedName name="_5Macros_Import_.qbop" localSheetId="21">[19]!'[Macros Import].qbop'</definedName>
    <definedName name="_6__123Graph_ACHART_4" hidden="1">'[14]Employment Data Sectors (wages)'!$A$12:$A$23</definedName>
    <definedName name="_6__123Graph_ACHART_5" hidden="1">'[15]Employment Data Sectors (wages)'!$A$24:$A$35</definedName>
    <definedName name="_60__123Graph_ACHART_8" localSheetId="21" hidden="1">'[16]Employment Data Sectors (wages)'!$W$8175:$W$8186</definedName>
    <definedName name="_60__123Graph_ACHART_8" hidden="1">'[17]Employment Data Sectors (wages)'!$W$8175:$W$8186</definedName>
    <definedName name="_60__123Graph_ECHART_7" hidden="1">'[13]Employment Data Sectors (wages)'!$Y$38:$Y$49</definedName>
    <definedName name="_62__123Graph_BCHART_1" localSheetId="21" hidden="1">'[18]Employment Data Sectors (wages)'!$B$8173:$B$8184</definedName>
    <definedName name="_62__123Graph_ECHART_8" hidden="1">'[13]Employment Data Sectors (wages)'!$H$86:$H$99</definedName>
    <definedName name="_64__123Graph_FCHART_8" hidden="1">'[13]Employment Data Sectors (wages)'!$H$6:$H$17</definedName>
    <definedName name="_65__123Graph_BCHART_1" localSheetId="21" hidden="1">'[16]Employment Data Sectors (wages)'!$B$8173:$B$8184</definedName>
    <definedName name="_65__123Graph_BCHART_1" hidden="1">'[17]Employment Data Sectors (wages)'!$B$8173:$B$8184</definedName>
    <definedName name="_67__123Graph_BCHART_2" localSheetId="21" hidden="1">'[18]Employment Data Sectors (wages)'!$B$8173:$B$8184</definedName>
    <definedName name="_6Macros_Import_.qbop">[19]!'[Macros Import].qbop'</definedName>
    <definedName name="_7__123Graph_ACHART_5" hidden="1">'[14]Employment Data Sectors (wages)'!$A$24:$A$35</definedName>
    <definedName name="_7__123Graph_ACHART_6" hidden="1">'[15]Employment Data Sectors (wages)'!$Y$49:$Y$8103</definedName>
    <definedName name="_70__123Graph_BCHART_2" localSheetId="21" hidden="1">'[16]Employment Data Sectors (wages)'!$B$8173:$B$8184</definedName>
    <definedName name="_70__123Graph_BCHART_2" hidden="1">'[17]Employment Data Sectors (wages)'!$B$8173:$B$8184</definedName>
    <definedName name="_72__123Graph_BCHART_3" localSheetId="21" hidden="1">'[18]Employment Data Sectors (wages)'!$B$11:$B$8185</definedName>
    <definedName name="_75__123Graph_BCHART_3" localSheetId="21" hidden="1">'[16]Employment Data Sectors (wages)'!$B$11:$B$8185</definedName>
    <definedName name="_75__123Graph_BCHART_3" hidden="1">'[17]Employment Data Sectors (wages)'!$B$11:$B$8185</definedName>
    <definedName name="_77__123Graph_BCHART_4" localSheetId="21" hidden="1">'[18]Employment Data Sectors (wages)'!$B$12:$B$23</definedName>
    <definedName name="_8__123Graph_ACHART_1" hidden="1">'[13]Employment Data Sectors (wages)'!$A$8173:$A$8184</definedName>
    <definedName name="_8__123Graph_ACHART_6" hidden="1">'[14]Employment Data Sectors (wages)'!$Y$49:$Y$8103</definedName>
    <definedName name="_8__123Graph_ACHART_7" hidden="1">'[15]Employment Data Sectors (wages)'!$Y$8175:$Y$8186</definedName>
    <definedName name="_80__123Graph_BCHART_4" localSheetId="21" hidden="1">'[16]Employment Data Sectors (wages)'!$B$12:$B$23</definedName>
    <definedName name="_80__123Graph_BCHART_4" hidden="1">'[17]Employment Data Sectors (wages)'!$B$12:$B$23</definedName>
    <definedName name="_82__123Graph_BCHART_5" localSheetId="21" hidden="1">'[18]Employment Data Sectors (wages)'!$B$24:$B$35</definedName>
    <definedName name="_85__123Graph_BCHART_5" localSheetId="21" hidden="1">'[16]Employment Data Sectors (wages)'!$B$24:$B$35</definedName>
    <definedName name="_85__123Graph_BCHART_5" hidden="1">'[17]Employment Data Sectors (wages)'!$B$24:$B$35</definedName>
    <definedName name="_87__123Graph_BCHART_6" localSheetId="21" hidden="1">'[18]Employment Data Sectors (wages)'!$AS$49:$AS$8103</definedName>
    <definedName name="_9__123Graph_ACHART_7" hidden="1">'[14]Employment Data Sectors (wages)'!$Y$8175:$Y$8186</definedName>
    <definedName name="_9__123Graph_ACHART_8" hidden="1">'[15]Employment Data Sectors (wages)'!$W$8175:$W$8186</definedName>
    <definedName name="_90__123Graph_BCHART_6" localSheetId="21" hidden="1">'[16]Employment Data Sectors (wages)'!$AS$49:$AS$8103</definedName>
    <definedName name="_90__123Graph_BCHART_6" hidden="1">'[17]Employment Data Sectors (wages)'!$AS$49:$AS$8103</definedName>
    <definedName name="_92__123Graph_BCHART_7" localSheetId="21" hidden="1">'[18]Employment Data Sectors (wages)'!$Y$13:$Y$8187</definedName>
    <definedName name="_95__123Graph_BCHART_7" localSheetId="21" hidden="1">'[16]Employment Data Sectors (wages)'!$Y$13:$Y$8187</definedName>
    <definedName name="_95__123Graph_BCHART_7" hidden="1">'[17]Employment Data Sectors (wages)'!$Y$13:$Y$8187</definedName>
    <definedName name="_97__123Graph_BCHART_8" localSheetId="21" hidden="1">'[18]Employment Data Sectors (wages)'!$W$13:$W$8187</definedName>
    <definedName name="_BOP1" localSheetId="21">#REF!</definedName>
    <definedName name="_BOP1" localSheetId="22">#REF!</definedName>
    <definedName name="_BOP1" localSheetId="23">#REF!</definedName>
    <definedName name="_BOP1" localSheetId="24">#REF!</definedName>
    <definedName name="_BOP1">#REF!</definedName>
    <definedName name="_BOP2" localSheetId="21">[1]BoP!#REF!</definedName>
    <definedName name="_BOP2" localSheetId="22">[1]BoP!#REF!</definedName>
    <definedName name="_BOP2" localSheetId="23">[1]BoP!#REF!</definedName>
    <definedName name="_BOP2" localSheetId="24">[1]BoP!#REF!</definedName>
    <definedName name="_BOP2">[1]BoP!#REF!</definedName>
    <definedName name="_dat1" localSheetId="21">'[2]work Q real'!#REF!</definedName>
    <definedName name="_dat1" localSheetId="22">'[2]work Q real'!#REF!</definedName>
    <definedName name="_dat1" localSheetId="23">'[2]work Q real'!#REF!</definedName>
    <definedName name="_dat1" localSheetId="24">'[2]work Q real'!#REF!</definedName>
    <definedName name="_dat1">'[2]work Q real'!#REF!</definedName>
    <definedName name="_dat2" localSheetId="21">#REF!</definedName>
    <definedName name="_dat2" localSheetId="22">#REF!</definedName>
    <definedName name="_dat2" localSheetId="23">#REF!</definedName>
    <definedName name="_dat2" localSheetId="24">#REF!</definedName>
    <definedName name="_dat2">#REF!</definedName>
    <definedName name="_EXP5" localSheetId="21">#REF!</definedName>
    <definedName name="_EXP5" localSheetId="22">#REF!</definedName>
    <definedName name="_EXP5" localSheetId="23">#REF!</definedName>
    <definedName name="_EXP5" localSheetId="24">#REF!</definedName>
    <definedName name="_EXP5">#REF!</definedName>
    <definedName name="_EXP6" localSheetId="21">#REF!</definedName>
    <definedName name="_EXP6" localSheetId="22">#REF!</definedName>
    <definedName name="_EXP6" localSheetId="23">#REF!</definedName>
    <definedName name="_EXP6" localSheetId="24">#REF!</definedName>
    <definedName name="_EXP6">#REF!</definedName>
    <definedName name="_EXP7" localSheetId="21">#REF!</definedName>
    <definedName name="_EXP7">#REF!</definedName>
    <definedName name="_EXP9" localSheetId="21">#REF!</definedName>
    <definedName name="_EXP9">#REF!</definedName>
    <definedName name="_Fill" localSheetId="21" hidden="1">#REF!</definedName>
    <definedName name="_Fill" localSheetId="48" hidden="1">#REF!</definedName>
    <definedName name="_Fill" hidden="1">#REF!</definedName>
    <definedName name="_ftn1" localSheetId="9">'Graf 12'!$B$26</definedName>
    <definedName name="_ftnref1" localSheetId="9">'Graf 12'!$B$23</definedName>
    <definedName name="_IMP10" localSheetId="21">#REF!</definedName>
    <definedName name="_IMP10">#REF!</definedName>
    <definedName name="_IMP2" localSheetId="21">#REF!</definedName>
    <definedName name="_IMP2">#REF!</definedName>
    <definedName name="_IMP4" localSheetId="21">#REF!</definedName>
    <definedName name="_IMP4">#REF!</definedName>
    <definedName name="_IMP6" localSheetId="21">#REF!</definedName>
    <definedName name="_IMP6">#REF!</definedName>
    <definedName name="_IMP7" localSheetId="21">#REF!</definedName>
    <definedName name="_IMP7">#REF!</definedName>
    <definedName name="_IMP8" localSheetId="21">#REF!</definedName>
    <definedName name="_IMP8">#REF!</definedName>
    <definedName name="_MTS2" localSheetId="21">'[3]Annual Tables'!#REF!</definedName>
    <definedName name="_MTS2">'[3]Annual Tables'!#REF!</definedName>
    <definedName name="_Order1" hidden="1">255</definedName>
    <definedName name="_Order2" hidden="1">255</definedName>
    <definedName name="_OUT1" localSheetId="21">#REF!</definedName>
    <definedName name="_OUT1" localSheetId="22">#REF!</definedName>
    <definedName name="_OUT1" localSheetId="23">#REF!</definedName>
    <definedName name="_OUT1" localSheetId="24">#REF!</definedName>
    <definedName name="_OUT1">#REF!</definedName>
    <definedName name="_OUT2" localSheetId="21">#REF!</definedName>
    <definedName name="_OUT2" localSheetId="22">#REF!</definedName>
    <definedName name="_OUT2" localSheetId="23">#REF!</definedName>
    <definedName name="_OUT2" localSheetId="24">#REF!</definedName>
    <definedName name="_OUT2">#REF!</definedName>
    <definedName name="_PAG2" localSheetId="21">[3]Index!#REF!</definedName>
    <definedName name="_PAG2" localSheetId="22">[3]Index!#REF!</definedName>
    <definedName name="_PAG2" localSheetId="23">[3]Index!#REF!</definedName>
    <definedName name="_PAG2" localSheetId="24">[3]Index!#REF!</definedName>
    <definedName name="_PAG2">[3]Index!#REF!</definedName>
    <definedName name="_PAG3" localSheetId="21">[3]Index!#REF!</definedName>
    <definedName name="_PAG3" localSheetId="22">[3]Index!#REF!</definedName>
    <definedName name="_PAG3" localSheetId="23">[3]Index!#REF!</definedName>
    <definedName name="_PAG3" localSheetId="24">[3]Index!#REF!</definedName>
    <definedName name="_PAG3">[3]Index!#REF!</definedName>
    <definedName name="_PAG4" localSheetId="21">[3]Index!#REF!</definedName>
    <definedName name="_PAG4">[3]Index!#REF!</definedName>
    <definedName name="_PAG5" localSheetId="21">[3]Index!#REF!</definedName>
    <definedName name="_PAG5">[3]Index!#REF!</definedName>
    <definedName name="_PAG6" localSheetId="21">[3]Index!#REF!</definedName>
    <definedName name="_PAG6">[3]Index!#REF!</definedName>
    <definedName name="_PAG7" localSheetId="21">#REF!</definedName>
    <definedName name="_PAG7" localSheetId="22">#REF!</definedName>
    <definedName name="_PAG7" localSheetId="23">#REF!</definedName>
    <definedName name="_PAG7" localSheetId="24">#REF!</definedName>
    <definedName name="_PAG7">#REF!</definedName>
    <definedName name="_pro2001">[12]pro2001!$A$1:$B$72</definedName>
    <definedName name="_r13">[20]splatnosti!$V$39</definedName>
    <definedName name="_r14">[20]splatnosti!$V$40</definedName>
    <definedName name="_Ref479595191" localSheetId="38">'Graf 40 + 41 + 42'!$B$5</definedName>
    <definedName name="_Ref495057814" localSheetId="37">'Tabuľka 17'!$B$4</definedName>
    <definedName name="_Regression_X" localSheetId="8" hidden="1">#REF!</definedName>
    <definedName name="_Regression_X" localSheetId="9" hidden="1">#REF!</definedName>
    <definedName name="_Regression_X" localSheetId="21" hidden="1">#REF!</definedName>
    <definedName name="_Regression_X" localSheetId="48" hidden="1">#REF!</definedName>
    <definedName name="_Regression_X" hidden="1">#REF!</definedName>
    <definedName name="_Regression_Y" localSheetId="8" hidden="1">#REF!</definedName>
    <definedName name="_Regression_Y" localSheetId="21" hidden="1">#REF!</definedName>
    <definedName name="_Regression_Y" localSheetId="48" hidden="1">#REF!</definedName>
    <definedName name="_Regression_Y" hidden="1">#REF!</definedName>
    <definedName name="_RES2" localSheetId="21">[1]RES!#REF!</definedName>
    <definedName name="_RES2">[1]RES!#REF!</definedName>
    <definedName name="_RULC" localSheetId="21">[6]REER!$BA$144:$BA$206</definedName>
    <definedName name="_RULC">[21]REER!$BA$144:$BA$206</definedName>
    <definedName name="_TAB1" localSheetId="21">#REF!</definedName>
    <definedName name="_TAB1" localSheetId="22">#REF!</definedName>
    <definedName name="_TAB1" localSheetId="23">#REF!</definedName>
    <definedName name="_TAB1" localSheetId="24">#REF!</definedName>
    <definedName name="_TAB1">#REF!</definedName>
    <definedName name="_TAB10" localSheetId="21">#REF!</definedName>
    <definedName name="_TAB10" localSheetId="22">#REF!</definedName>
    <definedName name="_TAB10" localSheetId="23">#REF!</definedName>
    <definedName name="_TAB10" localSheetId="24">#REF!</definedName>
    <definedName name="_TAB10">#REF!</definedName>
    <definedName name="_TAB12" localSheetId="21">#REF!</definedName>
    <definedName name="_TAB12" localSheetId="22">#REF!</definedName>
    <definedName name="_TAB12" localSheetId="23">#REF!</definedName>
    <definedName name="_TAB12" localSheetId="24">#REF!</definedName>
    <definedName name="_TAB12">#REF!</definedName>
    <definedName name="_Tab19" localSheetId="21">#REF!</definedName>
    <definedName name="_Tab19">#REF!</definedName>
    <definedName name="_TAB2" localSheetId="21">#REF!</definedName>
    <definedName name="_TAB2">#REF!</definedName>
    <definedName name="_Tab20" localSheetId="21">#REF!</definedName>
    <definedName name="_Tab20">#REF!</definedName>
    <definedName name="_Tab21" localSheetId="21">#REF!</definedName>
    <definedName name="_Tab21">#REF!</definedName>
    <definedName name="_Tab22" localSheetId="21">#REF!</definedName>
    <definedName name="_Tab22">#REF!</definedName>
    <definedName name="_Tab23" localSheetId="21">#REF!</definedName>
    <definedName name="_Tab23">#REF!</definedName>
    <definedName name="_Tab24" localSheetId="21">#REF!</definedName>
    <definedName name="_Tab24">#REF!</definedName>
    <definedName name="_Tab26" localSheetId="21">#REF!</definedName>
    <definedName name="_Tab26">#REF!</definedName>
    <definedName name="_Tab27" localSheetId="21">#REF!</definedName>
    <definedName name="_Tab27">#REF!</definedName>
    <definedName name="_Tab28" localSheetId="21">#REF!</definedName>
    <definedName name="_Tab28">#REF!</definedName>
    <definedName name="_Tab29" localSheetId="21">#REF!</definedName>
    <definedName name="_Tab29">#REF!</definedName>
    <definedName name="_TAB3" localSheetId="21">#REF!</definedName>
    <definedName name="_TAB3">#REF!</definedName>
    <definedName name="_Tab30" localSheetId="21">#REF!</definedName>
    <definedName name="_Tab30">#REF!</definedName>
    <definedName name="_Tab31" localSheetId="21">#REF!</definedName>
    <definedName name="_Tab31">#REF!</definedName>
    <definedName name="_Tab32" localSheetId="21">#REF!</definedName>
    <definedName name="_Tab32">#REF!</definedName>
    <definedName name="_Tab33" localSheetId="21">#REF!</definedName>
    <definedName name="_Tab33">#REF!</definedName>
    <definedName name="_Tab34" localSheetId="21">#REF!</definedName>
    <definedName name="_Tab34">#REF!</definedName>
    <definedName name="_Tab35" localSheetId="21">#REF!</definedName>
    <definedName name="_Tab35">#REF!</definedName>
    <definedName name="_TAB4" localSheetId="21">#REF!</definedName>
    <definedName name="_TAB4">#REF!</definedName>
    <definedName name="_TAB5" localSheetId="21">#REF!</definedName>
    <definedName name="_TAB5">#REF!</definedName>
    <definedName name="_tab6" localSheetId="21">#REF!</definedName>
    <definedName name="_tab6">#REF!</definedName>
    <definedName name="_TAB7" localSheetId="21">#REF!</definedName>
    <definedName name="_TAB7">#REF!</definedName>
    <definedName name="_TAB8" localSheetId="21">#REF!</definedName>
    <definedName name="_TAB8">#REF!</definedName>
    <definedName name="_tab9" localSheetId="21">#REF!</definedName>
    <definedName name="_tab9">#REF!</definedName>
    <definedName name="_TB41" localSheetId="21">#REF!</definedName>
    <definedName name="_TB41">#REF!</definedName>
    <definedName name="_Toc463861271" localSheetId="23">'Graf 27 + 28'!$B$20</definedName>
    <definedName name="_Toc463997404" localSheetId="19">'Box 6 _ Tab 9 + Graf 20'!$I$21</definedName>
    <definedName name="_Toc480577936" localSheetId="22">'Graf 25 + 26'!$B$2</definedName>
    <definedName name="_Toc480577940" localSheetId="24">'Graf 29 + 30'!$B$17</definedName>
    <definedName name="_Toc480577941" localSheetId="24">'Graf 29 + 30'!$Q$17</definedName>
    <definedName name="_Toc485220872" localSheetId="41">'Graf 45 + 46'!$B$4</definedName>
    <definedName name="_Toc485220874" localSheetId="40">'Graf 43 + 44'!$B$4</definedName>
    <definedName name="_Toc485220875" localSheetId="40">'Graf 43 + 44'!$B$27</definedName>
    <definedName name="_Toc487200864" localSheetId="38">'Graf 40 + 41 + 42'!$Q$6</definedName>
    <definedName name="_Toc488075675" localSheetId="43">'Graf 47 + 48'!$B$4</definedName>
    <definedName name="_Toc488075676" localSheetId="43">'Graf 47 + 48'!$B$21</definedName>
    <definedName name="_Toc495269647" localSheetId="34">'Box 11_Graf 37 + 38'!$I$6</definedName>
    <definedName name="_Toc495334756" localSheetId="13">'Graf 15 + 16 + Tab 6'!$B$5</definedName>
    <definedName name="_Toc495395911" localSheetId="9">'Graf 12'!$B$23</definedName>
    <definedName name="_Toc495395920" localSheetId="19">'Box 6 _ Tab 9 + Graf 20'!$B$5</definedName>
    <definedName name="_Toc495395939" localSheetId="35">'Graf 39'!$B$5</definedName>
    <definedName name="_Toc495395940" localSheetId="38">'Graf 40 + 41 + 42'!$Q$4</definedName>
    <definedName name="_Toc495395941" localSheetId="38">'Graf 40 + 41 + 42'!$B$25</definedName>
    <definedName name="_Toc495395942" localSheetId="38">'Graf 40 + 41 + 42'!$C$26</definedName>
    <definedName name="_Toc495395949" localSheetId="44">'Graf 49 + 50'!$B$4</definedName>
    <definedName name="_Toc495395950" localSheetId="44">'Graf 49 + 50'!$B$37</definedName>
    <definedName name="_Toc495395955" localSheetId="10">'Tabuľka 3'!$B$4</definedName>
    <definedName name="_Toc495395961" localSheetId="19">'Box 6 _ Tab 9 + Graf 20'!$I$21</definedName>
    <definedName name="_Toc495395968" localSheetId="36">'Tabuľka 16'!$B$4</definedName>
    <definedName name="_Toc495395970" localSheetId="39">'Tabuľka 18 '!$B$4</definedName>
    <definedName name="_Toc495395971" localSheetId="42">'Tabuľka 19'!$B$4</definedName>
    <definedName name="_Toc495395972" localSheetId="45">'Tabuľka 20 '!$B$4</definedName>
    <definedName name="_Toc495423424" localSheetId="27">'Graf 34'!$B$11</definedName>
    <definedName name="_WEO1" localSheetId="21">#REF!</definedName>
    <definedName name="_WEO1" localSheetId="22">#REF!</definedName>
    <definedName name="_WEO1" localSheetId="23">#REF!</definedName>
    <definedName name="_WEO1" localSheetId="24">#REF!</definedName>
    <definedName name="_WEO1">#REF!</definedName>
    <definedName name="_WEO2" localSheetId="21">#REF!</definedName>
    <definedName name="_WEO2" localSheetId="22">#REF!</definedName>
    <definedName name="_WEO2" localSheetId="23">#REF!</definedName>
    <definedName name="_WEO2" localSheetId="24">#REF!</definedName>
    <definedName name="_WEO2">#REF!</definedName>
    <definedName name="a" hidden="1">[21]REER!$AZ$144:$AZ$210</definedName>
    <definedName name="aaa" hidden="1">'[10]i2-KA'!#REF!</definedName>
    <definedName name="aaaaaaaaaaaaaa" localSheetId="21">'Graf 23 + 24'!aaaaaaaaaaaaaa</definedName>
    <definedName name="aaaaaaaaaaaaaa">[22]!aaaaaaaaaaaaaa</definedName>
    <definedName name="aas" localSheetId="21">[23]Contents!$A$1:$C$25</definedName>
    <definedName name="aas">[24]Contents!$A$1:$C$25</definedName>
    <definedName name="aloha" localSheetId="8" hidden="1">'[25]i2-KA'!#REF!</definedName>
    <definedName name="aloha" localSheetId="21" hidden="1">'[25]i2-KA'!#REF!</definedName>
    <definedName name="aloha" localSheetId="22" hidden="1">'[25]i2-KA'!#REF!</definedName>
    <definedName name="aloha" localSheetId="23" hidden="1">'[25]i2-KA'!#REF!</definedName>
    <definedName name="aloha" localSheetId="24" hidden="1">'[25]i2-KA'!#REF!</definedName>
    <definedName name="aloha" localSheetId="48" hidden="1">'[25]i2-KA'!#REF!</definedName>
    <definedName name="aloha" hidden="1">'[25]i2-KA'!#REF!</definedName>
    <definedName name="ANNUALNOM" localSheetId="21">#REF!</definedName>
    <definedName name="ANNUALNOM" localSheetId="22">#REF!</definedName>
    <definedName name="ANNUALNOM" localSheetId="23">#REF!</definedName>
    <definedName name="ANNUALNOM" localSheetId="24">#REF!</definedName>
    <definedName name="ANNUALNOM">#REF!</definedName>
    <definedName name="as" localSheetId="21">'[23]i-REER'!$A$2:$F$104</definedName>
    <definedName name="as">'[24]i-REER'!$A$2:$F$104</definedName>
    <definedName name="ASSUM" localSheetId="21">#REF!</definedName>
    <definedName name="ASSUM" localSheetId="22">#REF!</definedName>
    <definedName name="ASSUM" localSheetId="23">#REF!</definedName>
    <definedName name="ASSUM" localSheetId="24">#REF!</definedName>
    <definedName name="ASSUM">#REF!</definedName>
    <definedName name="ASSUMB" localSheetId="21">#REF!</definedName>
    <definedName name="ASSUMB" localSheetId="22">#REF!</definedName>
    <definedName name="ASSUMB" localSheetId="23">#REF!</definedName>
    <definedName name="ASSUMB" localSheetId="24">#REF!</definedName>
    <definedName name="ASSUMB">#REF!</definedName>
    <definedName name="atrade" localSheetId="21">[19]!atrade</definedName>
    <definedName name="atrade">[19]!atrade</definedName>
    <definedName name="b" localSheetId="21">#REF!</definedName>
    <definedName name="b" localSheetId="22">#REF!</definedName>
    <definedName name="b" localSheetId="23">#REF!</definedName>
    <definedName name="b" localSheetId="24">#REF!</definedName>
    <definedName name="b">#REF!</definedName>
    <definedName name="BAKLANBOPB" localSheetId="21">#REF!</definedName>
    <definedName name="BAKLANBOPB" localSheetId="22">#REF!</definedName>
    <definedName name="BAKLANBOPB" localSheetId="23">#REF!</definedName>
    <definedName name="BAKLANBOPB" localSheetId="24">#REF!</definedName>
    <definedName name="BAKLANBOPB">#REF!</definedName>
    <definedName name="BAKLANDEBT2B" localSheetId="21">#REF!</definedName>
    <definedName name="BAKLANDEBT2B" localSheetId="22">#REF!</definedName>
    <definedName name="BAKLANDEBT2B" localSheetId="23">#REF!</definedName>
    <definedName name="BAKLANDEBT2B" localSheetId="24">#REF!</definedName>
    <definedName name="BAKLANDEBT2B">#REF!</definedName>
    <definedName name="BAKLDEBT1B">#REF!</definedName>
    <definedName name="BASDAT" localSheetId="21">'[3]Annual Tables'!#REF!</definedName>
    <definedName name="BASDAT">'[3]Annual Tables'!#REF!</definedName>
    <definedName name="bb" localSheetId="9" hidden="1">{"Riqfin97",#N/A,FALSE,"Tran";"Riqfinpro",#N/A,FALSE,"Tran"}</definedName>
    <definedName name="bb" localSheetId="13" hidden="1">{"Riqfin97",#N/A,FALSE,"Tran";"Riqfinpro",#N/A,FALSE,"Tran"}</definedName>
    <definedName name="bb" localSheetId="21" hidden="1">{"Riqfin97",#N/A,FALSE,"Tran";"Riqfinpro",#N/A,FALSE,"Tran"}</definedName>
    <definedName name="bb" localSheetId="22" hidden="1">{"Riqfin97",#N/A,FALSE,"Tran";"Riqfinpro",#N/A,FALSE,"Tran"}</definedName>
    <definedName name="bb" localSheetId="23" hidden="1">{"Riqfin97",#N/A,FALSE,"Tran";"Riqfinpro",#N/A,FALSE,"Tran"}</definedName>
    <definedName name="bb" localSheetId="24" hidden="1">{"Riqfin97",#N/A,FALSE,"Tran";"Riqfinpro",#N/A,FALSE,"Tran"}</definedName>
    <definedName name="bb" localSheetId="48" hidden="1">{"Riqfin97",#N/A,FALSE,"Tran";"Riqfinpro",#N/A,FALSE,"Tran"}</definedName>
    <definedName name="bb" localSheetId="1" hidden="1">{"Riqfin97",#N/A,FALSE,"Tran";"Riqfinpro",#N/A,FALSE,"Tran"}</definedName>
    <definedName name="bb" localSheetId="11" hidden="1">{"Riqfin97",#N/A,FALSE,"Tran";"Riqfinpro",#N/A,FALSE,"Tran"}</definedName>
    <definedName name="bb" hidden="1">{"Riqfin97",#N/A,FALSE,"Tran";"Riqfinpro",#N/A,FALSE,"Tran"}</definedName>
    <definedName name="bbb" localSheetId="9" hidden="1">{"Riqfin97",#N/A,FALSE,"Tran";"Riqfinpro",#N/A,FALSE,"Tran"}</definedName>
    <definedName name="bbb" localSheetId="13" hidden="1">{"Riqfin97",#N/A,FALSE,"Tran";"Riqfinpro",#N/A,FALSE,"Tran"}</definedName>
    <definedName name="bbb" localSheetId="21" hidden="1">{"Riqfin97",#N/A,FALSE,"Tran";"Riqfinpro",#N/A,FALSE,"Tran"}</definedName>
    <definedName name="bbb" localSheetId="22" hidden="1">{"Riqfin97",#N/A,FALSE,"Tran";"Riqfinpro",#N/A,FALSE,"Tran"}</definedName>
    <definedName name="bbb" localSheetId="23" hidden="1">{"Riqfin97",#N/A,FALSE,"Tran";"Riqfinpro",#N/A,FALSE,"Tran"}</definedName>
    <definedName name="bbb" localSheetId="24" hidden="1">{"Riqfin97",#N/A,FALSE,"Tran";"Riqfinpro",#N/A,FALSE,"Tran"}</definedName>
    <definedName name="bbb" localSheetId="48" hidden="1">{"Riqfin97",#N/A,FALSE,"Tran";"Riqfinpro",#N/A,FALSE,"Tran"}</definedName>
    <definedName name="bbb" localSheetId="1" hidden="1">{"Riqfin97",#N/A,FALSE,"Tran";"Riqfinpro",#N/A,FALSE,"Tran"}</definedName>
    <definedName name="bbb" localSheetId="11" hidden="1">{"Riqfin97",#N/A,FALSE,"Tran";"Riqfinpro",#N/A,FALSE,"Tran"}</definedName>
    <definedName name="bbb" hidden="1">{"Riqfin97",#N/A,FALSE,"Tran";"Riqfinpro",#N/A,FALSE,"Tran"}</definedName>
    <definedName name="bbbbbbbbbbbbbb" localSheetId="21">'Graf 23 + 24'!bbbbbbbbbbbbbb</definedName>
    <definedName name="bbbbbbbbbbbbbb">[22]!bbbbbbbbbbbbbb</definedName>
    <definedName name="BCA">#N/A</definedName>
    <definedName name="BCA_GDP">#N/A</definedName>
    <definedName name="BE">#N/A</definedName>
    <definedName name="BEA" localSheetId="21">'[26]WEO-BOP'!#REF!</definedName>
    <definedName name="BEA" localSheetId="22">'[26]WEO-BOP'!#REF!</definedName>
    <definedName name="BEA" localSheetId="23">'[26]WEO-BOP'!#REF!</definedName>
    <definedName name="BEA" localSheetId="24">'[26]WEO-BOP'!#REF!</definedName>
    <definedName name="BEA">'[26]WEO-BOP'!#REF!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21">#REF!</definedName>
    <definedName name="BEDE" localSheetId="22">#REF!</definedName>
    <definedName name="BEDE" localSheetId="23">#REF!</definedName>
    <definedName name="BEDE" localSheetId="24">#REF!</definedName>
    <definedName name="BEDE">#REF!</definedName>
    <definedName name="BER" localSheetId="21">'[26]WEO-BOP'!#REF!</definedName>
    <definedName name="BER" localSheetId="22">'[26]WEO-BOP'!#REF!</definedName>
    <definedName name="BER" localSheetId="23">'[26]WEO-BOP'!#REF!</definedName>
    <definedName name="BER" localSheetId="24">'[26]WEO-BOP'!#REF!</definedName>
    <definedName name="BER">'[26]WEO-BOP'!#REF!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21">'[26]WEO-BOP'!#REF!</definedName>
    <definedName name="BFD" localSheetId="22">'[26]WEO-BOP'!#REF!</definedName>
    <definedName name="BFD" localSheetId="23">'[26]WEO-BOP'!#REF!</definedName>
    <definedName name="BFD" localSheetId="24">'[26]WEO-BOP'!#REF!</definedName>
    <definedName name="BFD">'[26]WEO-BOP'!#REF!</definedName>
    <definedName name="BFDI" localSheetId="21">'[26]WEO-BOP'!#REF!</definedName>
    <definedName name="BFDI" localSheetId="22">'[26]WEO-BOP'!#REF!</definedName>
    <definedName name="BFDI" localSheetId="23">'[26]WEO-BOP'!#REF!</definedName>
    <definedName name="BFDI" localSheetId="24">'[26]WEO-BOP'!#REF!</definedName>
    <definedName name="BFDI">'[26]WEO-BOP'!#REF!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21">'Graf 23 + 24'!BFLD_DF</definedName>
    <definedName name="BFLD_DF">[22]!BFLD_DF</definedName>
    <definedName name="BFLG">#N/A</definedName>
    <definedName name="BFLG_D">#N/A</definedName>
    <definedName name="BFLG_DF">#N/A</definedName>
    <definedName name="BFO" localSheetId="21">'[26]WEO-BOP'!#REF!</definedName>
    <definedName name="BFO" localSheetId="22">'[26]WEO-BOP'!#REF!</definedName>
    <definedName name="BFO" localSheetId="23">'[26]WEO-BOP'!#REF!</definedName>
    <definedName name="BFO" localSheetId="24">'[26]WEO-BOP'!#REF!</definedName>
    <definedName name="BFO">'[26]WEO-BOP'!#REF!</definedName>
    <definedName name="BFOA" localSheetId="21">'[26]WEO-BOP'!#REF!</definedName>
    <definedName name="BFOA" localSheetId="22">'[26]WEO-BOP'!#REF!</definedName>
    <definedName name="BFOA" localSheetId="23">'[26]WEO-BOP'!#REF!</definedName>
    <definedName name="BFOA" localSheetId="24">'[26]WEO-BOP'!#REF!</definedName>
    <definedName name="BFOA">'[26]WEO-BOP'!#REF!</definedName>
    <definedName name="BFOAG" localSheetId="21">'[26]WEO-BOP'!#REF!</definedName>
    <definedName name="BFOAG" localSheetId="22">'[26]WEO-BOP'!#REF!</definedName>
    <definedName name="BFOAG" localSheetId="23">'[26]WEO-BOP'!#REF!</definedName>
    <definedName name="BFOAG" localSheetId="24">'[26]WEO-BOP'!#REF!</definedName>
    <definedName name="BFOAG">'[26]WEO-BOP'!#REF!</definedName>
    <definedName name="BFOG" localSheetId="21">'[26]WEO-BOP'!#REF!</definedName>
    <definedName name="BFOG">'[26]WEO-BOP'!#REF!</definedName>
    <definedName name="BFOL" localSheetId="21">'[26]WEO-BOP'!#REF!</definedName>
    <definedName name="BFOL">'[26]WEO-BOP'!#REF!</definedName>
    <definedName name="BFOL_B" localSheetId="21">'[26]WEO-BOP'!#REF!</definedName>
    <definedName name="BFOL_B">'[26]WEO-BOP'!#REF!</definedName>
    <definedName name="BFOL_G" localSheetId="21">'[26]WEO-BOP'!#REF!</definedName>
    <definedName name="BFOL_G">'[26]WEO-BOP'!#REF!</definedName>
    <definedName name="BFOLG" localSheetId="21">'[26]WEO-BOP'!#REF!</definedName>
    <definedName name="BFOLG">'[26]WEO-BOP'!#REF!</definedName>
    <definedName name="BFP" localSheetId="21">'[26]WEO-BOP'!#REF!</definedName>
    <definedName name="BFP">'[26]WEO-BOP'!#REF!</definedName>
    <definedName name="BFPA" localSheetId="21">'[26]WEO-BOP'!#REF!</definedName>
    <definedName name="BFPA">'[26]WEO-BOP'!#REF!</definedName>
    <definedName name="BFPAG" localSheetId="21">'[26]WEO-BOP'!#REF!</definedName>
    <definedName name="BFPAG">'[26]WEO-BOP'!#REF!</definedName>
    <definedName name="BFPG" localSheetId="21">'[26]WEO-BOP'!#REF!</definedName>
    <definedName name="BFPG">'[26]WEO-BOP'!#REF!</definedName>
    <definedName name="BFPL" localSheetId="21">'[26]WEO-BOP'!#REF!</definedName>
    <definedName name="BFPL">'[26]WEO-BOP'!#REF!</definedName>
    <definedName name="BFPLD" localSheetId="21">'[26]WEO-BOP'!#REF!</definedName>
    <definedName name="BFPLD">'[26]WEO-BOP'!#REF!</definedName>
    <definedName name="BFPLDG" localSheetId="21">'[26]WEO-BOP'!#REF!</definedName>
    <definedName name="BFPLDG">'[26]WEO-BOP'!#REF!</definedName>
    <definedName name="BFPLE" localSheetId="21">'[26]WEO-BOP'!#REF!</definedName>
    <definedName name="BFPLE">'[26]WEO-BOP'!#REF!</definedName>
    <definedName name="BFRA">#N/A</definedName>
    <definedName name="BGS" localSheetId="21">'[26]WEO-BOP'!#REF!</definedName>
    <definedName name="BGS">'[26]WEO-BOP'!#REF!</definedName>
    <definedName name="BI">#N/A</definedName>
    <definedName name="BID" localSheetId="21">'[26]WEO-BOP'!#REF!</definedName>
    <definedName name="BID">'[26]WEO-BOP'!#REF!</definedName>
    <definedName name="BK">#N/A</definedName>
    <definedName name="BKF">#N/A</definedName>
    <definedName name="BMG">[27]Q6!$E$28:$AH$28</definedName>
    <definedName name="BMII">#N/A</definedName>
    <definedName name="BMIIB">#N/A</definedName>
    <definedName name="BMIIG">#N/A</definedName>
    <definedName name="BMS" localSheetId="21">'[26]WEO-BOP'!#REF!</definedName>
    <definedName name="BMS" localSheetId="22">'[26]WEO-BOP'!#REF!</definedName>
    <definedName name="BMS" localSheetId="23">'[26]WEO-BOP'!#REF!</definedName>
    <definedName name="BMS" localSheetId="24">'[26]WEO-BOP'!#REF!</definedName>
    <definedName name="BMS">'[26]WEO-BOP'!#REF!</definedName>
    <definedName name="Bolivia" localSheetId="21">#REF!</definedName>
    <definedName name="Bolivia" localSheetId="22">#REF!</definedName>
    <definedName name="Bolivia" localSheetId="23">#REF!</definedName>
    <definedName name="Bolivia" localSheetId="24">#REF!</definedName>
    <definedName name="Bolivia">#REF!</definedName>
    <definedName name="BOP">#N/A</definedName>
    <definedName name="BOPB" localSheetId="21">#REF!</definedName>
    <definedName name="BOPB" localSheetId="22">#REF!</definedName>
    <definedName name="BOPB" localSheetId="23">#REF!</definedName>
    <definedName name="BOPB" localSheetId="24">#REF!</definedName>
    <definedName name="BOPB">#REF!</definedName>
    <definedName name="BOPMEMOB" localSheetId="21">#REF!</definedName>
    <definedName name="BOPMEMOB" localSheetId="22">#REF!</definedName>
    <definedName name="BOPMEMOB" localSheetId="23">#REF!</definedName>
    <definedName name="BOPMEMOB" localSheetId="24">#REF!</definedName>
    <definedName name="BOPMEMOB">#REF!</definedName>
    <definedName name="bracket_2" localSheetId="21">[28]Graf14_Graf15!#REF!</definedName>
    <definedName name="bracket_2" localSheetId="22">[28]Graf14_Graf15!#REF!</definedName>
    <definedName name="bracket_2" localSheetId="23">[28]Graf14_Graf15!#REF!</definedName>
    <definedName name="bracket_2" localSheetId="24">[28]Graf14_Graf15!#REF!</definedName>
    <definedName name="bracket_2">[28]Graf14_Graf15!#REF!</definedName>
    <definedName name="BRASS" localSheetId="21">'[26]WEO-BOP'!#REF!</definedName>
    <definedName name="BRASS" localSheetId="22">'[26]WEO-BOP'!#REF!</definedName>
    <definedName name="BRASS" localSheetId="23">'[26]WEO-BOP'!#REF!</definedName>
    <definedName name="BRASS" localSheetId="24">'[26]WEO-BOP'!#REF!</definedName>
    <definedName name="BRASS">'[26]WEO-BOP'!#REF!</definedName>
    <definedName name="Brazil" localSheetId="21">#REF!</definedName>
    <definedName name="Brazil" localSheetId="22">#REF!</definedName>
    <definedName name="Brazil" localSheetId="23">#REF!</definedName>
    <definedName name="Brazil" localSheetId="24">#REF!</definedName>
    <definedName name="Brazil">#REF!</definedName>
    <definedName name="BTR" localSheetId="21">'[26]WEO-BOP'!#REF!</definedName>
    <definedName name="BTR" localSheetId="22">'[26]WEO-BOP'!#REF!</definedName>
    <definedName name="BTR" localSheetId="23">'[26]WEO-BOP'!#REF!</definedName>
    <definedName name="BTR" localSheetId="24">'[26]WEO-BOP'!#REF!</definedName>
    <definedName name="BTR">'[26]WEO-BOP'!#REF!</definedName>
    <definedName name="BTRG" localSheetId="21">'[26]WEO-BOP'!#REF!</definedName>
    <definedName name="BTRG" localSheetId="22">'[26]WEO-BOP'!#REF!</definedName>
    <definedName name="BTRG" localSheetId="23">'[26]WEO-BOP'!#REF!</definedName>
    <definedName name="BTRG" localSheetId="24">'[26]WEO-BOP'!#REF!</definedName>
    <definedName name="BTRG">'[26]WEO-BOP'!#REF!</definedName>
    <definedName name="BUDGET" localSheetId="21">#REF!</definedName>
    <definedName name="BUDGET" localSheetId="22">#REF!</definedName>
    <definedName name="BUDGET" localSheetId="23">#REF!</definedName>
    <definedName name="BUDGET" localSheetId="24">#REF!</definedName>
    <definedName name="BUDGET">#REF!</definedName>
    <definedName name="Budget_expenditure" localSheetId="21">#REF!</definedName>
    <definedName name="Budget_expenditure" localSheetId="22">#REF!</definedName>
    <definedName name="Budget_expenditure" localSheetId="23">#REF!</definedName>
    <definedName name="Budget_expenditure" localSheetId="24">#REF!</definedName>
    <definedName name="Budget_expenditure">#REF!</definedName>
    <definedName name="Budget_revenue" localSheetId="21">#REF!</definedName>
    <definedName name="Budget_revenue" localSheetId="22">#REF!</definedName>
    <definedName name="Budget_revenue" localSheetId="23">#REF!</definedName>
    <definedName name="Budget_revenue" localSheetId="24">#REF!</definedName>
    <definedName name="Budget_revenue">#REF!</definedName>
    <definedName name="BXG">[27]Q6!$E$26:$AH$26</definedName>
    <definedName name="BXS" localSheetId="21">'[26]WEO-BOP'!#REF!</definedName>
    <definedName name="BXS" localSheetId="22">'[26]WEO-BOP'!#REF!</definedName>
    <definedName name="BXS" localSheetId="23">'[26]WEO-BOP'!#REF!</definedName>
    <definedName name="BXS" localSheetId="24">'[26]WEO-BOP'!#REF!</definedName>
    <definedName name="BXS">'[26]WEO-BOP'!#REF!</definedName>
    <definedName name="BXTSAq" localSheetId="21">#REF!</definedName>
    <definedName name="BXTSAq" localSheetId="22">#REF!</definedName>
    <definedName name="BXTSAq" localSheetId="23">#REF!</definedName>
    <definedName name="BXTSAq" localSheetId="24">#REF!</definedName>
    <definedName name="BXTSAq">#REF!</definedName>
    <definedName name="CalcMCV_4" localSheetId="21">#REF!</definedName>
    <definedName name="CalcMCV_4" localSheetId="22">#REF!</definedName>
    <definedName name="CalcMCV_4" localSheetId="23">#REF!</definedName>
    <definedName name="CalcMCV_4" localSheetId="24">#REF!</definedName>
    <definedName name="CalcMCV_4">#REF!</definedName>
    <definedName name="calcNGS_NGDP">#N/A</definedName>
    <definedName name="CAPACCB" localSheetId="21">#REF!</definedName>
    <definedName name="CAPACCB" localSheetId="22">#REF!</definedName>
    <definedName name="CAPACCB" localSheetId="23">#REF!</definedName>
    <definedName name="CAPACCB" localSheetId="24">#REF!</definedName>
    <definedName name="CAPACCB">#REF!</definedName>
    <definedName name="cc" localSheetId="9" hidden="1">{"Riqfin97",#N/A,FALSE,"Tran";"Riqfinpro",#N/A,FALSE,"Tran"}</definedName>
    <definedName name="cc" localSheetId="13" hidden="1">{"Riqfin97",#N/A,FALSE,"Tran";"Riqfinpro",#N/A,FALSE,"Tran"}</definedName>
    <definedName name="cc" localSheetId="21" hidden="1">{"Riqfin97",#N/A,FALSE,"Tran";"Riqfinpro",#N/A,FALSE,"Tran"}</definedName>
    <definedName name="cc" localSheetId="22" hidden="1">{"Riqfin97",#N/A,FALSE,"Tran";"Riqfinpro",#N/A,FALSE,"Tran"}</definedName>
    <definedName name="cc" localSheetId="23" hidden="1">{"Riqfin97",#N/A,FALSE,"Tran";"Riqfinpro",#N/A,FALSE,"Tran"}</definedName>
    <definedName name="cc" localSheetId="24" hidden="1">{"Riqfin97",#N/A,FALSE,"Tran";"Riqfinpro",#N/A,FALSE,"Tran"}</definedName>
    <definedName name="cc" localSheetId="48" hidden="1">{"Riqfin97",#N/A,FALSE,"Tran";"Riqfinpro",#N/A,FALSE,"Tran"}</definedName>
    <definedName name="cc" localSheetId="1" hidden="1">{"Riqfin97",#N/A,FALSE,"Tran";"Riqfinpro",#N/A,FALSE,"Tran"}</definedName>
    <definedName name="cc" localSheetId="11" hidden="1">{"Riqfin97",#N/A,FALSE,"Tran";"Riqfinpro",#N/A,FALSE,"Tran"}</definedName>
    <definedName name="cc" hidden="1">{"Riqfin97",#N/A,FALSE,"Tran";"Riqfinpro",#N/A,FALSE,"Tran"}</definedName>
    <definedName name="ccc" localSheetId="9" hidden="1">{"Riqfin97",#N/A,FALSE,"Tran";"Riqfinpro",#N/A,FALSE,"Tran"}</definedName>
    <definedName name="ccc" localSheetId="13" hidden="1">{"Riqfin97",#N/A,FALSE,"Tran";"Riqfinpro",#N/A,FALSE,"Tran"}</definedName>
    <definedName name="ccc" localSheetId="21" hidden="1">{"Riqfin97",#N/A,FALSE,"Tran";"Riqfinpro",#N/A,FALSE,"Tran"}</definedName>
    <definedName name="ccc" localSheetId="22" hidden="1">{"Riqfin97",#N/A,FALSE,"Tran";"Riqfinpro",#N/A,FALSE,"Tran"}</definedName>
    <definedName name="ccc" localSheetId="23" hidden="1">{"Riqfin97",#N/A,FALSE,"Tran";"Riqfinpro",#N/A,FALSE,"Tran"}</definedName>
    <definedName name="ccc" localSheetId="24" hidden="1">{"Riqfin97",#N/A,FALSE,"Tran";"Riqfinpro",#N/A,FALSE,"Tran"}</definedName>
    <definedName name="ccc" localSheetId="48" hidden="1">{"Riqfin97",#N/A,FALSE,"Tran";"Riqfinpro",#N/A,FALSE,"Tran"}</definedName>
    <definedName name="ccc" localSheetId="1" hidden="1">{"Riqfin97",#N/A,FALSE,"Tran";"Riqfinpro",#N/A,FALSE,"Tran"}</definedName>
    <definedName name="ccc" localSheetId="11" hidden="1">{"Riqfin97",#N/A,FALSE,"Tran";"Riqfinpro",#N/A,FALSE,"Tran"}</definedName>
    <definedName name="ccc" hidden="1">{"Riqfin97",#N/A,FALSE,"Tran";"Riqfinpro",#N/A,FALSE,"Tran"}</definedName>
    <definedName name="CCODE" localSheetId="21">#REF!</definedName>
    <definedName name="CCODE" localSheetId="22">#REF!</definedName>
    <definedName name="CCODE" localSheetId="23">#REF!</definedName>
    <definedName name="CCODE" localSheetId="24">#REF!</definedName>
    <definedName name="CCODE">#REF!</definedName>
    <definedName name="cgb" localSheetId="21">#REF!</definedName>
    <definedName name="cgb" localSheetId="22">#REF!</definedName>
    <definedName name="cgb" localSheetId="23">#REF!</definedName>
    <definedName name="cgb" localSheetId="24">#REF!</definedName>
    <definedName name="cgb">#REF!</definedName>
    <definedName name="cge" localSheetId="21">#REF!</definedName>
    <definedName name="cge" localSheetId="22">#REF!</definedName>
    <definedName name="cge" localSheetId="23">#REF!</definedName>
    <definedName name="cge" localSheetId="24">#REF!</definedName>
    <definedName name="cge">#REF!</definedName>
    <definedName name="cgr" localSheetId="21">#REF!</definedName>
    <definedName name="cgr">#REF!</definedName>
    <definedName name="CONCK">#REF!</definedName>
    <definedName name="Cons">#REF!</definedName>
    <definedName name="CORULCSA" localSheetId="21">[29]E!$V$15:$V$98</definedName>
    <definedName name="CORULCSA">[30]E!$V$15:$V$98</definedName>
    <definedName name="CountryCode">[31]readme!$B$2</definedName>
    <definedName name="CurrVintage">[32]Current!$D$66</definedName>
    <definedName name="d" localSheetId="13" hidden="1">{"Riqfin97",#N/A,FALSE,"Tran";"Riqfinpro",#N/A,FALSE,"Tran"}</definedName>
    <definedName name="d" localSheetId="21">"Graf 5"</definedName>
    <definedName name="d" localSheetId="22" hidden="1">{"Riqfin97",#N/A,FALSE,"Tran";"Riqfinpro",#N/A,FALSE,"Tran"}</definedName>
    <definedName name="d" localSheetId="23" hidden="1">{"Riqfin97",#N/A,FALSE,"Tran";"Riqfinpro",#N/A,FALSE,"Tran"}</definedName>
    <definedName name="d" localSheetId="24" hidden="1">{"Riqfin97",#N/A,FALSE,"Tran";"Riqfinpro",#N/A,FALSE,"Tran"}</definedName>
    <definedName name="d" localSheetId="11" hidden="1">{"Riqfin97",#N/A,FALSE,"Tran";"Riqfinpro",#N/A,FALSE,"Tran"}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21">'[33]daily calculations'!#REF!</definedName>
    <definedName name="daily_interest_rates">'[34]daily calculations'!#REF!</definedName>
    <definedName name="DAproj">#N/A</definedName>
    <definedName name="das" localSheetId="21" hidden="1">[8]G!#REF!</definedName>
    <definedName name="das" localSheetId="48" hidden="1">[8]G!#REF!</definedName>
    <definedName name="das" hidden="1">[8]G!#REF!</definedName>
    <definedName name="DASD">#N/A</definedName>
    <definedName name="DASDB">#N/A</definedName>
    <definedName name="DASDG">#N/A</definedName>
    <definedName name="data_area" localSheetId="21">#REF!</definedName>
    <definedName name="data_area" localSheetId="22">#REF!</definedName>
    <definedName name="data_area" localSheetId="23">#REF!</definedName>
    <definedName name="data_area" localSheetId="24">#REF!</definedName>
    <definedName name="data_area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>#REF!</definedName>
    <definedName name="DATB" localSheetId="21">[6]REER!$B$144:$B$240</definedName>
    <definedName name="DATB">[21]REER!$B$144:$B$240</definedName>
    <definedName name="datcr" localSheetId="21">'[2]Tab ann curr'!#REF!</definedName>
    <definedName name="datcr" localSheetId="22">'[2]Tab ann curr'!#REF!</definedName>
    <definedName name="datcr" localSheetId="23">'[2]Tab ann curr'!#REF!</definedName>
    <definedName name="datcr" localSheetId="24">'[2]Tab ann curr'!#REF!</definedName>
    <definedName name="datcr">'[2]Tab ann curr'!#REF!</definedName>
    <definedName name="date" localSheetId="21">#REF!</definedName>
    <definedName name="date" localSheetId="22">#REF!</definedName>
    <definedName name="date" localSheetId="23">#REF!</definedName>
    <definedName name="date" localSheetId="24">#REF!</definedName>
    <definedName name="date">#REF!</definedName>
    <definedName name="date_EXP">[35]Sheet1!$B$1:$G$1</definedName>
    <definedName name="date_FISC" localSheetId="21">#REF!</definedName>
    <definedName name="date_FISC" localSheetId="22">#REF!</definedName>
    <definedName name="date_FISC" localSheetId="23">#REF!</definedName>
    <definedName name="date_FISC" localSheetId="24">#REF!</definedName>
    <definedName name="date_FISC">#REF!</definedName>
    <definedName name="dateIntLiq" localSheetId="21">#REF!</definedName>
    <definedName name="dateIntLiq" localSheetId="22">#REF!</definedName>
    <definedName name="dateIntLiq" localSheetId="23">#REF!</definedName>
    <definedName name="dateIntLiq" localSheetId="24">#REF!</definedName>
    <definedName name="dateIntLiq">#REF!</definedName>
    <definedName name="dateMoney" localSheetId="21">#REF!</definedName>
    <definedName name="dateMoney" localSheetId="22">#REF!</definedName>
    <definedName name="dateMoney" localSheetId="23">#REF!</definedName>
    <definedName name="dateMoney" localSheetId="24">#REF!</definedName>
    <definedName name="dateMoney">#REF!</definedName>
    <definedName name="dateprofit" localSheetId="21">[6]C!$A$9:$A$125</definedName>
    <definedName name="dateprofit">[21]C!$A$9:$A$125</definedName>
    <definedName name="dateRates" localSheetId="21">#REF!</definedName>
    <definedName name="dateRates" localSheetId="22">#REF!</definedName>
    <definedName name="dateRates" localSheetId="23">#REF!</definedName>
    <definedName name="dateRates" localSheetId="24">#REF!</definedName>
    <definedName name="dateRates">#REF!</definedName>
    <definedName name="dateRawQ" localSheetId="21">'[36]Raw Data'!#REF!</definedName>
    <definedName name="dateRawQ">'[36]Raw Data'!#REF!</definedName>
    <definedName name="dateReal" localSheetId="21">#REF!</definedName>
    <definedName name="dateReal" localSheetId="22">#REF!</definedName>
    <definedName name="dateReal" localSheetId="23">#REF!</definedName>
    <definedName name="dateReal" localSheetId="24">#REF!</definedName>
    <definedName name="dateReal">#REF!</definedName>
    <definedName name="dates" localSheetId="21">#REF!</definedName>
    <definedName name="dates" localSheetId="22">#REF!</definedName>
    <definedName name="dates" localSheetId="23">#REF!</definedName>
    <definedName name="dates" localSheetId="24">#REF!</definedName>
    <definedName name="dates">#REF!</definedName>
    <definedName name="dates_w" localSheetId="21">#REF!</definedName>
    <definedName name="dates_w" localSheetId="22">#REF!</definedName>
    <definedName name="dates_w" localSheetId="23">#REF!</definedName>
    <definedName name="dates_w" localSheetId="24">#REF!</definedName>
    <definedName name="dates_w">#REF!</definedName>
    <definedName name="dates1">#REF!</definedName>
    <definedName name="dates2">#REF!</definedName>
    <definedName name="datesb" localSheetId="21">[29]B!$B$20:$B$134</definedName>
    <definedName name="datesb">[30]B!$B$20:$B$134</definedName>
    <definedName name="datesc" localSheetId="21">#REF!</definedName>
    <definedName name="datesc" localSheetId="22">#REF!</definedName>
    <definedName name="datesc" localSheetId="23">#REF!</definedName>
    <definedName name="datesc" localSheetId="24">#REF!</definedName>
    <definedName name="datesc">#REF!</definedName>
    <definedName name="datesd" localSheetId="21">#REF!</definedName>
    <definedName name="datesd" localSheetId="22">#REF!</definedName>
    <definedName name="datesd" localSheetId="23">#REF!</definedName>
    <definedName name="datesd" localSheetId="24">#REF!</definedName>
    <definedName name="datesd">#REF!</definedName>
    <definedName name="DATESG" localSheetId="21">#REF!</definedName>
    <definedName name="DATESG" localSheetId="22">#REF!</definedName>
    <definedName name="DATESG" localSheetId="23">#REF!</definedName>
    <definedName name="DATESG" localSheetId="24">#REF!</definedName>
    <definedName name="DATESG">#REF!</definedName>
    <definedName name="datesm">#REF!</definedName>
    <definedName name="datesq" localSheetId="21">#REF!</definedName>
    <definedName name="datesq">#REF!</definedName>
    <definedName name="datesr">#REF!</definedName>
    <definedName name="datestran" localSheetId="21">[29]transfer!$A$9:$A$116</definedName>
    <definedName name="datestran">[30]transfer!$A$9:$A$116</definedName>
    <definedName name="datgdp" localSheetId="21">#REF!</definedName>
    <definedName name="datgdp" localSheetId="22">#REF!</definedName>
    <definedName name="datgdp" localSheetId="23">#REF!</definedName>
    <definedName name="datgdp" localSheetId="24">#REF!</definedName>
    <definedName name="datgdp">#REF!</definedName>
    <definedName name="datin1" localSheetId="21">[6]REER!$B$9:$B$119</definedName>
    <definedName name="datin1">[21]REER!$B$9:$B$119</definedName>
    <definedName name="datin2" localSheetId="21">[6]REER!$B$144:$B$253</definedName>
    <definedName name="datin2">[21]REER!$B$144:$B$253</definedName>
    <definedName name="datq" localSheetId="21">#REF!</definedName>
    <definedName name="datq" localSheetId="22">#REF!</definedName>
    <definedName name="datq" localSheetId="23">#REF!</definedName>
    <definedName name="datq" localSheetId="24">#REF!</definedName>
    <definedName name="datq">#REF!</definedName>
    <definedName name="datq1" localSheetId="21">#REF!</definedName>
    <definedName name="datq1" localSheetId="22">#REF!</definedName>
    <definedName name="datq1" localSheetId="23">#REF!</definedName>
    <definedName name="datq1" localSheetId="24">#REF!</definedName>
    <definedName name="datq1">#REF!</definedName>
    <definedName name="datq2" localSheetId="21">#REF!</definedName>
    <definedName name="datq2" localSheetId="22">#REF!</definedName>
    <definedName name="datq2" localSheetId="23">#REF!</definedName>
    <definedName name="datq2" localSheetId="24">#REF!</definedName>
    <definedName name="datq2">#REF!</definedName>
    <definedName name="datreer" localSheetId="21">[6]REER!$B$144:$B$258</definedName>
    <definedName name="datreer">[21]REER!$B$144:$B$258</definedName>
    <definedName name="datt" localSheetId="21">#REF!</definedName>
    <definedName name="datt" localSheetId="22">#REF!</definedName>
    <definedName name="datt" localSheetId="23">#REF!</definedName>
    <definedName name="datt" localSheetId="24">#REF!</definedName>
    <definedName name="datt">#REF!</definedName>
    <definedName name="DBproj">#N/A</definedName>
    <definedName name="dd" localSheetId="9" hidden="1">{"Riqfin97",#N/A,FALSE,"Tran";"Riqfinpro",#N/A,FALSE,"Tran"}</definedName>
    <definedName name="dd" localSheetId="13" hidden="1">{"Riqfin97",#N/A,FALSE,"Tran";"Riqfinpro",#N/A,FALSE,"Tran"}</definedName>
    <definedName name="dd" localSheetId="21" hidden="1">{"Riqfin97",#N/A,FALSE,"Tran";"Riqfinpro",#N/A,FALSE,"Tran"}</definedName>
    <definedName name="dd" localSheetId="22" hidden="1">{"Riqfin97",#N/A,FALSE,"Tran";"Riqfinpro",#N/A,FALSE,"Tran"}</definedName>
    <definedName name="dd" localSheetId="23" hidden="1">{"Riqfin97",#N/A,FALSE,"Tran";"Riqfinpro",#N/A,FALSE,"Tran"}</definedName>
    <definedName name="dd" localSheetId="24" hidden="1">{"Riqfin97",#N/A,FALSE,"Tran";"Riqfinpro",#N/A,FALSE,"Tran"}</definedName>
    <definedName name="dd" localSheetId="48" hidden="1">{"Riqfin97",#N/A,FALSE,"Tran";"Riqfinpro",#N/A,FALSE,"Tran"}</definedName>
    <definedName name="dd" localSheetId="1" hidden="1">{"Riqfin97",#N/A,FALSE,"Tran";"Riqfinpro",#N/A,FALSE,"Tran"}</definedName>
    <definedName name="dd" localSheetId="11" hidden="1">{"Riqfin97",#N/A,FALSE,"Tran";"Riqfinpro",#N/A,FALSE,"Tran"}</definedName>
    <definedName name="dd" hidden="1">{"Riqfin97",#N/A,FALSE,"Tran";"Riqfinpro",#N/A,FALSE,"Tran"}</definedName>
    <definedName name="dd_balance" localSheetId="21">[37]!dd_balance1[saldo]</definedName>
    <definedName name="dd_balance" localSheetId="22">[37]!dd_balance1[saldo]</definedName>
    <definedName name="dd_balance" localSheetId="23">[37]!dd_balance1[saldo]</definedName>
    <definedName name="dd_balance" localSheetId="24">[37]!dd_balance1[saldo]</definedName>
    <definedName name="dd_balance">[38]!dd_balance1[saldo]</definedName>
    <definedName name="dd_cyklus" localSheetId="21">[39]!dd_cyclus[cyklus]</definedName>
    <definedName name="dd_cyklus" localSheetId="22">[39]!dd_cyclus[cyklus]</definedName>
    <definedName name="dd_cyklus" localSheetId="23">[39]!dd_cyclus[cyklus]</definedName>
    <definedName name="dd_cyklus" localSheetId="24">[39]!dd_cyclus[cyklus]</definedName>
    <definedName name="dd_cyklus">[40]!dd_cyclus[cyklus]</definedName>
    <definedName name="dd_oneoff" localSheetId="21">[39]hidden!$B$2:$B$3</definedName>
    <definedName name="dd_oneoff" localSheetId="22">[39]hidden!$B$2:$B$3</definedName>
    <definedName name="dd_oneoff" localSheetId="23">[39]hidden!$B$2:$B$3</definedName>
    <definedName name="dd_oneoff" localSheetId="24">[39]hidden!$B$2:$B$3</definedName>
    <definedName name="dd_oneoff">[40]hidden!$B$2:$B$3</definedName>
    <definedName name="ddd" localSheetId="9" hidden="1">{"Riqfin97",#N/A,FALSE,"Tran";"Riqfinpro",#N/A,FALSE,"Tran"}</definedName>
    <definedName name="ddd" localSheetId="13" hidden="1">{"Riqfin97",#N/A,FALSE,"Tran";"Riqfinpro",#N/A,FALSE,"Tran"}</definedName>
    <definedName name="ddd" localSheetId="21" hidden="1">{"Riqfin97",#N/A,FALSE,"Tran";"Riqfinpro",#N/A,FALSE,"Tran"}</definedName>
    <definedName name="ddd" localSheetId="22" hidden="1">{"Riqfin97",#N/A,FALSE,"Tran";"Riqfinpro",#N/A,FALSE,"Tran"}</definedName>
    <definedName name="ddd" localSheetId="23" hidden="1">{"Riqfin97",#N/A,FALSE,"Tran";"Riqfinpro",#N/A,FALSE,"Tran"}</definedName>
    <definedName name="ddd" localSheetId="24" hidden="1">{"Riqfin97",#N/A,FALSE,"Tran";"Riqfinpro",#N/A,FALSE,"Tran"}</definedName>
    <definedName name="ddd" localSheetId="48" hidden="1">{"Riqfin97",#N/A,FALSE,"Tran";"Riqfinpro",#N/A,FALSE,"Tran"}</definedName>
    <definedName name="ddd" localSheetId="1" hidden="1">{"Riqfin97",#N/A,FALSE,"Tran";"Riqfinpro",#N/A,FALSE,"Tran"}</definedName>
    <definedName name="ddd" localSheetId="11" hidden="1">{"Riqfin97",#N/A,FALSE,"Tran";"Riqfinpro",#N/A,FALSE,"Tran"}</definedName>
    <definedName name="ddd" hidden="1">{"Riqfin97",#N/A,FALSE,"Tran";"Riqfinpro",#N/A,FALSE,"Tran"}</definedName>
    <definedName name="debt" localSheetId="21">#REF!</definedName>
    <definedName name="debt" localSheetId="22">#REF!</definedName>
    <definedName name="debt" localSheetId="23">#REF!</definedName>
    <definedName name="debt" localSheetId="24">#REF!</definedName>
    <definedName name="debt">#REF!</definedName>
    <definedName name="DEBT1" localSheetId="21">#REF!</definedName>
    <definedName name="DEBT1" localSheetId="22">#REF!</definedName>
    <definedName name="DEBT1" localSheetId="23">#REF!</definedName>
    <definedName name="DEBT1" localSheetId="24">#REF!</definedName>
    <definedName name="DEBT1">#REF!</definedName>
    <definedName name="DEBT10" localSheetId="21">#REF!</definedName>
    <definedName name="DEBT10" localSheetId="22">#REF!</definedName>
    <definedName name="DEBT10" localSheetId="23">#REF!</definedName>
    <definedName name="DEBT10" localSheetId="24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[28]Graf14_Graf15!#REF!</definedName>
    <definedName name="degresivita_2">[28]Graf14_Graf15!#REF!</definedName>
    <definedName name="deleteme1" localSheetId="21" hidden="1">#REF!</definedName>
    <definedName name="deleteme1" localSheetId="22" hidden="1">#REF!</definedName>
    <definedName name="deleteme1" localSheetId="23" hidden="1">#REF!</definedName>
    <definedName name="deleteme1" localSheetId="24" hidden="1">#REF!</definedName>
    <definedName name="deleteme1" hidden="1">#REF!</definedName>
    <definedName name="deleteme3" localSheetId="21" hidden="1">#REF!</definedName>
    <definedName name="deleteme3" localSheetId="22" hidden="1">#REF!</definedName>
    <definedName name="deleteme3" localSheetId="23" hidden="1">#REF!</definedName>
    <definedName name="deleteme3" localSheetId="24" hidden="1">#REF!</definedName>
    <definedName name="deleteme3" hidden="1">#REF!</definedName>
    <definedName name="Department" localSheetId="21">[41]REER!#REF!</definedName>
    <definedName name="Department" localSheetId="22">[42]REER!#REF!</definedName>
    <definedName name="Department" localSheetId="23">[42]REER!#REF!</definedName>
    <definedName name="Department" localSheetId="24">[42]REER!#REF!</definedName>
    <definedName name="Department">[42]REER!#REF!</definedName>
    <definedName name="DGproj">#N/A</definedName>
    <definedName name="DLX1.USE" localSheetId="21">[43]Haver!$A$2:$N$8</definedName>
    <definedName name="DLX1.USE">[44]Haver!$A$2:$N$8</definedName>
    <definedName name="DOC" localSheetId="21">#REF!</definedName>
    <definedName name="DOC" localSheetId="22">#REF!</definedName>
    <definedName name="DOC" localSheetId="23">#REF!</definedName>
    <definedName name="DOC" localSheetId="24">#REF!</definedName>
    <definedName name="DOC">#REF!</definedName>
    <definedName name="dp">[45]DP!$A$1:$E$65536</definedName>
    <definedName name="Dproj">#N/A</definedName>
    <definedName name="dre" localSheetId="13" hidden="1">[46]M!#REF!</definedName>
    <definedName name="dre" localSheetId="21" hidden="1">[46]M!#REF!</definedName>
    <definedName name="dre" localSheetId="22" hidden="1">[46]M!#REF!</definedName>
    <definedName name="dre" localSheetId="23" hidden="1">[46]M!#REF!</definedName>
    <definedName name="dre" localSheetId="24" hidden="1">[46]M!#REF!</definedName>
    <definedName name="dre" localSheetId="11" hidden="1">[46]M!#REF!</definedName>
    <definedName name="dre" hidden="1">[46]M!#REF!</definedName>
    <definedName name="DSD">#N/A</definedName>
    <definedName name="DSD_S">#N/A</definedName>
    <definedName name="DSDB">#N/A</definedName>
    <definedName name="DSDG">#N/A</definedName>
    <definedName name="dsfsdds" localSheetId="21" hidden="1">{"Riqfin97",#N/A,FALSE,"Tran";"Riqfinpro",#N/A,FALSE,"Tran"}</definedName>
    <definedName name="dsfsdds" localSheetId="22" hidden="1">{"Riqfin97",#N/A,FALSE,"Tran";"Riqfinpro",#N/A,FALSE,"Tran"}</definedName>
    <definedName name="dsfsdds" localSheetId="23" hidden="1">{"Riqfin97",#N/A,FALSE,"Tran";"Riqfinpro",#N/A,FALSE,"Tran"}</definedName>
    <definedName name="dsfsdds" localSheetId="24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21">#REF!</definedName>
    <definedName name="e12db" localSheetId="22">#REF!</definedName>
    <definedName name="e12db" localSheetId="23">#REF!</definedName>
    <definedName name="e12db" localSheetId="24">#REF!</definedName>
    <definedName name="e12db">#REF!</definedName>
    <definedName name="e9db">[47]e9!$A$1:$V$49</definedName>
    <definedName name="EDNA">#N/A</definedName>
    <definedName name="EDSSDESCRIPTOR" localSheetId="21">#REF!</definedName>
    <definedName name="EDSSDESCRIPTOR" localSheetId="22">#REF!</definedName>
    <definedName name="EDSSDESCRIPTOR" localSheetId="23">#REF!</definedName>
    <definedName name="EDSSDESCRIPTOR" localSheetId="24">#REF!</definedName>
    <definedName name="EDSSDESCRIPTOR">#REF!</definedName>
    <definedName name="EDSSFILE" localSheetId="21">#REF!</definedName>
    <definedName name="EDSSFILE" localSheetId="22">#REF!</definedName>
    <definedName name="EDSSFILE" localSheetId="23">#REF!</definedName>
    <definedName name="EDSSFILE" localSheetId="24">#REF!</definedName>
    <definedName name="EDSSFILE">#REF!</definedName>
    <definedName name="EDSSNAME" localSheetId="21">#REF!</definedName>
    <definedName name="EDSSNAME" localSheetId="22">#REF!</definedName>
    <definedName name="EDSSNAME" localSheetId="23">#REF!</definedName>
    <definedName name="EDSSNAME" localSheetId="24">#REF!</definedName>
    <definedName name="EDSSNAME">#REF!</definedName>
    <definedName name="EDSSTIME">#REF!</definedName>
    <definedName name="ee" localSheetId="9" hidden="1">{"Tab1",#N/A,FALSE,"P";"Tab2",#N/A,FALSE,"P"}</definedName>
    <definedName name="ee" localSheetId="13" hidden="1">{"Tab1",#N/A,FALSE,"P";"Tab2",#N/A,FALSE,"P"}</definedName>
    <definedName name="ee" localSheetId="21" hidden="1">{"Tab1",#N/A,FALSE,"P";"Tab2",#N/A,FALSE,"P"}</definedName>
    <definedName name="ee" localSheetId="22" hidden="1">{"Tab1",#N/A,FALSE,"P";"Tab2",#N/A,FALSE,"P"}</definedName>
    <definedName name="ee" localSheetId="23" hidden="1">{"Tab1",#N/A,FALSE,"P";"Tab2",#N/A,FALSE,"P"}</definedName>
    <definedName name="ee" localSheetId="24" hidden="1">{"Tab1",#N/A,FALSE,"P";"Tab2",#N/A,FALSE,"P"}</definedName>
    <definedName name="ee" localSheetId="48" hidden="1">{"Tab1",#N/A,FALSE,"P";"Tab2",#N/A,FALSE,"P"}</definedName>
    <definedName name="ee" localSheetId="1" hidden="1">{"Tab1",#N/A,FALSE,"P";"Tab2",#N/A,FALSE,"P"}</definedName>
    <definedName name="ee" localSheetId="11" hidden="1">{"Tab1",#N/A,FALSE,"P";"Tab2",#N/A,FALSE,"P"}</definedName>
    <definedName name="ee" hidden="1">{"Tab1",#N/A,FALSE,"P";"Tab2",#N/A,FALSE,"P"}</definedName>
    <definedName name="EECB" localSheetId="21">#REF!</definedName>
    <definedName name="EECB" localSheetId="22">#REF!</definedName>
    <definedName name="EECB" localSheetId="23">#REF!</definedName>
    <definedName name="EECB" localSheetId="24">#REF!</definedName>
    <definedName name="EECB">#REF!</definedName>
    <definedName name="eedx" localSheetId="21" hidden="1">{"Tab1",#N/A,FALSE,"P";"Tab2",#N/A,FALSE,"P"}</definedName>
    <definedName name="eedx" localSheetId="22" hidden="1">{"Tab1",#N/A,FALSE,"P";"Tab2",#N/A,FALSE,"P"}</definedName>
    <definedName name="eedx" localSheetId="23" hidden="1">{"Tab1",#N/A,FALSE,"P";"Tab2",#N/A,FALSE,"P"}</definedName>
    <definedName name="eedx" localSheetId="24" hidden="1">{"Tab1",#N/A,FALSE,"P";"Tab2",#N/A,FALSE,"P"}</definedName>
    <definedName name="eedx" hidden="1">{"Tab1",#N/A,FALSE,"P";"Tab2",#N/A,FALSE,"P"}</definedName>
    <definedName name="eee" localSheetId="9" hidden="1">{"Tab1",#N/A,FALSE,"P";"Tab2",#N/A,FALSE,"P"}</definedName>
    <definedName name="eee" localSheetId="13" hidden="1">{"Tab1",#N/A,FALSE,"P";"Tab2",#N/A,FALSE,"P"}</definedName>
    <definedName name="eee" localSheetId="21" hidden="1">{"Tab1",#N/A,FALSE,"P";"Tab2",#N/A,FALSE,"P"}</definedName>
    <definedName name="eee" localSheetId="22" hidden="1">{"Tab1",#N/A,FALSE,"P";"Tab2",#N/A,FALSE,"P"}</definedName>
    <definedName name="eee" localSheetId="23" hidden="1">{"Tab1",#N/A,FALSE,"P";"Tab2",#N/A,FALSE,"P"}</definedName>
    <definedName name="eee" localSheetId="24" hidden="1">{"Tab1",#N/A,FALSE,"P";"Tab2",#N/A,FALSE,"P"}</definedName>
    <definedName name="eee" localSheetId="48" hidden="1">{"Tab1",#N/A,FALSE,"P";"Tab2",#N/A,FALSE,"P"}</definedName>
    <definedName name="eee" localSheetId="1" hidden="1">{"Tab1",#N/A,FALSE,"P";"Tab2",#N/A,FALSE,"P"}</definedName>
    <definedName name="eee" localSheetId="11" hidden="1">{"Tab1",#N/A,FALSE,"P";"Tab2",#N/A,FALSE,"P"}</definedName>
    <definedName name="eee" hidden="1">{"Tab1",#N/A,FALSE,"P";"Tab2",#N/A,FALSE,"P"}</definedName>
    <definedName name="EISCODE" localSheetId="21">#REF!</definedName>
    <definedName name="EISCODE" localSheetId="22">#REF!</definedName>
    <definedName name="EISCODE" localSheetId="23">#REF!</definedName>
    <definedName name="EISCODE" localSheetId="24">#REF!</definedName>
    <definedName name="EISCODE">#REF!</definedName>
    <definedName name="elect" localSheetId="21">#REF!</definedName>
    <definedName name="elect" localSheetId="22">#REF!</definedName>
    <definedName name="elect" localSheetId="23">#REF!</definedName>
    <definedName name="elect" localSheetId="24">#REF!</definedName>
    <definedName name="elect">#REF!</definedName>
    <definedName name="Emerging_HTML_AREA" localSheetId="21">#REF!</definedName>
    <definedName name="Emerging_HTML_AREA" localSheetId="22">#REF!</definedName>
    <definedName name="Emerging_HTML_AREA" localSheetId="23">#REF!</definedName>
    <definedName name="Emerging_HTML_AREA" localSheetId="24">#REF!</definedName>
    <definedName name="Emerging_HTML_AREA">#REF!</definedName>
    <definedName name="EMETEL">#REF!</definedName>
    <definedName name="ENDA">#N/A</definedName>
    <definedName name="equal_TLC">[28]Graf14_Graf15!#REF!</definedName>
    <definedName name="ExitWRS">[48]Main!$AB$25</definedName>
    <definedName name="fdfs" localSheetId="13" hidden="1">{"Riqfin97",#N/A,FALSE,"Tran";"Riqfinpro",#N/A,FALSE,"Tran"}</definedName>
    <definedName name="fdfs" localSheetId="21" hidden="1">{"Riqfin97",#N/A,FALSE,"Tran";"Riqfinpro",#N/A,FALSE,"Tran"}</definedName>
    <definedName name="fdfs" localSheetId="22" hidden="1">{"Riqfin97",#N/A,FALSE,"Tran";"Riqfinpro",#N/A,FALSE,"Tran"}</definedName>
    <definedName name="fdfs" localSheetId="23" hidden="1">{"Riqfin97",#N/A,FALSE,"Tran";"Riqfinpro",#N/A,FALSE,"Tran"}</definedName>
    <definedName name="fdfs" localSheetId="24" hidden="1">{"Riqfin97",#N/A,FALSE,"Tran";"Riqfinpro",#N/A,FALSE,"Tran"}</definedName>
    <definedName name="fdfs" localSheetId="1" hidden="1">{"Riqfin97",#N/A,FALSE,"Tran";"Riqfinpro",#N/A,FALSE,"Tran"}</definedName>
    <definedName name="fdfs" localSheetId="11" hidden="1">{"Riqfin97",#N/A,FALSE,"Tran";"Riqfinpro",#N/A,FALSE,"Tran"}</definedName>
    <definedName name="fdfs" hidden="1">{"Riqfin97",#N/A,FALSE,"Tran";"Riqfinpro",#N/A,FALSE,"Tran"}</definedName>
    <definedName name="ff" localSheetId="9" hidden="1">{"Tab1",#N/A,FALSE,"P";"Tab2",#N/A,FALSE,"P"}</definedName>
    <definedName name="ff" localSheetId="13" hidden="1">{"Tab1",#N/A,FALSE,"P";"Tab2",#N/A,FALSE,"P"}</definedName>
    <definedName name="ff" localSheetId="21" hidden="1">{"Tab1",#N/A,FALSE,"P";"Tab2",#N/A,FALSE,"P"}</definedName>
    <definedName name="ff" localSheetId="22" hidden="1">{"Tab1",#N/A,FALSE,"P";"Tab2",#N/A,FALSE,"P"}</definedName>
    <definedName name="ff" localSheetId="23" hidden="1">{"Tab1",#N/A,FALSE,"P";"Tab2",#N/A,FALSE,"P"}</definedName>
    <definedName name="ff" localSheetId="24" hidden="1">{"Tab1",#N/A,FALSE,"P";"Tab2",#N/A,FALSE,"P"}</definedName>
    <definedName name="ff" localSheetId="48" hidden="1">{"Tab1",#N/A,FALSE,"P";"Tab2",#N/A,FALSE,"P"}</definedName>
    <definedName name="ff" localSheetId="1" hidden="1">{"Tab1",#N/A,FALSE,"P";"Tab2",#N/A,FALSE,"P"}</definedName>
    <definedName name="ff" localSheetId="11" hidden="1">{"Tab1",#N/A,FALSE,"P";"Tab2",#N/A,FALSE,"P"}</definedName>
    <definedName name="ff" hidden="1">{"Tab1",#N/A,FALSE,"P";"Tab2",#N/A,FALSE,"P"}</definedName>
    <definedName name="fff" localSheetId="9" hidden="1">{"Tab1",#N/A,FALSE,"P";"Tab2",#N/A,FALSE,"P"}</definedName>
    <definedName name="fff" localSheetId="13" hidden="1">{"Tab1",#N/A,FALSE,"P";"Tab2",#N/A,FALSE,"P"}</definedName>
    <definedName name="fff" localSheetId="21" hidden="1">{"Tab1",#N/A,FALSE,"P";"Tab2",#N/A,FALSE,"P"}</definedName>
    <definedName name="fff" localSheetId="22" hidden="1">{"Tab1",#N/A,FALSE,"P";"Tab2",#N/A,FALSE,"P"}</definedName>
    <definedName name="fff" localSheetId="23" hidden="1">{"Tab1",#N/A,FALSE,"P";"Tab2",#N/A,FALSE,"P"}</definedName>
    <definedName name="fff" localSheetId="24" hidden="1">{"Tab1",#N/A,FALSE,"P";"Tab2",#N/A,FALSE,"P"}</definedName>
    <definedName name="fff" localSheetId="48" hidden="1">{"Tab1",#N/A,FALSE,"P";"Tab2",#N/A,FALSE,"P"}</definedName>
    <definedName name="fff" localSheetId="1" hidden="1">{"Tab1",#N/A,FALSE,"P";"Tab2",#N/A,FALSE,"P"}</definedName>
    <definedName name="fff" localSheetId="11" hidden="1">{"Tab1",#N/A,FALSE,"P";"Tab2",#N/A,FALSE,"P"}</definedName>
    <definedName name="fff" hidden="1">{"Tab1",#N/A,FALSE,"P";"Tab2",#N/A,FALSE,"P"}</definedName>
    <definedName name="Fig8.2a" localSheetId="21">#REF!</definedName>
    <definedName name="Fig8.2a" localSheetId="22">#REF!</definedName>
    <definedName name="Fig8.2a" localSheetId="23">#REF!</definedName>
    <definedName name="Fig8.2a" localSheetId="24">#REF!</definedName>
    <definedName name="Fig8.2a">#REF!</definedName>
    <definedName name="fill" hidden="1">'[49]Macroframework-Ver.1'!$A$1:$A$267</definedName>
    <definedName name="finan" localSheetId="21">#REF!</definedName>
    <definedName name="finan" localSheetId="22">#REF!</definedName>
    <definedName name="finan" localSheetId="23">#REF!</definedName>
    <definedName name="finan" localSheetId="24">#REF!</definedName>
    <definedName name="finan">#REF!</definedName>
    <definedName name="finan1" localSheetId="21">#REF!</definedName>
    <definedName name="finan1" localSheetId="22">#REF!</definedName>
    <definedName name="finan1" localSheetId="23">#REF!</definedName>
    <definedName name="finan1" localSheetId="24">#REF!</definedName>
    <definedName name="finan1">#REF!</definedName>
    <definedName name="Financing" localSheetId="9" hidden="1">{"Tab1",#N/A,FALSE,"P";"Tab2",#N/A,FALSE,"P"}</definedName>
    <definedName name="Financing" localSheetId="13" hidden="1">{"Tab1",#N/A,FALSE,"P";"Tab2",#N/A,FALSE,"P"}</definedName>
    <definedName name="Financing" localSheetId="21" hidden="1">{"Tab1",#N/A,FALSE,"P";"Tab2",#N/A,FALSE,"P"}</definedName>
    <definedName name="Financing" localSheetId="22" hidden="1">{"Tab1",#N/A,FALSE,"P";"Tab2",#N/A,FALSE,"P"}</definedName>
    <definedName name="Financing" localSheetId="23" hidden="1">{"Tab1",#N/A,FALSE,"P";"Tab2",#N/A,FALSE,"P"}</definedName>
    <definedName name="Financing" localSheetId="24" hidden="1">{"Tab1",#N/A,FALSE,"P";"Tab2",#N/A,FALSE,"P"}</definedName>
    <definedName name="Financing" localSheetId="48" hidden="1">{"Tab1",#N/A,FALSE,"P";"Tab2",#N/A,FALSE,"P"}</definedName>
    <definedName name="Financing" localSheetId="1" hidden="1">{"Tab1",#N/A,FALSE,"P";"Tab2",#N/A,FALSE,"P"}</definedName>
    <definedName name="Financing" localSheetId="11" hidden="1">{"Tab1",#N/A,FALSE,"P";"Tab2",#N/A,FALSE,"P"}</definedName>
    <definedName name="Financing" hidden="1">{"Tab1",#N/A,FALSE,"P";"Tab2",#N/A,FALSE,"P"}</definedName>
    <definedName name="FISUM" localSheetId="21">#REF!</definedName>
    <definedName name="FISUM" localSheetId="22">#REF!</definedName>
    <definedName name="FISUM" localSheetId="23">#REF!</definedName>
    <definedName name="FISUM" localSheetId="24">#REF!</definedName>
    <definedName name="FISUM">#REF!</definedName>
    <definedName name="FLOPEC" localSheetId="21">#REF!</definedName>
    <definedName name="FLOPEC" localSheetId="22">#REF!</definedName>
    <definedName name="FLOPEC" localSheetId="23">#REF!</definedName>
    <definedName name="FLOPEC" localSheetId="24">#REF!</definedName>
    <definedName name="FLOPEC">#REF!</definedName>
    <definedName name="FMB" localSheetId="21">#REF!</definedName>
    <definedName name="FMB" localSheetId="22">#REF!</definedName>
    <definedName name="FMB" localSheetId="23">#REF!</definedName>
    <definedName name="FMB" localSheetId="24">#REF!</definedName>
    <definedName name="FMB">#REF!</definedName>
    <definedName name="FODESEC">#REF!</definedName>
    <definedName name="FOREXPORT" localSheetId="21">[6]H!$A$2:$F$86</definedName>
    <definedName name="FOREXPORT">[21]H!$A$2:$F$86</definedName>
    <definedName name="fsd" localSheetId="21" hidden="1">#REF!</definedName>
    <definedName name="fsd" localSheetId="22" hidden="1">#REF!</definedName>
    <definedName name="fsd" localSheetId="23" hidden="1">#REF!</definedName>
    <definedName name="fsd" localSheetId="24" hidden="1">#REF!</definedName>
    <definedName name="fsd" localSheetId="48" hidden="1">#REF!</definedName>
    <definedName name="fsd" hidden="1">#REF!</definedName>
    <definedName name="fsdfsdfasdfasdfasd" localSheetId="21" hidden="1">#REF!</definedName>
    <definedName name="fsdfsdfasdfasdfasd" localSheetId="48" hidden="1">#REF!</definedName>
    <definedName name="fsdfsdfasdfasdfasd" hidden="1">#REF!</definedName>
    <definedName name="FUNDOBL" localSheetId="21">#REF!</definedName>
    <definedName name="FUNDOBL">#REF!</definedName>
    <definedName name="FUNDOBLB">#REF!</definedName>
    <definedName name="g">#REF!</definedName>
    <definedName name="GCB" localSheetId="21">#REF!</definedName>
    <definedName name="GCB">#REF!</definedName>
    <definedName name="GCB_NGDP">#N/A</definedName>
    <definedName name="GCEI" localSheetId="21">#REF!</definedName>
    <definedName name="GCEI" localSheetId="22">#REF!</definedName>
    <definedName name="GCEI" localSheetId="23">#REF!</definedName>
    <definedName name="GCEI" localSheetId="24">#REF!</definedName>
    <definedName name="GCEI">#REF!</definedName>
    <definedName name="GCENL" localSheetId="21">#REF!</definedName>
    <definedName name="GCENL" localSheetId="22">#REF!</definedName>
    <definedName name="GCENL" localSheetId="23">#REF!</definedName>
    <definedName name="GCENL" localSheetId="24">#REF!</definedName>
    <definedName name="GCENL">#REF!</definedName>
    <definedName name="GCND" localSheetId="21">#REF!</definedName>
    <definedName name="GCND" localSheetId="22">#REF!</definedName>
    <definedName name="GCND" localSheetId="23">#REF!</definedName>
    <definedName name="GCND" localSheetId="24">#REF!</definedName>
    <definedName name="GCND">#REF!</definedName>
    <definedName name="GCND_NGDP" localSheetId="21">#REF!</definedName>
    <definedName name="GCND_NGDP">#REF!</definedName>
    <definedName name="GCRG" localSheetId="21">#REF!</definedName>
    <definedName name="GCRG">#REF!</definedName>
    <definedName name="ggb" localSheetId="21">'[50]budget-G'!$A$1:$W$109</definedName>
    <definedName name="ggb">'[51]budget-G'!$A$1:$W$109</definedName>
    <definedName name="GGB_NGDP">#N/A</definedName>
    <definedName name="ggbeu" localSheetId="21">#REF!</definedName>
    <definedName name="ggbeu" localSheetId="22">#REF!</definedName>
    <definedName name="ggbeu" localSheetId="23">#REF!</definedName>
    <definedName name="ggbeu" localSheetId="24">#REF!</definedName>
    <definedName name="ggbeu">#REF!</definedName>
    <definedName name="ggblg" localSheetId="21">#REF!</definedName>
    <definedName name="ggblg" localSheetId="22">#REF!</definedName>
    <definedName name="ggblg" localSheetId="23">#REF!</definedName>
    <definedName name="ggblg" localSheetId="24">#REF!</definedName>
    <definedName name="ggblg">#REF!</definedName>
    <definedName name="ggbls" localSheetId="21">#REF!</definedName>
    <definedName name="ggbls" localSheetId="22">#REF!</definedName>
    <definedName name="ggbls" localSheetId="23">#REF!</definedName>
    <definedName name="ggbls" localSheetId="24">#REF!</definedName>
    <definedName name="ggbls">#REF!</definedName>
    <definedName name="ggbss" localSheetId="21">#REF!</definedName>
    <definedName name="ggbss">#REF!</definedName>
    <definedName name="gge" localSheetId="21">[50]Expenditures!$A$1:$AC$62</definedName>
    <definedName name="gge">[51]Expenditures!$A$1:$AC$62</definedName>
    <definedName name="GGED" localSheetId="21">#REF!</definedName>
    <definedName name="GGED" localSheetId="22">#REF!</definedName>
    <definedName name="GGED" localSheetId="23">#REF!</definedName>
    <definedName name="GGED" localSheetId="24">#REF!</definedName>
    <definedName name="GGED">#REF!</definedName>
    <definedName name="GGEI" localSheetId="21">#REF!</definedName>
    <definedName name="GGEI" localSheetId="22">#REF!</definedName>
    <definedName name="GGEI" localSheetId="23">#REF!</definedName>
    <definedName name="GGEI" localSheetId="24">#REF!</definedName>
    <definedName name="GGEI">#REF!</definedName>
    <definedName name="GGENL" localSheetId="21">#REF!</definedName>
    <definedName name="GGENL" localSheetId="22">#REF!</definedName>
    <definedName name="GGENL" localSheetId="23">#REF!</definedName>
    <definedName name="GGENL" localSheetId="24">#REF!</definedName>
    <definedName name="GGENL">#REF!</definedName>
    <definedName name="ggg" localSheetId="9" hidden="1">{"Riqfin97",#N/A,FALSE,"Tran";"Riqfinpro",#N/A,FALSE,"Tran"}</definedName>
    <definedName name="ggg" localSheetId="13" hidden="1">{"Riqfin97",#N/A,FALSE,"Tran";"Riqfinpro",#N/A,FALSE,"Tran"}</definedName>
    <definedName name="ggg" localSheetId="21" hidden="1">{"Riqfin97",#N/A,FALSE,"Tran";"Riqfinpro",#N/A,FALSE,"Tran"}</definedName>
    <definedName name="ggg" localSheetId="22" hidden="1">{"Riqfin97",#N/A,FALSE,"Tran";"Riqfinpro",#N/A,FALSE,"Tran"}</definedName>
    <definedName name="ggg" localSheetId="23" hidden="1">{"Riqfin97",#N/A,FALSE,"Tran";"Riqfinpro",#N/A,FALSE,"Tran"}</definedName>
    <definedName name="ggg" localSheetId="24" hidden="1">{"Riqfin97",#N/A,FALSE,"Tran";"Riqfinpro",#N/A,FALSE,"Tran"}</definedName>
    <definedName name="ggg" localSheetId="48" hidden="1">{"Riqfin97",#N/A,FALSE,"Tran";"Riqfinpro",#N/A,FALSE,"Tran"}</definedName>
    <definedName name="ggg" localSheetId="1" hidden="1">{"Riqfin97",#N/A,FALSE,"Tran";"Riqfinpro",#N/A,FALSE,"Tran"}</definedName>
    <definedName name="ggg" localSheetId="11" hidden="1">{"Riqfin97",#N/A,FALSE,"Tran";"Riqfinpro",#N/A,FALSE,"Tran"}</definedName>
    <definedName name="ggg" hidden="1">{"Riqfin97",#N/A,FALSE,"Tran";"Riqfinpro",#N/A,FALSE,"Tran"}</definedName>
    <definedName name="ggggg" localSheetId="21" hidden="1">'[52]J(Priv.Cap)'!#REF!</definedName>
    <definedName name="ggggg" localSheetId="48" hidden="1">'[52]J(Priv.Cap)'!#REF!</definedName>
    <definedName name="ggggg" hidden="1">'[52]J(Priv.Cap)'!#REF!</definedName>
    <definedName name="ggggggg" localSheetId="21">'Graf 23 + 24'!ggggggg</definedName>
    <definedName name="ggggggg">[22]!ggggggg</definedName>
    <definedName name="GGND" localSheetId="21">#REF!</definedName>
    <definedName name="GGND" localSheetId="22">#REF!</definedName>
    <definedName name="GGND" localSheetId="23">#REF!</definedName>
    <definedName name="GGND" localSheetId="24">#REF!</definedName>
    <definedName name="GGND">#REF!</definedName>
    <definedName name="ggr" localSheetId="21">[50]Revenues!$A$1:$AD$58</definedName>
    <definedName name="ggr">[51]Revenues!$A$1:$AD$58</definedName>
    <definedName name="GGRG" localSheetId="21">#REF!</definedName>
    <definedName name="GGRG" localSheetId="22">#REF!</definedName>
    <definedName name="GGRG" localSheetId="23">#REF!</definedName>
    <definedName name="GGRG" localSheetId="24">#REF!</definedName>
    <definedName name="GGRG">#REF!</definedName>
    <definedName name="GPee_2" localSheetId="21">[28]Graf14_Graf15!#REF!</definedName>
    <definedName name="GPee_2" localSheetId="22">[28]Graf14_Graf15!#REF!</definedName>
    <definedName name="GPee_2" localSheetId="23">[28]Graf14_Graf15!#REF!</definedName>
    <definedName name="GPee_2" localSheetId="24">[28]Graf14_Graf15!#REF!</definedName>
    <definedName name="GPee_2">[28]Graf14_Graf15!#REF!</definedName>
    <definedName name="GPer_2" localSheetId="21">[28]Graf14_Graf15!#REF!</definedName>
    <definedName name="GPer_2" localSheetId="22">[28]Graf14_Graf15!#REF!</definedName>
    <definedName name="GPer_2" localSheetId="23">[28]Graf14_Graf15!#REF!</definedName>
    <definedName name="GPer_2" localSheetId="24">[28]Graf14_Graf15!#REF!</definedName>
    <definedName name="GPer_2">[28]Graf14_Graf15!#REF!</definedName>
    <definedName name="HDPn_2">[53]makro!$C$5</definedName>
    <definedName name="HDPn_2n">[53]makro!$C$27</definedName>
    <definedName name="HDPn_3">[53]makro!$D$5</definedName>
    <definedName name="HDPn_3n">[53]makro!$D$27</definedName>
    <definedName name="HDPn_4">[53]makro!$E$5</definedName>
    <definedName name="HDPn_4n">[53]makro!$E$27</definedName>
    <definedName name="HDPn_5">[53]makro!$F$5</definedName>
    <definedName name="HDPn_5n">[53]makro!$F$27</definedName>
    <definedName name="HDPn_6">[53]makro!$G$5</definedName>
    <definedName name="HDPn_6n">[53]makro!$G$27</definedName>
    <definedName name="HDPnbk_2">[53]makro!$C$16</definedName>
    <definedName name="HDPnbk_2n">[53]makro!$C$38</definedName>
    <definedName name="HDPnbk_3">[53]makro!$D$16</definedName>
    <definedName name="HDPnbk_3n">[53]makro!$D$38</definedName>
    <definedName name="HDPnbk_4">[53]makro!$E$16</definedName>
    <definedName name="HDPnbk_4n">[53]makro!$E$38</definedName>
    <definedName name="HDPnbk_5">[53]makro!$F$16</definedName>
    <definedName name="HDPnbk_5n">[53]makro!$F$38</definedName>
    <definedName name="HDPnbk_6">[53]makro!$G$16</definedName>
    <definedName name="HDPnbk_6n">[53]makro!$G$38</definedName>
    <definedName name="HDPr_2">[53]makro!$C$4</definedName>
    <definedName name="HDPr_2n">[53]makro!$C$26</definedName>
    <definedName name="HDPr_3">[53]makro!$D$4</definedName>
    <definedName name="HDPr_3n">[53]makro!$D$26</definedName>
    <definedName name="HDPr_4">[53]makro!$E$4</definedName>
    <definedName name="HDPr_4n">[53]makro!$E$26</definedName>
    <definedName name="HDPr_5">[53]makro!$F$4</definedName>
    <definedName name="HDPr_5n">[53]makro!$F$26</definedName>
    <definedName name="HDPr_6">[53]makro!$G$4</definedName>
    <definedName name="HDPr_6n">[53]makro!$G$26</definedName>
    <definedName name="hgfd" localSheetId="21" hidden="1">{#N/A,#N/A,FALSE,"I";#N/A,#N/A,FALSE,"J";#N/A,#N/A,FALSE,"K";#N/A,#N/A,FALSE,"L";#N/A,#N/A,FALSE,"M";#N/A,#N/A,FALSE,"N";#N/A,#N/A,FALSE,"O"}</definedName>
    <definedName name="hgfd" localSheetId="22" hidden="1">{#N/A,#N/A,FALSE,"I";#N/A,#N/A,FALSE,"J";#N/A,#N/A,FALSE,"K";#N/A,#N/A,FALSE,"L";#N/A,#N/A,FALSE,"M";#N/A,#N/A,FALSE,"N";#N/A,#N/A,FALSE,"O"}</definedName>
    <definedName name="hgfd" localSheetId="23" hidden="1">{#N/A,#N/A,FALSE,"I";#N/A,#N/A,FALSE,"J";#N/A,#N/A,FALSE,"K";#N/A,#N/A,FALSE,"L";#N/A,#N/A,FALSE,"M";#N/A,#N/A,FALSE,"N";#N/A,#N/A,FALSE,"O"}</definedName>
    <definedName name="hgfd" localSheetId="24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8" hidden="1">'[54]J(Priv.Cap)'!#REF!</definedName>
    <definedName name="hhh" localSheetId="9" hidden="1">'[54]J(Priv.Cap)'!#REF!</definedName>
    <definedName name="hhh" localSheetId="21" hidden="1">'[54]J(Priv.Cap)'!#REF!</definedName>
    <definedName name="hhh" localSheetId="48" hidden="1">'[54]J(Priv.Cap)'!#REF!</definedName>
    <definedName name="hhh" hidden="1">'[54]J(Priv.Cap)'!#REF!</definedName>
    <definedName name="hhhhhhh" localSheetId="21">'Graf 23 + 24'!hhhhhhh</definedName>
    <definedName name="hhhhhhh">[22]!hhhhhhh</definedName>
    <definedName name="HTML_CodePage" hidden="1">1252</definedName>
    <definedName name="HTML_Control" localSheetId="21" hidden="1">{"'Resources'!$A$1:$W$34","'Balance Sheet'!$A$1:$W$58","'SFD'!$A$1:$J$52"}</definedName>
    <definedName name="HTML_Control" localSheetId="22" hidden="1">{"'Resources'!$A$1:$W$34","'Balance Sheet'!$A$1:$W$58","'SFD'!$A$1:$J$52"}</definedName>
    <definedName name="HTML_Control" localSheetId="23" hidden="1">{"'Resources'!$A$1:$W$34","'Balance Sheet'!$A$1:$W$58","'SFD'!$A$1:$J$52"}</definedName>
    <definedName name="HTML_Control" localSheetId="24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21">#REF!</definedName>
    <definedName name="CHART" localSheetId="22">#REF!</definedName>
    <definedName name="CHART" localSheetId="23">#REF!</definedName>
    <definedName name="CHART" localSheetId="24">#REF!</definedName>
    <definedName name="CHART">#REF!</definedName>
    <definedName name="chart4" localSheetId="21" hidden="1">{#N/A,#N/A,FALSE,"CB";#N/A,#N/A,FALSE,"CMB";#N/A,#N/A,FALSE,"NBFI"}</definedName>
    <definedName name="chart4" localSheetId="22" hidden="1">{#N/A,#N/A,FALSE,"CB";#N/A,#N/A,FALSE,"CMB";#N/A,#N/A,FALSE,"NBFI"}</definedName>
    <definedName name="chart4" localSheetId="23" hidden="1">{#N/A,#N/A,FALSE,"CB";#N/A,#N/A,FALSE,"CMB";#N/A,#N/A,FALSE,"NBFI"}</definedName>
    <definedName name="chart4" localSheetId="24" hidden="1">{#N/A,#N/A,FALSE,"CB";#N/A,#N/A,FALSE,"CMB";#N/A,#N/A,FALSE,"NBFI"}</definedName>
    <definedName name="chart4" hidden="1">{#N/A,#N/A,FALSE,"CB";#N/A,#N/A,FALSE,"CMB";#N/A,#N/A,FALSE,"NBFI"}</definedName>
    <definedName name="CHILE" localSheetId="21">#REF!</definedName>
    <definedName name="CHILE" localSheetId="22">#REF!</definedName>
    <definedName name="CHILE" localSheetId="23">#REF!</definedName>
    <definedName name="CHILE" localSheetId="24">#REF!</definedName>
    <definedName name="CHILE">#REF!</definedName>
    <definedName name="CHK" localSheetId="21">#REF!</definedName>
    <definedName name="CHK" localSheetId="22">#REF!</definedName>
    <definedName name="CHK" localSheetId="23">#REF!</definedName>
    <definedName name="CHK" localSheetId="24">#REF!</definedName>
    <definedName name="CHK">#REF!</definedName>
    <definedName name="i" localSheetId="21">#REF!</definedName>
    <definedName name="i" localSheetId="22">#REF!</definedName>
    <definedName name="i" localSheetId="23">#REF!</definedName>
    <definedName name="i" localSheetId="24">#REF!</definedName>
    <definedName name="i">#REF!</definedName>
    <definedName name="IESS">#REF!</definedName>
    <definedName name="ii" localSheetId="9" hidden="1">{"Tab1",#N/A,FALSE,"P";"Tab2",#N/A,FALSE,"P"}</definedName>
    <definedName name="ii" localSheetId="13" hidden="1">{"Tab1",#N/A,FALSE,"P";"Tab2",#N/A,FALSE,"P"}</definedName>
    <definedName name="ii" localSheetId="21" hidden="1">{"Tab1",#N/A,FALSE,"P";"Tab2",#N/A,FALSE,"P"}</definedName>
    <definedName name="ii" localSheetId="22" hidden="1">{"Tab1",#N/A,FALSE,"P";"Tab2",#N/A,FALSE,"P"}</definedName>
    <definedName name="ii" localSheetId="23" hidden="1">{"Tab1",#N/A,FALSE,"P";"Tab2",#N/A,FALSE,"P"}</definedName>
    <definedName name="ii" localSheetId="24" hidden="1">{"Tab1",#N/A,FALSE,"P";"Tab2",#N/A,FALSE,"P"}</definedName>
    <definedName name="ii" localSheetId="48" hidden="1">{"Tab1",#N/A,FALSE,"P";"Tab2",#N/A,FALSE,"P"}</definedName>
    <definedName name="ii" localSheetId="1" hidden="1">{"Tab1",#N/A,FALSE,"P";"Tab2",#N/A,FALSE,"P"}</definedName>
    <definedName name="ii" localSheetId="11" hidden="1">{"Tab1",#N/A,FALSE,"P";"Tab2",#N/A,FALSE,"P"}</definedName>
    <definedName name="ii" hidden="1">{"Tab1",#N/A,FALSE,"P";"Tab2",#N/A,FALSE,"P"}</definedName>
    <definedName name="II_pilier_2">[28]Graf14_Graf15!#REF!</definedName>
    <definedName name="II_pillar_figure">[28]Graf14_Graf15!#REF!</definedName>
    <definedName name="ima" localSheetId="21">#REF!</definedName>
    <definedName name="ima" localSheetId="22">#REF!</definedName>
    <definedName name="ima" localSheetId="23">#REF!</definedName>
    <definedName name="ima" localSheetId="24">#REF!</definedName>
    <definedName name="ima">#REF!</definedName>
    <definedName name="IMPn_2">[53]makro!$C$17</definedName>
    <definedName name="IMPn_2n">[53]makro!$C$39</definedName>
    <definedName name="IMPn_3">[53]makro!$D$17</definedName>
    <definedName name="IMPn_3n">[53]makro!$D$39</definedName>
    <definedName name="IMPn_4">[53]makro!$E$17</definedName>
    <definedName name="IMPn_4n">[53]makro!$E$39</definedName>
    <definedName name="IMPn_5">[53]makro!$F$17</definedName>
    <definedName name="IMPn_5n">[53]makro!$F$39</definedName>
    <definedName name="IMPn_6">[53]makro!$G$17</definedName>
    <definedName name="IMPn_6n">[53]makro!$G$39</definedName>
    <definedName name="IN1_" localSheetId="21">#REF!</definedName>
    <definedName name="IN1_" localSheetId="22">#REF!</definedName>
    <definedName name="IN1_" localSheetId="23">#REF!</definedName>
    <definedName name="IN1_" localSheetId="24">#REF!</definedName>
    <definedName name="IN1_">#REF!</definedName>
    <definedName name="IN2_" localSheetId="21">#REF!</definedName>
    <definedName name="IN2_" localSheetId="22">#REF!</definedName>
    <definedName name="IN2_" localSheetId="23">#REF!</definedName>
    <definedName name="IN2_" localSheetId="24">#REF!</definedName>
    <definedName name="IN2_">#REF!</definedName>
    <definedName name="INB" localSheetId="21">[29]B!$K$6:$T$6</definedName>
    <definedName name="INB">[30]B!$K$6:$T$6</definedName>
    <definedName name="INC" localSheetId="21">[29]C!$H$6:$I$6</definedName>
    <definedName name="INC">[30]C!$H$6:$I$6</definedName>
    <definedName name="ind" localSheetId="21">#REF!</definedName>
    <definedName name="ind" localSheetId="22">#REF!</definedName>
    <definedName name="ind" localSheetId="23">#REF!</definedName>
    <definedName name="ind" localSheetId="24">#REF!</definedName>
    <definedName name="ind">#REF!</definedName>
    <definedName name="INECEL" localSheetId="21">#REF!</definedName>
    <definedName name="INECEL" localSheetId="22">#REF!</definedName>
    <definedName name="INECEL" localSheetId="23">#REF!</definedName>
    <definedName name="INECEL" localSheetId="24">#REF!</definedName>
    <definedName name="INECEL">#REF!</definedName>
    <definedName name="inflation" localSheetId="8" hidden="1">[55]TAB34!#REF!</definedName>
    <definedName name="inflation" localSheetId="9" hidden="1">[56]TAB34!#REF!</definedName>
    <definedName name="inflation" localSheetId="21" hidden="1">[57]TAB34!#REF!</definedName>
    <definedName name="inflation" localSheetId="48" hidden="1">[55]TAB34!#REF!</definedName>
    <definedName name="inflation" hidden="1">[55]TAB34!#REF!</definedName>
    <definedName name="INPUT_2" localSheetId="21">[1]Input!#REF!</definedName>
    <definedName name="INPUT_2">[1]Input!#REF!</definedName>
    <definedName name="INPUT_4" localSheetId="21">[1]Input!#REF!</definedName>
    <definedName name="INPUT_4">[1]Input!#REF!</definedName>
    <definedName name="IPee_2">[28]Graf14_Graf15!#REF!</definedName>
    <definedName name="IPer_2">[28]Graf14_Graf15!#REF!</definedName>
    <definedName name="IT">[28]Graf14_Graf15!#REF!</definedName>
    <definedName name="IT_2">[28]Graf14_Graf15!#REF!</definedName>
    <definedName name="IT_2_bracket_2">[28]Graf14_Graf15!#REF!</definedName>
    <definedName name="jhgf" localSheetId="21" hidden="1">{"MONA",#N/A,FALSE,"S"}</definedName>
    <definedName name="jhgf" localSheetId="22" hidden="1">{"MONA",#N/A,FALSE,"S"}</definedName>
    <definedName name="jhgf" localSheetId="23" hidden="1">{"MONA",#N/A,FALSE,"S"}</definedName>
    <definedName name="jhgf" localSheetId="24" hidden="1">{"MONA",#N/A,FALSE,"S"}</definedName>
    <definedName name="jhgf" hidden="1">{"MONA",#N/A,FALSE,"S"}</definedName>
    <definedName name="jj" localSheetId="9" hidden="1">{"Riqfin97",#N/A,FALSE,"Tran";"Riqfinpro",#N/A,FALSE,"Tran"}</definedName>
    <definedName name="jj" localSheetId="13" hidden="1">{"Riqfin97",#N/A,FALSE,"Tran";"Riqfinpro",#N/A,FALSE,"Tran"}</definedName>
    <definedName name="jj" localSheetId="21" hidden="1">{"Riqfin97",#N/A,FALSE,"Tran";"Riqfinpro",#N/A,FALSE,"Tran"}</definedName>
    <definedName name="jj" localSheetId="22" hidden="1">{"Riqfin97",#N/A,FALSE,"Tran";"Riqfinpro",#N/A,FALSE,"Tran"}</definedName>
    <definedName name="jj" localSheetId="23" hidden="1">{"Riqfin97",#N/A,FALSE,"Tran";"Riqfinpro",#N/A,FALSE,"Tran"}</definedName>
    <definedName name="jj" localSheetId="24" hidden="1">{"Riqfin97",#N/A,FALSE,"Tran";"Riqfinpro",#N/A,FALSE,"Tran"}</definedName>
    <definedName name="jj" localSheetId="48" hidden="1">{"Riqfin97",#N/A,FALSE,"Tran";"Riqfinpro",#N/A,FALSE,"Tran"}</definedName>
    <definedName name="jj" localSheetId="1" hidden="1">{"Riqfin97",#N/A,FALSE,"Tran";"Riqfinpro",#N/A,FALSE,"Tran"}</definedName>
    <definedName name="jj" localSheetId="11" hidden="1">{"Riqfin97",#N/A,FALSE,"Tran";"Riqfinpro",#N/A,FALSE,"Tran"}</definedName>
    <definedName name="jj" hidden="1">{"Riqfin97",#N/A,FALSE,"Tran";"Riqfinpro",#N/A,FALSE,"Tran"}</definedName>
    <definedName name="jjj" localSheetId="21" hidden="1">[58]M!#REF!</definedName>
    <definedName name="jjj" localSheetId="48" hidden="1">[58]M!#REF!</definedName>
    <definedName name="jjj" hidden="1">[58]M!#REF!</definedName>
    <definedName name="jjjjjj" localSheetId="21" hidden="1">'[52]J(Priv.Cap)'!#REF!</definedName>
    <definedName name="jjjjjj" localSheetId="48" hidden="1">'[52]J(Priv.Cap)'!#REF!</definedName>
    <definedName name="jjjjjj" hidden="1">'[52]J(Priv.Cap)'!#REF!</definedName>
    <definedName name="kjg" localSheetId="21" hidden="1">{#N/A,#N/A,FALSE,"SimInp1";#N/A,#N/A,FALSE,"SimInp2";#N/A,#N/A,FALSE,"SimOut1";#N/A,#N/A,FALSE,"SimOut2";#N/A,#N/A,FALSE,"SimOut3";#N/A,#N/A,FALSE,"SimOut4";#N/A,#N/A,FALSE,"SimOut5"}</definedName>
    <definedName name="kjg" localSheetId="22" hidden="1">{#N/A,#N/A,FALSE,"SimInp1";#N/A,#N/A,FALSE,"SimInp2";#N/A,#N/A,FALSE,"SimOut1";#N/A,#N/A,FALSE,"SimOut2";#N/A,#N/A,FALSE,"SimOut3";#N/A,#N/A,FALSE,"SimOut4";#N/A,#N/A,FALSE,"SimOut5"}</definedName>
    <definedName name="kjg" localSheetId="23" hidden="1">{#N/A,#N/A,FALSE,"SimInp1";#N/A,#N/A,FALSE,"SimInp2";#N/A,#N/A,FALSE,"SimOut1";#N/A,#N/A,FALSE,"SimOut2";#N/A,#N/A,FALSE,"SimOut3";#N/A,#N/A,FALSE,"SimOut4";#N/A,#N/A,FALSE,"SimOut5"}</definedName>
    <definedName name="kjg" localSheetId="24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24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9" hidden="1">{"Tab1",#N/A,FALSE,"P";"Tab2",#N/A,FALSE,"P"}</definedName>
    <definedName name="kk" localSheetId="13" hidden="1">{"Tab1",#N/A,FALSE,"P";"Tab2",#N/A,FALSE,"P"}</definedName>
    <definedName name="kk" localSheetId="21" hidden="1">{"Tab1",#N/A,FALSE,"P";"Tab2",#N/A,FALSE,"P"}</definedName>
    <definedName name="kk" localSheetId="22" hidden="1">{"Tab1",#N/A,FALSE,"P";"Tab2",#N/A,FALSE,"P"}</definedName>
    <definedName name="kk" localSheetId="23" hidden="1">{"Tab1",#N/A,FALSE,"P";"Tab2",#N/A,FALSE,"P"}</definedName>
    <definedName name="kk" localSheetId="24" hidden="1">{"Tab1",#N/A,FALSE,"P";"Tab2",#N/A,FALSE,"P"}</definedName>
    <definedName name="kk" localSheetId="48" hidden="1">{"Tab1",#N/A,FALSE,"P";"Tab2",#N/A,FALSE,"P"}</definedName>
    <definedName name="kk" localSheetId="1" hidden="1">{"Tab1",#N/A,FALSE,"P";"Tab2",#N/A,FALSE,"P"}</definedName>
    <definedName name="kk" localSheetId="11" hidden="1">{"Tab1",#N/A,FALSE,"P";"Tab2",#N/A,FALSE,"P"}</definedName>
    <definedName name="kk" hidden="1">{"Tab1",#N/A,FALSE,"P";"Tab2",#N/A,FALSE,"P"}</definedName>
    <definedName name="kkk" localSheetId="9" hidden="1">{"Tab1",#N/A,FALSE,"P";"Tab2",#N/A,FALSE,"P"}</definedName>
    <definedName name="kkk" localSheetId="13" hidden="1">{"Tab1",#N/A,FALSE,"P";"Tab2",#N/A,FALSE,"P"}</definedName>
    <definedName name="kkk" localSheetId="21" hidden="1">{"Tab1",#N/A,FALSE,"P";"Tab2",#N/A,FALSE,"P"}</definedName>
    <definedName name="kkk" localSheetId="22" hidden="1">{"Tab1",#N/A,FALSE,"P";"Tab2",#N/A,FALSE,"P"}</definedName>
    <definedName name="kkk" localSheetId="23" hidden="1">{"Tab1",#N/A,FALSE,"P";"Tab2",#N/A,FALSE,"P"}</definedName>
    <definedName name="kkk" localSheetId="24" hidden="1">{"Tab1",#N/A,FALSE,"P";"Tab2",#N/A,FALSE,"P"}</definedName>
    <definedName name="kkk" localSheetId="48" hidden="1">{"Tab1",#N/A,FALSE,"P";"Tab2",#N/A,FALSE,"P"}</definedName>
    <definedName name="kkk" localSheetId="1" hidden="1">{"Tab1",#N/A,FALSE,"P";"Tab2",#N/A,FALSE,"P"}</definedName>
    <definedName name="kkk" localSheetId="11" hidden="1">{"Tab1",#N/A,FALSE,"P";"Tab2",#N/A,FALSE,"P"}</definedName>
    <definedName name="kkk" hidden="1">{"Tab1",#N/A,FALSE,"P";"Tab2",#N/A,FALSE,"P"}</definedName>
    <definedName name="kkkk" localSheetId="21" hidden="1">[46]M!#REF!</definedName>
    <definedName name="kkkk" localSheetId="48" hidden="1">[46]M!#REF!</definedName>
    <definedName name="kkkk" hidden="1">[46]M!#REF!</definedName>
    <definedName name="Konto" localSheetId="21">#REF!</definedName>
    <definedName name="Konto" localSheetId="22">#REF!</definedName>
    <definedName name="Konto" localSheetId="23">#REF!</definedName>
    <definedName name="Konto" localSheetId="24">#REF!</definedName>
    <definedName name="Konto">#REF!</definedName>
    <definedName name="KSDn_2">[53]makro!$C$7</definedName>
    <definedName name="KSDn_2_up">[53]makro!$C$8</definedName>
    <definedName name="KSDn_2n">[53]makro!$C$29</definedName>
    <definedName name="KSDn_2n_up">[53]makro!$C$30</definedName>
    <definedName name="KSDn_3">[53]makro!$D$7</definedName>
    <definedName name="KSDn_3_up">[53]makro!$D$8</definedName>
    <definedName name="KSDn_3n">[53]makro!$D$29</definedName>
    <definedName name="KSDn_3n_up">[53]makro!$D$30</definedName>
    <definedName name="KSDn_4">[53]makro!$E$7</definedName>
    <definedName name="KSDn_4_up">[53]makro!$E$8</definedName>
    <definedName name="KSDn_4n">[53]makro!$E$29</definedName>
    <definedName name="KSDn_4n_up">[53]makro!$E$30</definedName>
    <definedName name="KSDn_5">[53]makro!$F$7</definedName>
    <definedName name="KSDn_5_up">[53]makro!$F$8</definedName>
    <definedName name="KSDn_5n">[53]makro!$F$29</definedName>
    <definedName name="KSDn_5n_up">[53]makro!$F$30</definedName>
    <definedName name="KSDn_6">[53]makro!$G$7</definedName>
    <definedName name="KSDn_6_up">[53]makro!$G$8</definedName>
    <definedName name="KSDn_6n">[53]makro!$G$29</definedName>
    <definedName name="KSDn_6n_up">[53]makro!$G$30</definedName>
    <definedName name="KSDr_2">[53]makro!$C$6</definedName>
    <definedName name="KSDr_2n">[53]makro!$C$28</definedName>
    <definedName name="KSDr_3">[53]makro!$D$6</definedName>
    <definedName name="KSDr_3n">[53]makro!$D$28</definedName>
    <definedName name="KSDr_4">[53]makro!$E$6</definedName>
    <definedName name="KSDr_4n">[53]makro!$E$28</definedName>
    <definedName name="KSDr_5">[53]makro!$F$6</definedName>
    <definedName name="KSDr_5n">[53]makro!$F$28</definedName>
    <definedName name="KSDr_6">[53]makro!$G$6</definedName>
    <definedName name="KSDr_6n">[53]makro!$G$28</definedName>
    <definedName name="kumul1" localSheetId="21">#REF!</definedName>
    <definedName name="kumul1" localSheetId="22">#REF!</definedName>
    <definedName name="kumul1" localSheetId="23">#REF!</definedName>
    <definedName name="kumul1" localSheetId="24">#REF!</definedName>
    <definedName name="kumul1">#REF!</definedName>
    <definedName name="kumul2" localSheetId="21">#REF!</definedName>
    <definedName name="kumul2" localSheetId="22">#REF!</definedName>
    <definedName name="kumul2" localSheetId="23">#REF!</definedName>
    <definedName name="kumul2" localSheetId="24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l" localSheetId="9" hidden="1">{"Tab1",#N/A,FALSE,"P";"Tab2",#N/A,FALSE,"P"}</definedName>
    <definedName name="ll" localSheetId="13" hidden="1">{"Tab1",#N/A,FALSE,"P";"Tab2",#N/A,FALSE,"P"}</definedName>
    <definedName name="ll" localSheetId="21" hidden="1">{"Tab1",#N/A,FALSE,"P";"Tab2",#N/A,FALSE,"P"}</definedName>
    <definedName name="ll" localSheetId="22" hidden="1">{"Tab1",#N/A,FALSE,"P";"Tab2",#N/A,FALSE,"P"}</definedName>
    <definedName name="ll" localSheetId="23" hidden="1">{"Tab1",#N/A,FALSE,"P";"Tab2",#N/A,FALSE,"P"}</definedName>
    <definedName name="ll" localSheetId="24" hidden="1">{"Tab1",#N/A,FALSE,"P";"Tab2",#N/A,FALSE,"P"}</definedName>
    <definedName name="ll" localSheetId="48" hidden="1">{"Tab1",#N/A,FALSE,"P";"Tab2",#N/A,FALSE,"P"}</definedName>
    <definedName name="ll" localSheetId="1" hidden="1">{"Tab1",#N/A,FALSE,"P";"Tab2",#N/A,FALSE,"P"}</definedName>
    <definedName name="ll" localSheetId="11" hidden="1">{"Tab1",#N/A,FALSE,"P";"Tab2",#N/A,FALSE,"P"}</definedName>
    <definedName name="ll" hidden="1">{"Tab1",#N/A,FALSE,"P";"Tab2",#N/A,FALSE,"P"}</definedName>
    <definedName name="lll" localSheetId="9" hidden="1">{"Riqfin97",#N/A,FALSE,"Tran";"Riqfinpro",#N/A,FALSE,"Tran"}</definedName>
    <definedName name="lll" localSheetId="13" hidden="1">{"Riqfin97",#N/A,FALSE,"Tran";"Riqfinpro",#N/A,FALSE,"Tran"}</definedName>
    <definedName name="lll" localSheetId="21" hidden="1">{"Riqfin97",#N/A,FALSE,"Tran";"Riqfinpro",#N/A,FALSE,"Tran"}</definedName>
    <definedName name="lll" localSheetId="22" hidden="1">{"Riqfin97",#N/A,FALSE,"Tran";"Riqfinpro",#N/A,FALSE,"Tran"}</definedName>
    <definedName name="lll" localSheetId="23" hidden="1">{"Riqfin97",#N/A,FALSE,"Tran";"Riqfinpro",#N/A,FALSE,"Tran"}</definedName>
    <definedName name="lll" localSheetId="24" hidden="1">{"Riqfin97",#N/A,FALSE,"Tran";"Riqfinpro",#N/A,FALSE,"Tran"}</definedName>
    <definedName name="lll" localSheetId="48" hidden="1">{"Riqfin97",#N/A,FALSE,"Tran";"Riqfinpro",#N/A,FALSE,"Tran"}</definedName>
    <definedName name="lll" localSheetId="1" hidden="1">{"Riqfin97",#N/A,FALSE,"Tran";"Riqfinpro",#N/A,FALSE,"Tran"}</definedName>
    <definedName name="lll" localSheetId="11" hidden="1">{"Riqfin97",#N/A,FALSE,"Tran";"Riqfinpro",#N/A,FALSE,"Tran"}</definedName>
    <definedName name="lll" hidden="1">{"Riqfin97",#N/A,FALSE,"Tran";"Riqfinpro",#N/A,FALSE,"Tran"}</definedName>
    <definedName name="llll" localSheetId="21" hidden="1">[58]M!#REF!</definedName>
    <definedName name="llll" localSheetId="48" hidden="1">[58]M!#REF!</definedName>
    <definedName name="llll" hidden="1">[58]M!#REF!</definedName>
    <definedName name="ls">[45]LS!$A$1:$E$65536</definedName>
    <definedName name="LUR">#N/A</definedName>
    <definedName name="Malaysia" localSheetId="21">#REF!</definedName>
    <definedName name="Malaysia" localSheetId="22">#REF!</definedName>
    <definedName name="Malaysia" localSheetId="23">#REF!</definedName>
    <definedName name="Malaysia" localSheetId="24">#REF!</definedName>
    <definedName name="Malaysia">#REF!</definedName>
    <definedName name="MB_2">[53]makro!$C$11</definedName>
    <definedName name="MB_2n">[53]makro!$C$33</definedName>
    <definedName name="MB_3">[53]makro!$D$11</definedName>
    <definedName name="MB_3n">[53]makro!$D$33</definedName>
    <definedName name="MB_4">[53]makro!$E$11</definedName>
    <definedName name="MB_4n">[53]makro!$E$33</definedName>
    <definedName name="MB_5">[53]makro!$F$11</definedName>
    <definedName name="MB_5n">[53]makro!$F$33</definedName>
    <definedName name="MB_6">[53]makro!$G$11</definedName>
    <definedName name="MB_6n">[53]makro!$G$33</definedName>
    <definedName name="MCV">#N/A</definedName>
    <definedName name="MCV_B">#N/A</definedName>
    <definedName name="MCV_B1" localSheetId="21">'[26]WEO-BOP'!#REF!</definedName>
    <definedName name="MCV_B1">'[26]WEO-BOP'!#REF!</definedName>
    <definedName name="MCV_D">#N/A</definedName>
    <definedName name="MCV_N">#N/A</definedName>
    <definedName name="MCV_T">#N/A</definedName>
    <definedName name="MENORES" localSheetId="21">#REF!</definedName>
    <definedName name="MENORES" localSheetId="22">#REF!</definedName>
    <definedName name="MENORES" localSheetId="23">#REF!</definedName>
    <definedName name="MENORES" localSheetId="24">#REF!</definedName>
    <definedName name="MENORES">#REF!</definedName>
    <definedName name="mesec1" localSheetId="21">#REF!</definedName>
    <definedName name="mesec1" localSheetId="22">#REF!</definedName>
    <definedName name="mesec1" localSheetId="23">#REF!</definedName>
    <definedName name="mesec1" localSheetId="24">#REF!</definedName>
    <definedName name="mesec1">#REF!</definedName>
    <definedName name="mesec2" localSheetId="21">#REF!</definedName>
    <definedName name="mesec2" localSheetId="22">#REF!</definedName>
    <definedName name="mesec2" localSheetId="23">#REF!</definedName>
    <definedName name="mesec2" localSheetId="24">#REF!</definedName>
    <definedName name="mesec2">#REF!</definedName>
    <definedName name="mf" localSheetId="9" hidden="1">{"Tab1",#N/A,FALSE,"P";"Tab2",#N/A,FALSE,"P"}</definedName>
    <definedName name="mf" localSheetId="13" hidden="1">{"Tab1",#N/A,FALSE,"P";"Tab2",#N/A,FALSE,"P"}</definedName>
    <definedName name="mf" localSheetId="21" hidden="1">{"Tab1",#N/A,FALSE,"P";"Tab2",#N/A,FALSE,"P"}</definedName>
    <definedName name="mf" localSheetId="22" hidden="1">{"Tab1",#N/A,FALSE,"P";"Tab2",#N/A,FALSE,"P"}</definedName>
    <definedName name="mf" localSheetId="23" hidden="1">{"Tab1",#N/A,FALSE,"P";"Tab2",#N/A,FALSE,"P"}</definedName>
    <definedName name="mf" localSheetId="24" hidden="1">{"Tab1",#N/A,FALSE,"P";"Tab2",#N/A,FALSE,"P"}</definedName>
    <definedName name="mf" localSheetId="48" hidden="1">{"Tab1",#N/A,FALSE,"P";"Tab2",#N/A,FALSE,"P"}</definedName>
    <definedName name="mf" localSheetId="1" hidden="1">{"Tab1",#N/A,FALSE,"P";"Tab2",#N/A,FALSE,"P"}</definedName>
    <definedName name="mf" localSheetId="11" hidden="1">{"Tab1",#N/A,FALSE,"P";"Tab2",#N/A,FALSE,"P"}</definedName>
    <definedName name="mf" hidden="1">{"Tab1",#N/A,FALSE,"P";"Tab2",#N/A,FALSE,"P"}</definedName>
    <definedName name="MFISCAL" localSheetId="21">'[3]Annual Raw Data'!#REF!</definedName>
    <definedName name="MFISCAL">'[3]Annual Raw Data'!#REF!</definedName>
    <definedName name="mflowsa" localSheetId="21">[19]!mflowsa</definedName>
    <definedName name="mflowsa">[19]!mflowsa</definedName>
    <definedName name="mflowsq" localSheetId="21">[19]!mflowsq</definedName>
    <definedName name="mflowsq">[19]!mflowsq</definedName>
    <definedName name="MICRO" localSheetId="21">#REF!</definedName>
    <definedName name="MICRO" localSheetId="22">#REF!</definedName>
    <definedName name="MICRO" localSheetId="23">#REF!</definedName>
    <definedName name="MICRO" localSheetId="24">#REF!</definedName>
    <definedName name="MICRO">#REF!</definedName>
    <definedName name="min_VZ" localSheetId="21">[28]Graf14_Graf15!#REF!</definedName>
    <definedName name="min_VZ" localSheetId="22">[28]Graf14_Graf15!#REF!</definedName>
    <definedName name="min_VZ" localSheetId="23">[28]Graf14_Graf15!#REF!</definedName>
    <definedName name="min_VZ" localSheetId="24">[28]Graf14_Graf15!#REF!</definedName>
    <definedName name="min_VZ">[28]Graf14_Graf15!#REF!</definedName>
    <definedName name="MISC3" localSheetId="21">#REF!</definedName>
    <definedName name="MISC3" localSheetId="22">#REF!</definedName>
    <definedName name="MISC3" localSheetId="23">#REF!</definedName>
    <definedName name="MISC3" localSheetId="24">#REF!</definedName>
    <definedName name="MISC3">#REF!</definedName>
    <definedName name="MISC4" localSheetId="21">[1]OUTPUT!#REF!</definedName>
    <definedName name="MISC4" localSheetId="22">[1]OUTPUT!#REF!</definedName>
    <definedName name="MISC4" localSheetId="23">[1]OUTPUT!#REF!</definedName>
    <definedName name="MISC4" localSheetId="24">[1]OUTPUT!#REF!</definedName>
    <definedName name="MISC4">[1]OUTPUT!#REF!</definedName>
    <definedName name="mmm" localSheetId="9" hidden="1">{"Riqfin97",#N/A,FALSE,"Tran";"Riqfinpro",#N/A,FALSE,"Tran"}</definedName>
    <definedName name="mmm" localSheetId="13" hidden="1">{"Riqfin97",#N/A,FALSE,"Tran";"Riqfinpro",#N/A,FALSE,"Tran"}</definedName>
    <definedName name="mmm" localSheetId="21" hidden="1">{"Riqfin97",#N/A,FALSE,"Tran";"Riqfinpro",#N/A,FALSE,"Tran"}</definedName>
    <definedName name="mmm" localSheetId="22" hidden="1">{"Riqfin97",#N/A,FALSE,"Tran";"Riqfinpro",#N/A,FALSE,"Tran"}</definedName>
    <definedName name="mmm" localSheetId="23" hidden="1">{"Riqfin97",#N/A,FALSE,"Tran";"Riqfinpro",#N/A,FALSE,"Tran"}</definedName>
    <definedName name="mmm" localSheetId="24" hidden="1">{"Riqfin97",#N/A,FALSE,"Tran";"Riqfinpro",#N/A,FALSE,"Tran"}</definedName>
    <definedName name="mmm" localSheetId="48" hidden="1">{"Riqfin97",#N/A,FALSE,"Tran";"Riqfinpro",#N/A,FALSE,"Tran"}</definedName>
    <definedName name="mmm" localSheetId="1" hidden="1">{"Riqfin97",#N/A,FALSE,"Tran";"Riqfinpro",#N/A,FALSE,"Tran"}</definedName>
    <definedName name="mmm" localSheetId="11" hidden="1">{"Riqfin97",#N/A,FALSE,"Tran";"Riqfinpro",#N/A,FALSE,"Tran"}</definedName>
    <definedName name="mmm" hidden="1">{"Riqfin97",#N/A,FALSE,"Tran";"Riqfinpro",#N/A,FALSE,"Tran"}</definedName>
    <definedName name="mmmm" localSheetId="9" hidden="1">{"Tab1",#N/A,FALSE,"P";"Tab2",#N/A,FALSE,"P"}</definedName>
    <definedName name="mmmm" localSheetId="13" hidden="1">{"Tab1",#N/A,FALSE,"P";"Tab2",#N/A,FALSE,"P"}</definedName>
    <definedName name="mmmm" localSheetId="21" hidden="1">{"Tab1",#N/A,FALSE,"P";"Tab2",#N/A,FALSE,"P"}</definedName>
    <definedName name="mmmm" localSheetId="22" hidden="1">{"Tab1",#N/A,FALSE,"P";"Tab2",#N/A,FALSE,"P"}</definedName>
    <definedName name="mmmm" localSheetId="23" hidden="1">{"Tab1",#N/A,FALSE,"P";"Tab2",#N/A,FALSE,"P"}</definedName>
    <definedName name="mmmm" localSheetId="24" hidden="1">{"Tab1",#N/A,FALSE,"P";"Tab2",#N/A,FALSE,"P"}</definedName>
    <definedName name="mmmm" localSheetId="48" hidden="1">{"Tab1",#N/A,FALSE,"P";"Tab2",#N/A,FALSE,"P"}</definedName>
    <definedName name="mmmm" localSheetId="1" hidden="1">{"Tab1",#N/A,FALSE,"P";"Tab2",#N/A,FALSE,"P"}</definedName>
    <definedName name="mmmm" localSheetId="11" hidden="1">{"Tab1",#N/A,FALSE,"P";"Tab2",#N/A,FALSE,"P"}</definedName>
    <definedName name="mmmm" hidden="1">{"Tab1",#N/A,FALSE,"P";"Tab2",#N/A,FALSE,"P"}</definedName>
    <definedName name="MON_SM" localSheetId="21">#REF!</definedName>
    <definedName name="MON_SM" localSheetId="22">#REF!</definedName>
    <definedName name="MON_SM" localSheetId="23">#REF!</definedName>
    <definedName name="MON_SM" localSheetId="24">#REF!</definedName>
    <definedName name="MON_SM">#REF!</definedName>
    <definedName name="MONF_SM" localSheetId="21">#REF!</definedName>
    <definedName name="MONF_SM" localSheetId="22">#REF!</definedName>
    <definedName name="MONF_SM" localSheetId="23">#REF!</definedName>
    <definedName name="MONF_SM" localSheetId="24">#REF!</definedName>
    <definedName name="MONF_SM">#REF!</definedName>
    <definedName name="MONTH" localSheetId="21">[6]REER!$D$140:$E$199</definedName>
    <definedName name="MONTH">[21]REER!$D$140:$E$199</definedName>
    <definedName name="mstocksa" localSheetId="21">[19]!mstocksa</definedName>
    <definedName name="mstocksa">[19]!mstocksa</definedName>
    <definedName name="mstocksq" localSheetId="21">[19]!mstocksq</definedName>
    <definedName name="mstocksq">[19]!mstocksq</definedName>
    <definedName name="MTO" localSheetId="21">#REF!</definedName>
    <definedName name="MTO" localSheetId="22">#REF!</definedName>
    <definedName name="MTO" localSheetId="23">#REF!</definedName>
    <definedName name="MTO" localSheetId="24">#REF!</definedName>
    <definedName name="MTO">#REF!</definedName>
    <definedName name="Municipios" localSheetId="21">#REF!</definedName>
    <definedName name="Municipios" localSheetId="22">#REF!</definedName>
    <definedName name="Municipios" localSheetId="23">#REF!</definedName>
    <definedName name="Municipios" localSheetId="24">#REF!</definedName>
    <definedName name="Municipios">#REF!</definedName>
    <definedName name="MVZ_1.5x" localSheetId="21">[28]Graf14_Graf15!#REF!</definedName>
    <definedName name="MVZ_1.5x" localSheetId="22">[28]Graf14_Graf15!#REF!</definedName>
    <definedName name="MVZ_1.5x" localSheetId="23">[28]Graf14_Graf15!#REF!</definedName>
    <definedName name="MVZ_1.5x" localSheetId="24">[28]Graf14_Graf15!#REF!</definedName>
    <definedName name="MVZ_1.5x">[28]Graf14_Graf15!#REF!</definedName>
    <definedName name="MVZ_4x" localSheetId="21">[28]Graf14_Graf15!#REF!</definedName>
    <definedName name="MVZ_4x" localSheetId="22">[28]Graf14_Graf15!#REF!</definedName>
    <definedName name="MVZ_4x" localSheetId="23">[28]Graf14_Graf15!#REF!</definedName>
    <definedName name="MVZ_4x" localSheetId="24">[28]Graf14_Graf15!#REF!</definedName>
    <definedName name="MVZ_4x">[28]Graf14_Graf15!#REF!</definedName>
    <definedName name="MVZ_5x" localSheetId="21">[28]Graf14_Graf15!#REF!</definedName>
    <definedName name="MVZ_5x" localSheetId="22">[28]Graf14_Graf15!#REF!</definedName>
    <definedName name="MVZ_5x" localSheetId="23">[28]Graf14_Graf15!#REF!</definedName>
    <definedName name="MVZ_5x" localSheetId="24">[28]Graf14_Graf15!#REF!</definedName>
    <definedName name="MVZ_5x">[28]Graf14_Graf15!#REF!</definedName>
    <definedName name="MW" localSheetId="21">[28]Graf14_Graf15!#REF!</definedName>
    <definedName name="MW" localSheetId="22">[28]Graf14_Graf15!#REF!</definedName>
    <definedName name="MW" localSheetId="23">[28]Graf14_Graf15!#REF!</definedName>
    <definedName name="MW" localSheetId="24">[28]Graf14_Graf15!#REF!</definedName>
    <definedName name="MW">[28]Graf14_Graf15!#REF!</definedName>
    <definedName name="MW_2" localSheetId="21">[28]Graf14_Graf15!#REF!</definedName>
    <definedName name="MW_2" localSheetId="22">[28]Graf14_Graf15!#REF!</definedName>
    <definedName name="MW_2" localSheetId="23">[28]Graf14_Graf15!#REF!</definedName>
    <definedName name="MW_2" localSheetId="24">[28]Graf14_Graf15!#REF!</definedName>
    <definedName name="MW_2">[28]Graf14_Graf15!#REF!</definedName>
    <definedName name="NACTCURRENT" localSheetId="21">#REF!</definedName>
    <definedName name="NACTCURRENT" localSheetId="22">#REF!</definedName>
    <definedName name="NACTCURRENT" localSheetId="23">#REF!</definedName>
    <definedName name="NACTCURRENT" localSheetId="24">#REF!</definedName>
    <definedName name="NACTCURRENT">#REF!</definedName>
    <definedName name="nam1out" localSheetId="21">#REF!</definedName>
    <definedName name="nam1out" localSheetId="22">#REF!</definedName>
    <definedName name="nam1out" localSheetId="23">#REF!</definedName>
    <definedName name="nam1out" localSheetId="24">#REF!</definedName>
    <definedName name="nam1out">#REF!</definedName>
    <definedName name="nam2in" localSheetId="21">#REF!</definedName>
    <definedName name="nam2in" localSheetId="22">#REF!</definedName>
    <definedName name="nam2in" localSheetId="23">#REF!</definedName>
    <definedName name="nam2in" localSheetId="24">#REF!</definedName>
    <definedName name="nam2in">#REF!</definedName>
    <definedName name="nam2out">#REF!</definedName>
    <definedName name="NAMB" localSheetId="21">[6]REER!$AY$143:$BB$143</definedName>
    <definedName name="NAMB">[21]REER!$AY$143:$BB$143</definedName>
    <definedName name="namcr" localSheetId="21">'[2]Tab ann curr'!#REF!</definedName>
    <definedName name="namcr" localSheetId="22">'[2]Tab ann curr'!#REF!</definedName>
    <definedName name="namcr" localSheetId="23">'[2]Tab ann curr'!#REF!</definedName>
    <definedName name="namcr" localSheetId="24">'[2]Tab ann curr'!#REF!</definedName>
    <definedName name="namcr">'[2]Tab ann curr'!#REF!</definedName>
    <definedName name="namcs" localSheetId="21">'[2]Tab ann cst'!#REF!</definedName>
    <definedName name="namcs" localSheetId="22">'[2]Tab ann cst'!#REF!</definedName>
    <definedName name="namcs" localSheetId="23">'[2]Tab ann cst'!#REF!</definedName>
    <definedName name="namcs" localSheetId="24">'[2]Tab ann cst'!#REF!</definedName>
    <definedName name="namcs">'[2]Tab ann cst'!#REF!</definedName>
    <definedName name="name_AD">[35]Sheet1!$A$20</definedName>
    <definedName name="name_EXP">[35]Sheet1!$N$54:$N$71</definedName>
    <definedName name="name_FISC" localSheetId="21">#REF!</definedName>
    <definedName name="name_FISC" localSheetId="22">#REF!</definedName>
    <definedName name="name_FISC" localSheetId="23">#REF!</definedName>
    <definedName name="name_FISC" localSheetId="24">#REF!</definedName>
    <definedName name="name_FISC">#REF!</definedName>
    <definedName name="nameIntLiq" localSheetId="21">#REF!</definedName>
    <definedName name="nameIntLiq" localSheetId="22">#REF!</definedName>
    <definedName name="nameIntLiq" localSheetId="23">#REF!</definedName>
    <definedName name="nameIntLiq" localSheetId="24">#REF!</definedName>
    <definedName name="nameIntLiq">#REF!</definedName>
    <definedName name="nameMoney" localSheetId="21">#REF!</definedName>
    <definedName name="nameMoney" localSheetId="22">#REF!</definedName>
    <definedName name="nameMoney" localSheetId="23">#REF!</definedName>
    <definedName name="nameMoney" localSheetId="24">#REF!</definedName>
    <definedName name="nameMoney">#REF!</definedName>
    <definedName name="nameRATES">#REF!</definedName>
    <definedName name="nameRAWQ" localSheetId="21">'[36]Raw Data'!#REF!</definedName>
    <definedName name="nameRAWQ">'[36]Raw Data'!#REF!</definedName>
    <definedName name="nameReal" localSheetId="21">#REF!</definedName>
    <definedName name="nameReal" localSheetId="22">#REF!</definedName>
    <definedName name="nameReal" localSheetId="23">#REF!</definedName>
    <definedName name="nameReal" localSheetId="24">#REF!</definedName>
    <definedName name="nameReal">#REF!</definedName>
    <definedName name="names" localSheetId="21">#REF!</definedName>
    <definedName name="names" localSheetId="22">#REF!</definedName>
    <definedName name="names" localSheetId="23">#REF!</definedName>
    <definedName name="names" localSheetId="24">#REF!</definedName>
    <definedName name="names">#REF!</definedName>
    <definedName name="NAMES_fidr_r" localSheetId="21">[33]monthly!#REF!</definedName>
    <definedName name="NAMES_fidr_r" localSheetId="22">[34]monthly!#REF!</definedName>
    <definedName name="NAMES_fidr_r" localSheetId="23">[34]monthly!#REF!</definedName>
    <definedName name="NAMES_fidr_r" localSheetId="24">[34]monthly!#REF!</definedName>
    <definedName name="NAMES_fidr_r">[34]monthly!#REF!</definedName>
    <definedName name="names_figb_r" localSheetId="21">[33]monthly!#REF!</definedName>
    <definedName name="names_figb_r" localSheetId="22">[34]monthly!#REF!</definedName>
    <definedName name="names_figb_r" localSheetId="23">[34]monthly!#REF!</definedName>
    <definedName name="names_figb_r" localSheetId="24">[34]monthly!#REF!</definedName>
    <definedName name="names_figb_r">[34]monthly!#REF!</definedName>
    <definedName name="names_w" localSheetId="21">#REF!</definedName>
    <definedName name="names_w" localSheetId="22">#REF!</definedName>
    <definedName name="names_w" localSheetId="23">#REF!</definedName>
    <definedName name="names_w" localSheetId="24">#REF!</definedName>
    <definedName name="names_w">#REF!</definedName>
    <definedName name="names1in" localSheetId="21">#REF!</definedName>
    <definedName name="names1in" localSheetId="22">#REF!</definedName>
    <definedName name="names1in" localSheetId="23">#REF!</definedName>
    <definedName name="names1in" localSheetId="24">#REF!</definedName>
    <definedName name="names1in">#REF!</definedName>
    <definedName name="NAMESB" localSheetId="21">#REF!</definedName>
    <definedName name="NAMESB" localSheetId="22">#REF!</definedName>
    <definedName name="NAMESB" localSheetId="23">#REF!</definedName>
    <definedName name="NAMESB" localSheetId="24">#REF!</definedName>
    <definedName name="NAMESB">#REF!</definedName>
    <definedName name="namesc">#REF!</definedName>
    <definedName name="NAMESG" localSheetId="21">#REF!</definedName>
    <definedName name="NAMESG">#REF!</definedName>
    <definedName name="namesm">#REF!</definedName>
    <definedName name="NAMESQ">#REF!</definedName>
    <definedName name="namesr">#REF!</definedName>
    <definedName name="namestran" localSheetId="21">[29]transfer!$C$1:$O$1</definedName>
    <definedName name="namestran">[30]transfer!$C$1:$O$1</definedName>
    <definedName name="namgdp" localSheetId="21">#REF!</definedName>
    <definedName name="namgdp" localSheetId="22">#REF!</definedName>
    <definedName name="namgdp" localSheetId="23">#REF!</definedName>
    <definedName name="namgdp" localSheetId="24">#REF!</definedName>
    <definedName name="namgdp">#REF!</definedName>
    <definedName name="NAMIN" localSheetId="21">#REF!</definedName>
    <definedName name="NAMIN" localSheetId="22">#REF!</definedName>
    <definedName name="NAMIN" localSheetId="23">#REF!</definedName>
    <definedName name="NAMIN" localSheetId="24">#REF!</definedName>
    <definedName name="NAMIN">#REF!</definedName>
    <definedName name="namin1" localSheetId="21">[6]REER!$F$1:$BP$1</definedName>
    <definedName name="namin1">[21]REER!$F$1:$BP$1</definedName>
    <definedName name="namin2" localSheetId="21">[6]REER!$F$138:$AA$138</definedName>
    <definedName name="namin2">[21]REER!$F$138:$AA$138</definedName>
    <definedName name="namind" localSheetId="21">'[2]work Q real'!#REF!</definedName>
    <definedName name="namind" localSheetId="22">'[2]work Q real'!#REF!</definedName>
    <definedName name="namind" localSheetId="23">'[2]work Q real'!#REF!</definedName>
    <definedName name="namind" localSheetId="24">'[2]work Q real'!#REF!</definedName>
    <definedName name="namind">'[2]work Q real'!#REF!</definedName>
    <definedName name="naminm" localSheetId="21">#REF!</definedName>
    <definedName name="naminm" localSheetId="22">#REF!</definedName>
    <definedName name="naminm" localSheetId="23">#REF!</definedName>
    <definedName name="naminm" localSheetId="24">#REF!</definedName>
    <definedName name="naminm">#REF!</definedName>
    <definedName name="naminq" localSheetId="21">#REF!</definedName>
    <definedName name="naminq" localSheetId="22">#REF!</definedName>
    <definedName name="naminq" localSheetId="23">#REF!</definedName>
    <definedName name="naminq" localSheetId="24">#REF!</definedName>
    <definedName name="naminq">#REF!</definedName>
    <definedName name="namm" localSheetId="21">#REF!</definedName>
    <definedName name="namm" localSheetId="22">#REF!</definedName>
    <definedName name="namm" localSheetId="23">#REF!</definedName>
    <definedName name="namm" localSheetId="24">#REF!</definedName>
    <definedName name="namm">#REF!</definedName>
    <definedName name="NAMOUT">#REF!</definedName>
    <definedName name="namout1" localSheetId="21">[6]REER!$F$2:$AA$2</definedName>
    <definedName name="namout1">[21]REER!$F$2:$AA$2</definedName>
    <definedName name="namoutm" localSheetId="21">#REF!</definedName>
    <definedName name="namoutm" localSheetId="22">#REF!</definedName>
    <definedName name="namoutm" localSheetId="23">#REF!</definedName>
    <definedName name="namoutm" localSheetId="24">#REF!</definedName>
    <definedName name="namoutm">#REF!</definedName>
    <definedName name="namoutq" localSheetId="21">#REF!</definedName>
    <definedName name="namoutq" localSheetId="22">#REF!</definedName>
    <definedName name="namoutq" localSheetId="23">#REF!</definedName>
    <definedName name="namoutq" localSheetId="24">#REF!</definedName>
    <definedName name="namoutq">#REF!</definedName>
    <definedName name="namprofit" localSheetId="21">[6]C!$O$1:$Z$1</definedName>
    <definedName name="namprofit">[21]C!$O$1:$Z$1</definedName>
    <definedName name="namq" localSheetId="21">#REF!</definedName>
    <definedName name="namq" localSheetId="22">#REF!</definedName>
    <definedName name="namq" localSheetId="23">#REF!</definedName>
    <definedName name="namq" localSheetId="24">#REF!</definedName>
    <definedName name="namq">#REF!</definedName>
    <definedName name="namq1" localSheetId="21">#REF!</definedName>
    <definedName name="namq1" localSheetId="22">#REF!</definedName>
    <definedName name="namq1" localSheetId="23">#REF!</definedName>
    <definedName name="namq1" localSheetId="24">#REF!</definedName>
    <definedName name="namq1">#REF!</definedName>
    <definedName name="namq2" localSheetId="21">#REF!</definedName>
    <definedName name="namq2" localSheetId="22">#REF!</definedName>
    <definedName name="namq2" localSheetId="23">#REF!</definedName>
    <definedName name="namq2" localSheetId="24">#REF!</definedName>
    <definedName name="namq2">#REF!</definedName>
    <definedName name="namreer" localSheetId="21">[6]REER!$AY$143:$BF$143</definedName>
    <definedName name="namreer">[21]REER!$AY$143:$BF$143</definedName>
    <definedName name="namsgdp" localSheetId="21">#REF!</definedName>
    <definedName name="namsgdp" localSheetId="22">#REF!</definedName>
    <definedName name="namsgdp" localSheetId="23">#REF!</definedName>
    <definedName name="namsgdp" localSheetId="24">#REF!</definedName>
    <definedName name="namsgdp">#REF!</definedName>
    <definedName name="namtin" localSheetId="21">#REF!</definedName>
    <definedName name="namtin" localSheetId="22">#REF!</definedName>
    <definedName name="namtin" localSheetId="23">#REF!</definedName>
    <definedName name="namtin" localSheetId="24">#REF!</definedName>
    <definedName name="namtin">#REF!</definedName>
    <definedName name="namtout" localSheetId="21">#REF!</definedName>
    <definedName name="namtout" localSheetId="22">#REF!</definedName>
    <definedName name="namtout" localSheetId="23">#REF!</definedName>
    <definedName name="namtout" localSheetId="24">#REF!</definedName>
    <definedName name="namtout">#REF!</definedName>
    <definedName name="namulc" localSheetId="21">[6]REER!$BI$1:$BP$1</definedName>
    <definedName name="namulc">[21]REER!$BI$1:$BP$1</definedName>
    <definedName name="_xlnm.Print_Titles" localSheetId="21">#REF!,#REF!</definedName>
    <definedName name="_xlnm.Print_Titles" localSheetId="22">#REF!,#REF!</definedName>
    <definedName name="_xlnm.Print_Titles" localSheetId="23">#REF!,#REF!</definedName>
    <definedName name="_xlnm.Print_Titles" localSheetId="24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21">[28]Graf14_Graf15!#REF!</definedName>
    <definedName name="NCZD" localSheetId="22">[28]Graf14_Graf15!#REF!</definedName>
    <definedName name="NCZD" localSheetId="23">[28]Graf14_Graf15!#REF!</definedName>
    <definedName name="NCZD" localSheetId="24">[28]Graf14_Graf15!#REF!</definedName>
    <definedName name="NCZD">[28]Graf14_Graf15!#REF!</definedName>
    <definedName name="NCZD_2" localSheetId="21">[28]Graf14_Graf15!#REF!</definedName>
    <definedName name="NCZD_2" localSheetId="22">[28]Graf14_Graf15!#REF!</definedName>
    <definedName name="NCZD_2" localSheetId="23">[28]Graf14_Graf15!#REF!</definedName>
    <definedName name="NCZD_2" localSheetId="24">[28]Graf14_Graf15!#REF!</definedName>
    <definedName name="NCZD_2">[28]Graf14_Graf15!#REF!</definedName>
    <definedName name="NEER" localSheetId="21">[6]REER!$AY$144:$AY$206</definedName>
    <definedName name="NEER">[21]REER!$AY$144:$AY$206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21">#REF!</definedName>
    <definedName name="NGDPA" localSheetId="22">#REF!</definedName>
    <definedName name="NGDPA" localSheetId="23">#REF!</definedName>
    <definedName name="NGDPA" localSheetId="24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9" hidden="1">{"Riqfin97",#N/A,FALSE,"Tran";"Riqfinpro",#N/A,FALSE,"Tran"}</definedName>
    <definedName name="nn" localSheetId="13" hidden="1">{"Riqfin97",#N/A,FALSE,"Tran";"Riqfinpro",#N/A,FALSE,"Tran"}</definedName>
    <definedName name="nn" localSheetId="21" hidden="1">{"Riqfin97",#N/A,FALSE,"Tran";"Riqfinpro",#N/A,FALSE,"Tran"}</definedName>
    <definedName name="nn" localSheetId="22" hidden="1">{"Riqfin97",#N/A,FALSE,"Tran";"Riqfinpro",#N/A,FALSE,"Tran"}</definedName>
    <definedName name="nn" localSheetId="23" hidden="1">{"Riqfin97",#N/A,FALSE,"Tran";"Riqfinpro",#N/A,FALSE,"Tran"}</definedName>
    <definedName name="nn" localSheetId="24" hidden="1">{"Riqfin97",#N/A,FALSE,"Tran";"Riqfinpro",#N/A,FALSE,"Tran"}</definedName>
    <definedName name="nn" localSheetId="48" hidden="1">{"Riqfin97",#N/A,FALSE,"Tran";"Riqfinpro",#N/A,FALSE,"Tran"}</definedName>
    <definedName name="nn" localSheetId="1" hidden="1">{"Riqfin97",#N/A,FALSE,"Tran";"Riqfinpro",#N/A,FALSE,"Tran"}</definedName>
    <definedName name="nn" localSheetId="11" hidden="1">{"Riqfin97",#N/A,FALSE,"Tran";"Riqfinpro",#N/A,FALSE,"Tran"}</definedName>
    <definedName name="nn" hidden="1">{"Riqfin97",#N/A,FALSE,"Tran";"Riqfinpro",#N/A,FALSE,"Tran"}</definedName>
    <definedName name="nnn" localSheetId="9" hidden="1">{"Tab1",#N/A,FALSE,"P";"Tab2",#N/A,FALSE,"P"}</definedName>
    <definedName name="nnn" localSheetId="13" hidden="1">{"Tab1",#N/A,FALSE,"P";"Tab2",#N/A,FALSE,"P"}</definedName>
    <definedName name="nnn" localSheetId="21" hidden="1">{"Tab1",#N/A,FALSE,"P";"Tab2",#N/A,FALSE,"P"}</definedName>
    <definedName name="nnn" localSheetId="22" hidden="1">{"Tab1",#N/A,FALSE,"P";"Tab2",#N/A,FALSE,"P"}</definedName>
    <definedName name="nnn" localSheetId="23" hidden="1">{"Tab1",#N/A,FALSE,"P";"Tab2",#N/A,FALSE,"P"}</definedName>
    <definedName name="nnn" localSheetId="24" hidden="1">{"Tab1",#N/A,FALSE,"P";"Tab2",#N/A,FALSE,"P"}</definedName>
    <definedName name="nnn" localSheetId="48" hidden="1">{"Tab1",#N/A,FALSE,"P";"Tab2",#N/A,FALSE,"P"}</definedName>
    <definedName name="nnn" localSheetId="1" hidden="1">{"Tab1",#N/A,FALSE,"P";"Tab2",#N/A,FALSE,"P"}</definedName>
    <definedName name="nnn" localSheetId="11" hidden="1">{"Tab1",#N/A,FALSE,"P";"Tab2",#N/A,FALSE,"P"}</definedName>
    <definedName name="nnn" hidden="1">{"Tab1",#N/A,FALSE,"P";"Tab2",#N/A,FALSE,"P"}</definedName>
    <definedName name="NOMINAL" localSheetId="21">#REF!</definedName>
    <definedName name="NOMINAL" localSheetId="22">#REF!</definedName>
    <definedName name="NOMINAL" localSheetId="23">#REF!</definedName>
    <definedName name="NOMINAL" localSheetId="24">#REF!</definedName>
    <definedName name="NOMINAL">#REF!</definedName>
    <definedName name="NPee_2" localSheetId="21">[28]Graf14_Graf15!#REF!</definedName>
    <definedName name="NPee_2" localSheetId="22">[28]Graf14_Graf15!#REF!</definedName>
    <definedName name="NPee_2" localSheetId="23">[28]Graf14_Graf15!#REF!</definedName>
    <definedName name="NPee_2" localSheetId="24">[28]Graf14_Graf15!#REF!</definedName>
    <definedName name="NPee_2">[28]Graf14_Graf15!#REF!</definedName>
    <definedName name="NPer_2" localSheetId="21">[28]Graf14_Graf15!#REF!</definedName>
    <definedName name="NPer_2" localSheetId="22">[28]Graf14_Graf15!#REF!</definedName>
    <definedName name="NPer_2" localSheetId="23">[28]Graf14_Graf15!#REF!</definedName>
    <definedName name="NPer_2" localSheetId="24">[28]Graf14_Graf15!#REF!</definedName>
    <definedName name="NPer_2">[28]Graf14_Graf15!#REF!</definedName>
    <definedName name="NTDD_RG" localSheetId="21">'Graf 23 + 24'!NTDD_RG</definedName>
    <definedName name="NTDD_RG">[22]!NTDD_RG</definedName>
    <definedName name="NX">#N/A</definedName>
    <definedName name="NX_R">#N/A</definedName>
    <definedName name="NXG_RG">#N/A</definedName>
    <definedName name="_xlnm.Print_Area">#N/A</definedName>
    <definedName name="Odh" localSheetId="21">#REF!</definedName>
    <definedName name="Odh" localSheetId="22">#REF!</definedName>
    <definedName name="Odh" localSheetId="23">#REF!</definedName>
    <definedName name="Odh" localSheetId="24">#REF!</definedName>
    <definedName name="Odh">#REF!</definedName>
    <definedName name="oliu" localSheetId="21" hidden="1">{"WEO",#N/A,FALSE,"T"}</definedName>
    <definedName name="oliu" localSheetId="22" hidden="1">{"WEO",#N/A,FALSE,"T"}</definedName>
    <definedName name="oliu" localSheetId="23" hidden="1">{"WEO",#N/A,FALSE,"T"}</definedName>
    <definedName name="oliu" localSheetId="24" hidden="1">{"WEO",#N/A,FALSE,"T"}</definedName>
    <definedName name="oliu" hidden="1">{"WEO",#N/A,FALSE,"T"}</definedName>
    <definedName name="oo" localSheetId="9" hidden="1">{"Riqfin97",#N/A,FALSE,"Tran";"Riqfinpro",#N/A,FALSE,"Tran"}</definedName>
    <definedName name="oo" localSheetId="13" hidden="1">{"Riqfin97",#N/A,FALSE,"Tran";"Riqfinpro",#N/A,FALSE,"Tran"}</definedName>
    <definedName name="oo" localSheetId="21" hidden="1">{"Riqfin97",#N/A,FALSE,"Tran";"Riqfinpro",#N/A,FALSE,"Tran"}</definedName>
    <definedName name="oo" localSheetId="22" hidden="1">{"Riqfin97",#N/A,FALSE,"Tran";"Riqfinpro",#N/A,FALSE,"Tran"}</definedName>
    <definedName name="oo" localSheetId="23" hidden="1">{"Riqfin97",#N/A,FALSE,"Tran";"Riqfinpro",#N/A,FALSE,"Tran"}</definedName>
    <definedName name="oo" localSheetId="24" hidden="1">{"Riqfin97",#N/A,FALSE,"Tran";"Riqfinpro",#N/A,FALSE,"Tran"}</definedName>
    <definedName name="oo" localSheetId="48" hidden="1">{"Riqfin97",#N/A,FALSE,"Tran";"Riqfinpro",#N/A,FALSE,"Tran"}</definedName>
    <definedName name="oo" localSheetId="1" hidden="1">{"Riqfin97",#N/A,FALSE,"Tran";"Riqfinpro",#N/A,FALSE,"Tran"}</definedName>
    <definedName name="oo" localSheetId="11" hidden="1">{"Riqfin97",#N/A,FALSE,"Tran";"Riqfinpro",#N/A,FALSE,"Tran"}</definedName>
    <definedName name="oo" hidden="1">{"Riqfin97",#N/A,FALSE,"Tran";"Riqfinpro",#N/A,FALSE,"Tran"}</definedName>
    <definedName name="ooo" localSheetId="9" hidden="1">{"Tab1",#N/A,FALSE,"P";"Tab2",#N/A,FALSE,"P"}</definedName>
    <definedName name="ooo" localSheetId="13" hidden="1">{"Tab1",#N/A,FALSE,"P";"Tab2",#N/A,FALSE,"P"}</definedName>
    <definedName name="ooo" localSheetId="21" hidden="1">{"Tab1",#N/A,FALSE,"P";"Tab2",#N/A,FALSE,"P"}</definedName>
    <definedName name="ooo" localSheetId="22" hidden="1">{"Tab1",#N/A,FALSE,"P";"Tab2",#N/A,FALSE,"P"}</definedName>
    <definedName name="ooo" localSheetId="23" hidden="1">{"Tab1",#N/A,FALSE,"P";"Tab2",#N/A,FALSE,"P"}</definedName>
    <definedName name="ooo" localSheetId="24" hidden="1">{"Tab1",#N/A,FALSE,"P";"Tab2",#N/A,FALSE,"P"}</definedName>
    <definedName name="ooo" localSheetId="48" hidden="1">{"Tab1",#N/A,FALSE,"P";"Tab2",#N/A,FALSE,"P"}</definedName>
    <definedName name="ooo" localSheetId="1" hidden="1">{"Tab1",#N/A,FALSE,"P";"Tab2",#N/A,FALSE,"P"}</definedName>
    <definedName name="ooo" localSheetId="11" hidden="1">{"Tab1",#N/A,FALSE,"P";"Tab2",#N/A,FALSE,"P"}</definedName>
    <definedName name="ooo" hidden="1">{"Tab1",#N/A,FALSE,"P";"Tab2",#N/A,FALSE,"P"}</definedName>
    <definedName name="OS2015_new">#REF!</definedName>
    <definedName name="other" localSheetId="21">#REF!</definedName>
    <definedName name="other" localSheetId="22">#REF!</definedName>
    <definedName name="other" localSheetId="23">#REF!</definedName>
    <definedName name="other" localSheetId="24">#REF!</definedName>
    <definedName name="other">#REF!</definedName>
    <definedName name="Otras_Residuales" localSheetId="21">#REF!</definedName>
    <definedName name="Otras_Residuales" localSheetId="22">#REF!</definedName>
    <definedName name="Otras_Residuales" localSheetId="23">#REF!</definedName>
    <definedName name="Otras_Residuales" localSheetId="24">#REF!</definedName>
    <definedName name="Otras_Residuales">#REF!</definedName>
    <definedName name="out">[59]output!$A$3:$P$128</definedName>
    <definedName name="OUTB" localSheetId="21">[29]B!$D$6:$H$6</definedName>
    <definedName name="OUTB">[30]B!$D$6:$H$6</definedName>
    <definedName name="outc" localSheetId="21">[29]C!$C$6:$D$6</definedName>
    <definedName name="outc">[30]C!$C$6:$D$6</definedName>
    <definedName name="output" localSheetId="21">#REF!</definedName>
    <definedName name="output" localSheetId="22">#REF!</definedName>
    <definedName name="output" localSheetId="23">#REF!</definedName>
    <definedName name="output" localSheetId="24">#REF!</definedName>
    <definedName name="output">#REF!</definedName>
    <definedName name="output_projections">[60]projections!$A$3:$R$108</definedName>
    <definedName name="output1">[25]output!$A$1:$J$122</definedName>
    <definedName name="p" localSheetId="9" hidden="1">{"Riqfin97",#N/A,FALSE,"Tran";"Riqfinpro",#N/A,FALSE,"Tran"}</definedName>
    <definedName name="p" localSheetId="13" hidden="1">{"Riqfin97",#N/A,FALSE,"Tran";"Riqfinpro",#N/A,FALSE,"Tran"}</definedName>
    <definedName name="p" localSheetId="21" hidden="1">{"Riqfin97",#N/A,FALSE,"Tran";"Riqfinpro",#N/A,FALSE,"Tran"}</definedName>
    <definedName name="p" localSheetId="22" hidden="1">{"Riqfin97",#N/A,FALSE,"Tran";"Riqfinpro",#N/A,FALSE,"Tran"}</definedName>
    <definedName name="p" localSheetId="23" hidden="1">{"Riqfin97",#N/A,FALSE,"Tran";"Riqfinpro",#N/A,FALSE,"Tran"}</definedName>
    <definedName name="p" localSheetId="24" hidden="1">{"Riqfin97",#N/A,FALSE,"Tran";"Riqfinpro",#N/A,FALSE,"Tran"}</definedName>
    <definedName name="p" localSheetId="48" hidden="1">{"Riqfin97",#N/A,FALSE,"Tran";"Riqfinpro",#N/A,FALSE,"Tran"}</definedName>
    <definedName name="p" localSheetId="1" hidden="1">{"Riqfin97",#N/A,FALSE,"Tran";"Riqfinpro",#N/A,FALSE,"Tran"}</definedName>
    <definedName name="p" localSheetId="11" hidden="1">{"Riqfin97",#N/A,FALSE,"Tran";"Riqfinpro",#N/A,FALSE,"Tran"}</definedName>
    <definedName name="p" hidden="1">{"Riqfin97",#N/A,FALSE,"Tran";"Riqfinpro",#N/A,FALSE,"Tran"}</definedName>
    <definedName name="Page_4" localSheetId="21">#REF!</definedName>
    <definedName name="Page_4" localSheetId="22">#REF!</definedName>
    <definedName name="Page_4" localSheetId="23">#REF!</definedName>
    <definedName name="Page_4" localSheetId="24">#REF!</definedName>
    <definedName name="Page_4">#REF!</definedName>
    <definedName name="page2" localSheetId="21">#REF!</definedName>
    <definedName name="page2" localSheetId="22">#REF!</definedName>
    <definedName name="page2" localSheetId="23">#REF!</definedName>
    <definedName name="page2" localSheetId="24">#REF!</definedName>
    <definedName name="page2">#REF!</definedName>
    <definedName name="pata" localSheetId="9" hidden="1">{"Tab1",#N/A,FALSE,"P";"Tab2",#N/A,FALSE,"P"}</definedName>
    <definedName name="pata" localSheetId="13" hidden="1">{"Tab1",#N/A,FALSE,"P";"Tab2",#N/A,FALSE,"P"}</definedName>
    <definedName name="pata" localSheetId="21" hidden="1">{"Tab1",#N/A,FALSE,"P";"Tab2",#N/A,FALSE,"P"}</definedName>
    <definedName name="pata" localSheetId="22" hidden="1">{"Tab1",#N/A,FALSE,"P";"Tab2",#N/A,FALSE,"P"}</definedName>
    <definedName name="pata" localSheetId="23" hidden="1">{"Tab1",#N/A,FALSE,"P";"Tab2",#N/A,FALSE,"P"}</definedName>
    <definedName name="pata" localSheetId="24" hidden="1">{"Tab1",#N/A,FALSE,"P";"Tab2",#N/A,FALSE,"P"}</definedName>
    <definedName name="pata" localSheetId="48" hidden="1">{"Tab1",#N/A,FALSE,"P";"Tab2",#N/A,FALSE,"P"}</definedName>
    <definedName name="pata" localSheetId="1" hidden="1">{"Tab1",#N/A,FALSE,"P";"Tab2",#N/A,FALSE,"P"}</definedName>
    <definedName name="pata" localSheetId="11" hidden="1">{"Tab1",#N/A,FALSE,"P";"Tab2",#N/A,FALSE,"P"}</definedName>
    <definedName name="pata" hidden="1">{"Tab1",#N/A,FALSE,"P";"Tab2",#N/A,FALSE,"P"}</definedName>
    <definedName name="PCPIG">#N/A</definedName>
    <definedName name="Petroecuador" localSheetId="21">#REF!</definedName>
    <definedName name="Petroecuador" localSheetId="22">#REF!</definedName>
    <definedName name="Petroecuador" localSheetId="23">#REF!</definedName>
    <definedName name="Petroecuador" localSheetId="24">#REF!</definedName>
    <definedName name="Petroecuador">#REF!</definedName>
    <definedName name="pchar00memu.m" localSheetId="21">[33]monthly!#REF!</definedName>
    <definedName name="pchar00memu.m">[34]monthly!#REF!</definedName>
    <definedName name="podatki" localSheetId="21">#REF!</definedName>
    <definedName name="podatki" localSheetId="22">#REF!</definedName>
    <definedName name="podatki" localSheetId="23">#REF!</definedName>
    <definedName name="podatki" localSheetId="24">#REF!</definedName>
    <definedName name="podatki">#REF!</definedName>
    <definedName name="Ports" localSheetId="21">#REF!</definedName>
    <definedName name="Ports" localSheetId="22">#REF!</definedName>
    <definedName name="Ports" localSheetId="23">#REF!</definedName>
    <definedName name="Ports" localSheetId="24">#REF!</definedName>
    <definedName name="Ports">#REF!</definedName>
    <definedName name="pp" localSheetId="9" hidden="1">{"Riqfin97",#N/A,FALSE,"Tran";"Riqfinpro",#N/A,FALSE,"Tran"}</definedName>
    <definedName name="pp" localSheetId="13" hidden="1">{"Riqfin97",#N/A,FALSE,"Tran";"Riqfinpro",#N/A,FALSE,"Tran"}</definedName>
    <definedName name="pp" localSheetId="21" hidden="1">{"Riqfin97",#N/A,FALSE,"Tran";"Riqfinpro",#N/A,FALSE,"Tran"}</definedName>
    <definedName name="pp" localSheetId="22" hidden="1">{"Riqfin97",#N/A,FALSE,"Tran";"Riqfinpro",#N/A,FALSE,"Tran"}</definedName>
    <definedName name="pp" localSheetId="23" hidden="1">{"Riqfin97",#N/A,FALSE,"Tran";"Riqfinpro",#N/A,FALSE,"Tran"}</definedName>
    <definedName name="pp" localSheetId="24" hidden="1">{"Riqfin97",#N/A,FALSE,"Tran";"Riqfinpro",#N/A,FALSE,"Tran"}</definedName>
    <definedName name="pp" localSheetId="48" hidden="1">{"Riqfin97",#N/A,FALSE,"Tran";"Riqfinpro",#N/A,FALSE,"Tran"}</definedName>
    <definedName name="pp" localSheetId="1" hidden="1">{"Riqfin97",#N/A,FALSE,"Tran";"Riqfinpro",#N/A,FALSE,"Tran"}</definedName>
    <definedName name="pp" localSheetId="11" hidden="1">{"Riqfin97",#N/A,FALSE,"Tran";"Riqfinpro",#N/A,FALSE,"Tran"}</definedName>
    <definedName name="pp" hidden="1">{"Riqfin97",#N/A,FALSE,"Tran";"Riqfinpro",#N/A,FALSE,"Tran"}</definedName>
    <definedName name="ppp" localSheetId="9" hidden="1">{"Riqfin97",#N/A,FALSE,"Tran";"Riqfinpro",#N/A,FALSE,"Tran"}</definedName>
    <definedName name="ppp" localSheetId="13" hidden="1">{"Riqfin97",#N/A,FALSE,"Tran";"Riqfinpro",#N/A,FALSE,"Tran"}</definedName>
    <definedName name="ppp" localSheetId="21" hidden="1">{"Riqfin97",#N/A,FALSE,"Tran";"Riqfinpro",#N/A,FALSE,"Tran"}</definedName>
    <definedName name="ppp" localSheetId="22" hidden="1">{"Riqfin97",#N/A,FALSE,"Tran";"Riqfinpro",#N/A,FALSE,"Tran"}</definedName>
    <definedName name="ppp" localSheetId="23" hidden="1">{"Riqfin97",#N/A,FALSE,"Tran";"Riqfinpro",#N/A,FALSE,"Tran"}</definedName>
    <definedName name="ppp" localSheetId="24" hidden="1">{"Riqfin97",#N/A,FALSE,"Tran";"Riqfinpro",#N/A,FALSE,"Tran"}</definedName>
    <definedName name="ppp" localSheetId="48" hidden="1">{"Riqfin97",#N/A,FALSE,"Tran";"Riqfinpro",#N/A,FALSE,"Tran"}</definedName>
    <definedName name="ppp" localSheetId="1" hidden="1">{"Riqfin97",#N/A,FALSE,"Tran";"Riqfinpro",#N/A,FALSE,"Tran"}</definedName>
    <definedName name="ppp" localSheetId="11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21">#REF!</definedName>
    <definedName name="pri" localSheetId="22">#REF!</definedName>
    <definedName name="pri" localSheetId="23">#REF!</definedName>
    <definedName name="pri" localSheetId="24">#REF!</definedName>
    <definedName name="pri">#REF!</definedName>
    <definedName name="Print" localSheetId="21">#REF!</definedName>
    <definedName name="Print" localSheetId="22">#REF!</definedName>
    <definedName name="Print" localSheetId="23">#REF!</definedName>
    <definedName name="Print" localSheetId="24">#REF!</definedName>
    <definedName name="Print">#REF!</definedName>
    <definedName name="PRINT1" localSheetId="21">[61]Index!#REF!</definedName>
    <definedName name="PRINT1" localSheetId="22">[61]Index!#REF!</definedName>
    <definedName name="PRINT1" localSheetId="23">[61]Index!#REF!</definedName>
    <definedName name="PRINT1" localSheetId="24">[61]Index!#REF!</definedName>
    <definedName name="PRINT1">[61]Index!#REF!</definedName>
    <definedName name="PRINT2" localSheetId="21">[61]Index!#REF!</definedName>
    <definedName name="PRINT2" localSheetId="22">[61]Index!#REF!</definedName>
    <definedName name="PRINT2" localSheetId="23">[61]Index!#REF!</definedName>
    <definedName name="PRINT2" localSheetId="24">[61]Index!#REF!</definedName>
    <definedName name="PRINT2">[61]Index!#REF!</definedName>
    <definedName name="PRINT3" localSheetId="21">[61]Index!#REF!</definedName>
    <definedName name="PRINT3" localSheetId="22">[61]Index!#REF!</definedName>
    <definedName name="PRINT3" localSheetId="23">[61]Index!#REF!</definedName>
    <definedName name="PRINT3" localSheetId="24">[61]Index!#REF!</definedName>
    <definedName name="PRINT3">[61]Index!#REF!</definedName>
    <definedName name="PrintThis_Links">[48]Links!$A$1:$F$33</definedName>
    <definedName name="profit" localSheetId="21">[6]C!$O$1:$T$1</definedName>
    <definedName name="profit">[21]C!$O$1:$T$1</definedName>
    <definedName name="prorač">[62]Prorač!$A:$IV</definedName>
    <definedName name="PvNee_2">[28]Graf14_Graf15!#REF!</definedName>
    <definedName name="PvNer_2">[28]Graf14_Graf15!#REF!</definedName>
    <definedName name="Q6_" localSheetId="21">#REF!</definedName>
    <definedName name="Q6_" localSheetId="22">#REF!</definedName>
    <definedName name="Q6_" localSheetId="23">#REF!</definedName>
    <definedName name="Q6_" localSheetId="24">#REF!</definedName>
    <definedName name="Q6_">#REF!</definedName>
    <definedName name="QFISCAL" localSheetId="21">'[3]Quarterly Raw Data'!#REF!</definedName>
    <definedName name="QFISCAL" localSheetId="22">'[3]Quarterly Raw Data'!#REF!</definedName>
    <definedName name="QFISCAL" localSheetId="23">'[3]Quarterly Raw Data'!#REF!</definedName>
    <definedName name="QFISCAL" localSheetId="24">'[3]Quarterly Raw Data'!#REF!</definedName>
    <definedName name="QFISCAL">'[3]Quarterly Raw Data'!#REF!</definedName>
    <definedName name="qq" localSheetId="8" hidden="1">'[54]J(Priv.Cap)'!#REF!</definedName>
    <definedName name="qq" localSheetId="9" hidden="1">'[54]J(Priv.Cap)'!#REF!</definedName>
    <definedName name="qq" localSheetId="13" hidden="1">'[54]J(Priv.Cap)'!#REF!</definedName>
    <definedName name="qq" localSheetId="21" hidden="1">'[54]J(Priv.Cap)'!#REF!</definedName>
    <definedName name="qq" localSheetId="48" hidden="1">'[54]J(Priv.Cap)'!#REF!</definedName>
    <definedName name="qq" localSheetId="1" hidden="1">'[54]J(Priv.Cap)'!#REF!</definedName>
    <definedName name="qq" localSheetId="11" hidden="1">'[54]J(Priv.Cap)'!#REF!</definedName>
    <definedName name="qq" hidden="1">'[54]J(Priv.Cap)'!#REF!</definedName>
    <definedName name="qtab_35" localSheetId="21">'[63]i1-CA'!#REF!</definedName>
    <definedName name="qtab_35">'[63]i1-CA'!#REF!</definedName>
    <definedName name="QTAB7" localSheetId="21">'[3]Quarterly MacroFlow'!#REF!</definedName>
    <definedName name="QTAB7">'[3]Quarterly MacroFlow'!#REF!</definedName>
    <definedName name="QTAB7A" localSheetId="21">'[3]Quarterly MacroFlow'!#REF!</definedName>
    <definedName name="QTAB7A">'[3]Quarterly MacroFlow'!#REF!</definedName>
    <definedName name="quest1" localSheetId="21">#REF!</definedName>
    <definedName name="quest1" localSheetId="22">#REF!</definedName>
    <definedName name="quest1" localSheetId="23">#REF!</definedName>
    <definedName name="quest1" localSheetId="24">#REF!</definedName>
    <definedName name="quest1">#REF!</definedName>
    <definedName name="quest2" localSheetId="21">#REF!</definedName>
    <definedName name="quest2" localSheetId="22">#REF!</definedName>
    <definedName name="quest2" localSheetId="23">#REF!</definedName>
    <definedName name="quest2" localSheetId="24">#REF!</definedName>
    <definedName name="quest2">#REF!</definedName>
    <definedName name="quest3" localSheetId="21">#REF!</definedName>
    <definedName name="quest3" localSheetId="22">#REF!</definedName>
    <definedName name="quest3" localSheetId="23">#REF!</definedName>
    <definedName name="quest3" localSheetId="24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REAL">#REF!</definedName>
    <definedName name="REALANNUAL">#REF!</definedName>
    <definedName name="realizacia">[64]Sheet1!$A$1:$I$406</definedName>
    <definedName name="realizacija">[64]Sheet1!$A$1:$I$406</definedName>
    <definedName name="REALNACT" localSheetId="21">#REF!</definedName>
    <definedName name="REALNACT" localSheetId="22">#REF!</definedName>
    <definedName name="REALNACT" localSheetId="23">#REF!</definedName>
    <definedName name="REALNACT" localSheetId="24">#REF!</definedName>
    <definedName name="REALNACT">#REF!</definedName>
    <definedName name="red_26" localSheetId="21">#REF!</definedName>
    <definedName name="red_26" localSheetId="22">#REF!</definedName>
    <definedName name="red_26" localSheetId="23">#REF!</definedName>
    <definedName name="red_26" localSheetId="24">#REF!</definedName>
    <definedName name="red_26">#REF!</definedName>
    <definedName name="red_33" localSheetId="21">#REF!</definedName>
    <definedName name="red_33" localSheetId="22">#REF!</definedName>
    <definedName name="red_33" localSheetId="23">#REF!</definedName>
    <definedName name="red_33" localSheetId="24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 localSheetId="21">[6]REER!$AZ$144:$AZ$206</definedName>
    <definedName name="REERCPI">[21]REER!$AZ$144:$AZ$206</definedName>
    <definedName name="REERPPI" localSheetId="21">[6]REER!$BB$144:$BB$206</definedName>
    <definedName name="REERPPI">[21]REER!$BB$144:$BB$206</definedName>
    <definedName name="RefVintage">[31]readme!$B$4</definedName>
    <definedName name="REGISTERALL" localSheetId="21">#REF!</definedName>
    <definedName name="REGISTERALL" localSheetId="22">#REF!</definedName>
    <definedName name="REGISTERALL" localSheetId="23">#REF!</definedName>
    <definedName name="REGISTERALL" localSheetId="24">#REF!</definedName>
    <definedName name="REGISTERALL">#REF!</definedName>
    <definedName name="RFSee_2" localSheetId="21">[28]Graf14_Graf15!#REF!</definedName>
    <definedName name="RFSee_2" localSheetId="22">[28]Graf14_Graf15!#REF!</definedName>
    <definedName name="RFSee_2" localSheetId="23">[28]Graf14_Graf15!#REF!</definedName>
    <definedName name="RFSee_2" localSheetId="24">[28]Graf14_Graf15!#REF!</definedName>
    <definedName name="RFSee_2">[28]Graf14_Graf15!#REF!</definedName>
    <definedName name="RFSer_2" localSheetId="21">[28]Graf14_Graf15!#REF!</definedName>
    <definedName name="RFSer_2" localSheetId="22">[28]Graf14_Graf15!#REF!</definedName>
    <definedName name="RFSer_2" localSheetId="23">[28]Graf14_Graf15!#REF!</definedName>
    <definedName name="RFSer_2" localSheetId="24">[28]Graf14_Graf15!#REF!</definedName>
    <definedName name="RFSer_2">[28]Graf14_Graf15!#REF!</definedName>
    <definedName name="RGDPA" localSheetId="21">#REF!</definedName>
    <definedName name="RGDPA" localSheetId="22">#REF!</definedName>
    <definedName name="RGDPA" localSheetId="23">#REF!</definedName>
    <definedName name="RGDPA" localSheetId="24">#REF!</definedName>
    <definedName name="RGDPA">#REF!</definedName>
    <definedName name="RgFdPartCsource" localSheetId="21">#REF!</definedName>
    <definedName name="RgFdPartCsource" localSheetId="22">#REF!</definedName>
    <definedName name="RgFdPartCsource" localSheetId="23">#REF!</definedName>
    <definedName name="RgFdPartCsource" localSheetId="24">#REF!</definedName>
    <definedName name="RgFdPartCsource">#REF!</definedName>
    <definedName name="RgFdPartEseries" localSheetId="21">#REF!</definedName>
    <definedName name="RgFdPartEseries" localSheetId="22">#REF!</definedName>
    <definedName name="RgFdPartEseries" localSheetId="23">#REF!</definedName>
    <definedName name="RgFdPartEseries" localSheetId="24">#REF!</definedName>
    <definedName name="RgFdPartEseries">#REF!</definedName>
    <definedName name="RgFdPartEsource" localSheetId="21">#REF!</definedName>
    <definedName name="RgFdPartEsource">#REF!</definedName>
    <definedName name="RgFdReptCSeries" localSheetId="21">#REF!</definedName>
    <definedName name="RgFdReptCSeries">#REF!</definedName>
    <definedName name="RgFdReptCsource" localSheetId="21">#REF!</definedName>
    <definedName name="RgFdReptCsource">#REF!</definedName>
    <definedName name="RgFdReptEseries" localSheetId="21">#REF!</definedName>
    <definedName name="RgFdReptEseries">#REF!</definedName>
    <definedName name="RgFdReptEsource" localSheetId="21">#REF!</definedName>
    <definedName name="RgFdReptEsource">#REF!</definedName>
    <definedName name="RgFdSAMethod" localSheetId="21">#REF!</definedName>
    <definedName name="RgFdSAMethod">#REF!</definedName>
    <definedName name="RgFdTbBper" localSheetId="21">#REF!</definedName>
    <definedName name="RgFdTbBper">#REF!</definedName>
    <definedName name="RgFdTbCreate" localSheetId="21">#REF!</definedName>
    <definedName name="RgFdTbCreate">#REF!</definedName>
    <definedName name="RgFdTbEper" localSheetId="21">#REF!</definedName>
    <definedName name="RgFdTbEper">#REF!</definedName>
    <definedName name="RGFdTbFoot" localSheetId="21">#REF!</definedName>
    <definedName name="RGFdTbFoot">#REF!</definedName>
    <definedName name="RgFdTbFreq" localSheetId="21">#REF!</definedName>
    <definedName name="RgFdTbFreq">#REF!</definedName>
    <definedName name="RgFdTbFreqVal" localSheetId="21">#REF!</definedName>
    <definedName name="RgFdTbFreqVal">#REF!</definedName>
    <definedName name="RgFdTbSendto" localSheetId="21">#REF!</definedName>
    <definedName name="RgFdTbSendto">#REF!</definedName>
    <definedName name="RgFdWgtMethod" localSheetId="21">#REF!</definedName>
    <definedName name="RgFdWgtMethod">#REF!</definedName>
    <definedName name="RGSPA" localSheetId="21">#REF!</definedName>
    <definedName name="RGSPA">#REF!</definedName>
    <definedName name="rngBefore">[48]Main!$AB$26</definedName>
    <definedName name="rngDepartmentDrive">[48]Main!$AB$23</definedName>
    <definedName name="rngEMailAddress">[48]Main!$AB$20</definedName>
    <definedName name="rngErrorSort">[48]ErrCheck!$A$4</definedName>
    <definedName name="rngLastSave">[48]Main!$G$19</definedName>
    <definedName name="rngLastSent">[48]Main!$G$18</definedName>
    <definedName name="rngLastUpdate">[48]Links!$D$2</definedName>
    <definedName name="rngNeedsUpdate">[48]Links!$E$2</definedName>
    <definedName name="rngNews">[48]Main!$AB$27</definedName>
    <definedName name="rngQuestChecked">[48]ErrCheck!$A$3</definedName>
    <definedName name="rounding">[28]Graf14_Graf15!#REF!</definedName>
    <definedName name="rr" localSheetId="9" hidden="1">{"Riqfin97",#N/A,FALSE,"Tran";"Riqfinpro",#N/A,FALSE,"Tran"}</definedName>
    <definedName name="rr" localSheetId="13" hidden="1">{"Riqfin97",#N/A,FALSE,"Tran";"Riqfinpro",#N/A,FALSE,"Tran"}</definedName>
    <definedName name="rr" localSheetId="21" hidden="1">{"Riqfin97",#N/A,FALSE,"Tran";"Riqfinpro",#N/A,FALSE,"Tran"}</definedName>
    <definedName name="rr" localSheetId="22" hidden="1">{"Riqfin97",#N/A,FALSE,"Tran";"Riqfinpro",#N/A,FALSE,"Tran"}</definedName>
    <definedName name="rr" localSheetId="23" hidden="1">{"Riqfin97",#N/A,FALSE,"Tran";"Riqfinpro",#N/A,FALSE,"Tran"}</definedName>
    <definedName name="rr" localSheetId="24" hidden="1">{"Riqfin97",#N/A,FALSE,"Tran";"Riqfinpro",#N/A,FALSE,"Tran"}</definedName>
    <definedName name="rr" localSheetId="48" hidden="1">{"Riqfin97",#N/A,FALSE,"Tran";"Riqfinpro",#N/A,FALSE,"Tran"}</definedName>
    <definedName name="rr" localSheetId="1" hidden="1">{"Riqfin97",#N/A,FALSE,"Tran";"Riqfinpro",#N/A,FALSE,"Tran"}</definedName>
    <definedName name="rr" localSheetId="11" hidden="1">{"Riqfin97",#N/A,FALSE,"Tran";"Riqfinpro",#N/A,FALSE,"Tran"}</definedName>
    <definedName name="rr" hidden="1">{"Riqfin97",#N/A,FALSE,"Tran";"Riqfinpro",#N/A,FALSE,"Tran"}</definedName>
    <definedName name="rrr" localSheetId="9" hidden="1">{"Riqfin97",#N/A,FALSE,"Tran";"Riqfinpro",#N/A,FALSE,"Tran"}</definedName>
    <definedName name="rrr" localSheetId="13" hidden="1">{"Riqfin97",#N/A,FALSE,"Tran";"Riqfinpro",#N/A,FALSE,"Tran"}</definedName>
    <definedName name="rrr" localSheetId="21" hidden="1">{"Riqfin97",#N/A,FALSE,"Tran";"Riqfinpro",#N/A,FALSE,"Tran"}</definedName>
    <definedName name="rrr" localSheetId="22" hidden="1">{"Riqfin97",#N/A,FALSE,"Tran";"Riqfinpro",#N/A,FALSE,"Tran"}</definedName>
    <definedName name="rrr" localSheetId="23" hidden="1">{"Riqfin97",#N/A,FALSE,"Tran";"Riqfinpro",#N/A,FALSE,"Tran"}</definedName>
    <definedName name="rrr" localSheetId="24" hidden="1">{"Riqfin97",#N/A,FALSE,"Tran";"Riqfinpro",#N/A,FALSE,"Tran"}</definedName>
    <definedName name="rrr" localSheetId="48" hidden="1">{"Riqfin97",#N/A,FALSE,"Tran";"Riqfinpro",#N/A,FALSE,"Tran"}</definedName>
    <definedName name="rrr" localSheetId="1" hidden="1">{"Riqfin97",#N/A,FALSE,"Tran";"Riqfinpro",#N/A,FALSE,"Tran"}</definedName>
    <definedName name="rrr" localSheetId="11" hidden="1">{"Riqfin97",#N/A,FALSE,"Tran";"Riqfinpro",#N/A,FALSE,"Tran"}</definedName>
    <definedName name="rrr" hidden="1">{"Riqfin97",#N/A,FALSE,"Tran";"Riqfinpro",#N/A,FALSE,"Tran"}</definedName>
    <definedName name="RULCPPI" localSheetId="21">[6]C!$O$9:$O$71</definedName>
    <definedName name="RULCPPI">[21]C!$O$9:$O$71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21">#REF!</definedName>
    <definedName name="SECTORS" localSheetId="22">#REF!</definedName>
    <definedName name="SECTORS" localSheetId="23">#REF!</definedName>
    <definedName name="SECTORS" localSheetId="24">#REF!</definedName>
    <definedName name="SECTORS">#REF!</definedName>
    <definedName name="seitable" localSheetId="21">'[65]Sel. Ind. Tbl'!$A$3:$G$75</definedName>
    <definedName name="seitable">'[66]Sel. Ind. Tbl'!$A$3:$G$75</definedName>
    <definedName name="sencount" hidden="1">2</definedName>
    <definedName name="SPee_2" localSheetId="21">[28]Graf14_Graf15!#REF!</definedName>
    <definedName name="SPee_2" localSheetId="22">[28]Graf14_Graf15!#REF!</definedName>
    <definedName name="SPee_2" localSheetId="23">[28]Graf14_Graf15!#REF!</definedName>
    <definedName name="SPee_2" localSheetId="24">[28]Graf14_Graf15!#REF!</definedName>
    <definedName name="SPee_2">[28]Graf14_Graf15!#REF!</definedName>
    <definedName name="SPer_2" localSheetId="21">[28]Graf14_Graf15!#REF!</definedName>
    <definedName name="SPer_2" localSheetId="22">[28]Graf14_Graf15!#REF!</definedName>
    <definedName name="SPer_2" localSheetId="23">[28]Graf14_Graf15!#REF!</definedName>
    <definedName name="SPer_2" localSheetId="24">[28]Graf14_Graf15!#REF!</definedName>
    <definedName name="SPer_2">[28]Graf14_Graf15!#REF!</definedName>
    <definedName name="SprejetiProracun" localSheetId="21">#REF!</definedName>
    <definedName name="SprejetiProracun" localSheetId="22">#REF!</definedName>
    <definedName name="SprejetiProracun" localSheetId="23">#REF!</definedName>
    <definedName name="SprejetiProracun" localSheetId="24">#REF!</definedName>
    <definedName name="SprejetiProracun">#REF!</definedName>
    <definedName name="SR_3" localSheetId="21">#REF!</definedName>
    <definedName name="SR_3" localSheetId="22">#REF!</definedName>
    <definedName name="SR_3" localSheetId="23">#REF!</definedName>
    <definedName name="SR_3" localSheetId="24">#REF!</definedName>
    <definedName name="SR_3">#REF!</definedName>
    <definedName name="SR_5" localSheetId="21">#REF!</definedName>
    <definedName name="SR_5" localSheetId="22">#REF!</definedName>
    <definedName name="SR_5" localSheetId="23">#REF!</definedName>
    <definedName name="SR_5" localSheetId="24">#REF!</definedName>
    <definedName name="SR_5">#REF!</definedName>
    <definedName name="SS">[67]IMATA!$B$45:$B$108</definedName>
    <definedName name="StatusTable">[31]readme!$A$12:$B$21</definedName>
    <definedName name="T1.13" localSheetId="21">#REF!</definedName>
    <definedName name="T1.13" localSheetId="22">#REF!</definedName>
    <definedName name="T1.13" localSheetId="23">#REF!</definedName>
    <definedName name="T1.13" localSheetId="24">#REF!</definedName>
    <definedName name="T1.13">#REF!</definedName>
    <definedName name="t2q" localSheetId="21">#REF!</definedName>
    <definedName name="t2q" localSheetId="22">#REF!</definedName>
    <definedName name="t2q" localSheetId="23">#REF!</definedName>
    <definedName name="t2q" localSheetId="24">#REF!</definedName>
    <definedName name="t2q">#REF!</definedName>
    <definedName name="TAB1A" localSheetId="21">#REF!</definedName>
    <definedName name="TAB1A" localSheetId="22">#REF!</definedName>
    <definedName name="TAB1A" localSheetId="23">#REF!</definedName>
    <definedName name="TAB1A" localSheetId="24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 localSheetId="21">'[3]Annual Tables'!#REF!</definedName>
    <definedName name="TAB6A">'[3]Annual Tables'!#REF!</definedName>
    <definedName name="TAB6B" localSheetId="21">'[3]Annual Tables'!#REF!</definedName>
    <definedName name="TAB6B">'[3]Annual Tables'!#REF!</definedName>
    <definedName name="TAB6C" localSheetId="21">#REF!</definedName>
    <definedName name="TAB6C" localSheetId="22">#REF!</definedName>
    <definedName name="TAB6C" localSheetId="23">#REF!</definedName>
    <definedName name="TAB6C" localSheetId="24">#REF!</definedName>
    <definedName name="TAB6C">#REF!</definedName>
    <definedName name="TAB7A" localSheetId="21">#REF!</definedName>
    <definedName name="TAB7A" localSheetId="22">#REF!</definedName>
    <definedName name="TAB7A" localSheetId="23">#REF!</definedName>
    <definedName name="TAB7A" localSheetId="24">#REF!</definedName>
    <definedName name="TAB7A">#REF!</definedName>
    <definedName name="tabC1" localSheetId="21">#REF!</definedName>
    <definedName name="tabC1" localSheetId="22">#REF!</definedName>
    <definedName name="tabC1" localSheetId="23">#REF!</definedName>
    <definedName name="tabC1" localSheetId="24">#REF!</definedName>
    <definedName name="tabC1">#REF!</definedName>
    <definedName name="tabC2">#REF!</definedName>
    <definedName name="Tabela_6a">#REF!</definedName>
    <definedName name="tabela3a" localSheetId="21">'[68]Table 1'!#REF!</definedName>
    <definedName name="tabela3a">'[68]Table 1'!#REF!</definedName>
    <definedName name="Tabelaxx" localSheetId="21">#REF!</definedName>
    <definedName name="Tabelaxx" localSheetId="22">#REF!</definedName>
    <definedName name="Tabelaxx" localSheetId="23">#REF!</definedName>
    <definedName name="Tabelaxx" localSheetId="24">#REF!</definedName>
    <definedName name="Tabelaxx">#REF!</definedName>
    <definedName name="tabF" localSheetId="21">#REF!</definedName>
    <definedName name="tabF" localSheetId="22">#REF!</definedName>
    <definedName name="tabF" localSheetId="23">#REF!</definedName>
    <definedName name="tabF" localSheetId="24">#REF!</definedName>
    <definedName name="tabF">#REF!</definedName>
    <definedName name="tabH" localSheetId="21">#REF!</definedName>
    <definedName name="tabH" localSheetId="22">#REF!</definedName>
    <definedName name="tabH" localSheetId="23">#REF!</definedName>
    <definedName name="tabH" localSheetId="24">#REF!</definedName>
    <definedName name="tabH">#REF!</definedName>
    <definedName name="tabI">#REF!</definedName>
    <definedName name="Table__47">[69]RED47!$A$1:$I$53</definedName>
    <definedName name="Table_2._Country_X___Public_Sector_Financing_1" localSheetId="21">#REF!</definedName>
    <definedName name="Table_2._Country_X___Public_Sector_Financing_1" localSheetId="22">#REF!</definedName>
    <definedName name="Table_2._Country_X___Public_Sector_Financing_1" localSheetId="23">#REF!</definedName>
    <definedName name="Table_2._Country_X___Public_Sector_Financing_1" localSheetId="24">#REF!</definedName>
    <definedName name="Table_2._Country_X___Public_Sector_Financing_1">#REF!</definedName>
    <definedName name="Table_4SR" localSheetId="21">#REF!</definedName>
    <definedName name="Table_4SR" localSheetId="22">#REF!</definedName>
    <definedName name="Table_4SR" localSheetId="23">#REF!</definedName>
    <definedName name="Table_4SR" localSheetId="24">#REF!</definedName>
    <definedName name="Table_4SR">#REF!</definedName>
    <definedName name="Table_debt">[70]Table!$A$3:$AB$73</definedName>
    <definedName name="TABLE1" localSheetId="21">#REF!</definedName>
    <definedName name="TABLE1" localSheetId="22">#REF!</definedName>
    <definedName name="TABLE1" localSheetId="23">#REF!</definedName>
    <definedName name="TABLE1" localSheetId="24">#REF!</definedName>
    <definedName name="TABLE1">#REF!</definedName>
    <definedName name="Table1printarea" localSheetId="21">#REF!</definedName>
    <definedName name="Table1printarea" localSheetId="22">#REF!</definedName>
    <definedName name="Table1printarea" localSheetId="23">#REF!</definedName>
    <definedName name="Table1printarea" localSheetId="24">#REF!</definedName>
    <definedName name="Table1printarea">#REF!</definedName>
    <definedName name="table30" localSheetId="21">#REF!</definedName>
    <definedName name="table30" localSheetId="22">#REF!</definedName>
    <definedName name="table30" localSheetId="23">#REF!</definedName>
    <definedName name="table30" localSheetId="24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 localSheetId="21">#REF!</definedName>
    <definedName name="table6">#REF!</definedName>
    <definedName name="table9" localSheetId="21">#REF!</definedName>
    <definedName name="table9">#REF!</definedName>
    <definedName name="TAME">#REF!</definedName>
    <definedName name="Tbl_GFN">[70]Table_GEF!$B$2:$T$53</definedName>
    <definedName name="tblChecks">[48]ErrCheck!$A$3:$E$5</definedName>
    <definedName name="tblLinks">[48]Links!$A$4:$F$33</definedName>
    <definedName name="TEMP" localSheetId="21">[71]Data!#REF!</definedName>
    <definedName name="TEMP" localSheetId="22">[71]Data!#REF!</definedName>
    <definedName name="TEMP" localSheetId="23">[71]Data!#REF!</definedName>
    <definedName name="TEMP" localSheetId="24">[71]Data!#REF!</definedName>
    <definedName name="TEMP">[71]Data!#REF!</definedName>
    <definedName name="tempo_kles" localSheetId="21">[28]Graf14_Graf15!#REF!</definedName>
    <definedName name="tempo_kles" localSheetId="22">[28]Graf14_Graf15!#REF!</definedName>
    <definedName name="tempo_kles" localSheetId="23">[28]Graf14_Graf15!#REF!</definedName>
    <definedName name="tempo_kles" localSheetId="24">[28]Graf14_Graf15!#REF!</definedName>
    <definedName name="tempo_kles">[28]Graf14_Graf15!#REF!</definedName>
    <definedName name="tempo_kles_2" localSheetId="21">[28]Graf14_Graf15!#REF!</definedName>
    <definedName name="tempo_kles_2" localSheetId="22">[28]Graf14_Graf15!#REF!</definedName>
    <definedName name="tempo_kles_2" localSheetId="23">[28]Graf14_Graf15!#REF!</definedName>
    <definedName name="tempo_kles_2" localSheetId="24">[28]Graf14_Graf15!#REF!</definedName>
    <definedName name="tempo_kles_2">[28]Graf14_Graf15!#REF!</definedName>
    <definedName name="text" localSheetId="21" hidden="1">{#N/A,#N/A,FALSE,"CB";#N/A,#N/A,FALSE,"CMB";#N/A,#N/A,FALSE,"BSYS";#N/A,#N/A,FALSE,"NBFI";#N/A,#N/A,FALSE,"FSYS"}</definedName>
    <definedName name="text" localSheetId="22" hidden="1">{#N/A,#N/A,FALSE,"CB";#N/A,#N/A,FALSE,"CMB";#N/A,#N/A,FALSE,"BSYS";#N/A,#N/A,FALSE,"NBFI";#N/A,#N/A,FALSE,"FSYS"}</definedName>
    <definedName name="text" localSheetId="23" hidden="1">{#N/A,#N/A,FALSE,"CB";#N/A,#N/A,FALSE,"CMB";#N/A,#N/A,FALSE,"BSYS";#N/A,#N/A,FALSE,"NBFI";#N/A,#N/A,FALSE,"FSYS"}</definedName>
    <definedName name="text" localSheetId="24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[27]Q5!$E$23:$AH$23</definedName>
    <definedName name="TMGO">#N/A</definedName>
    <definedName name="TOWEO" localSheetId="21">#REF!</definedName>
    <definedName name="TOWEO" localSheetId="22">#REF!</definedName>
    <definedName name="TOWEO" localSheetId="23">#REF!</definedName>
    <definedName name="TOWEO" localSheetId="24">#REF!</definedName>
    <definedName name="TOWEO">#REF!</definedName>
    <definedName name="TRADE3" localSheetId="21">[1]Trade!#REF!</definedName>
    <definedName name="TRADE3">[1]Trade!#REF!</definedName>
    <definedName name="trans" localSheetId="21">#REF!</definedName>
    <definedName name="trans" localSheetId="22">#REF!</definedName>
    <definedName name="trans" localSheetId="23">#REF!</definedName>
    <definedName name="trans" localSheetId="24">#REF!</definedName>
    <definedName name="trans">#REF!</definedName>
    <definedName name="Transfer_check" localSheetId="21">#REF!</definedName>
    <definedName name="Transfer_check" localSheetId="22">#REF!</definedName>
    <definedName name="Transfer_check" localSheetId="23">#REF!</definedName>
    <definedName name="Transfer_check" localSheetId="24">#REF!</definedName>
    <definedName name="Transfer_check">#REF!</definedName>
    <definedName name="TRANSNAVE" localSheetId="21">#REF!</definedName>
    <definedName name="TRANSNAVE" localSheetId="22">#REF!</definedName>
    <definedName name="TRANSNAVE" localSheetId="23">#REF!</definedName>
    <definedName name="TRANSNAVE" localSheetId="24">#REF!</definedName>
    <definedName name="TRANSNAVE">#REF!</definedName>
    <definedName name="tt" localSheetId="9" hidden="1">{"Tab1",#N/A,FALSE,"P";"Tab2",#N/A,FALSE,"P"}</definedName>
    <definedName name="tt" localSheetId="13" hidden="1">{"Tab1",#N/A,FALSE,"P";"Tab2",#N/A,FALSE,"P"}</definedName>
    <definedName name="tt" localSheetId="21" hidden="1">{"Tab1",#N/A,FALSE,"P";"Tab2",#N/A,FALSE,"P"}</definedName>
    <definedName name="tt" localSheetId="22" hidden="1">{"Tab1",#N/A,FALSE,"P";"Tab2",#N/A,FALSE,"P"}</definedName>
    <definedName name="tt" localSheetId="23" hidden="1">{"Tab1",#N/A,FALSE,"P";"Tab2",#N/A,FALSE,"P"}</definedName>
    <definedName name="tt" localSheetId="24" hidden="1">{"Tab1",#N/A,FALSE,"P";"Tab2",#N/A,FALSE,"P"}</definedName>
    <definedName name="tt" localSheetId="48" hidden="1">{"Tab1",#N/A,FALSE,"P";"Tab2",#N/A,FALSE,"P"}</definedName>
    <definedName name="tt" localSheetId="1" hidden="1">{"Tab1",#N/A,FALSE,"P";"Tab2",#N/A,FALSE,"P"}</definedName>
    <definedName name="tt" localSheetId="11" hidden="1">{"Tab1",#N/A,FALSE,"P";"Tab2",#N/A,FALSE,"P"}</definedName>
    <definedName name="tt" hidden="1">{"Tab1",#N/A,FALSE,"P";"Tab2",#N/A,FALSE,"P"}</definedName>
    <definedName name="ttt" localSheetId="9" hidden="1">{"Tab1",#N/A,FALSE,"P";"Tab2",#N/A,FALSE,"P"}</definedName>
    <definedName name="ttt" localSheetId="13" hidden="1">{"Tab1",#N/A,FALSE,"P";"Tab2",#N/A,FALSE,"P"}</definedName>
    <definedName name="ttt" localSheetId="21" hidden="1">{"Tab1",#N/A,FALSE,"P";"Tab2",#N/A,FALSE,"P"}</definedName>
    <definedName name="ttt" localSheetId="22" hidden="1">{"Tab1",#N/A,FALSE,"P";"Tab2",#N/A,FALSE,"P"}</definedName>
    <definedName name="ttt" localSheetId="23" hidden="1">{"Tab1",#N/A,FALSE,"P";"Tab2",#N/A,FALSE,"P"}</definedName>
    <definedName name="ttt" localSheetId="24" hidden="1">{"Tab1",#N/A,FALSE,"P";"Tab2",#N/A,FALSE,"P"}</definedName>
    <definedName name="ttt" localSheetId="48" hidden="1">{"Tab1",#N/A,FALSE,"P";"Tab2",#N/A,FALSE,"P"}</definedName>
    <definedName name="ttt" localSheetId="1" hidden="1">{"Tab1",#N/A,FALSE,"P";"Tab2",#N/A,FALSE,"P"}</definedName>
    <definedName name="ttt" localSheetId="11" hidden="1">{"Tab1",#N/A,FALSE,"P";"Tab2",#N/A,FALSE,"P"}</definedName>
    <definedName name="ttt" hidden="1">{"Tab1",#N/A,FALSE,"P";"Tab2",#N/A,FALSE,"P"}</definedName>
    <definedName name="ttttt" localSheetId="8" hidden="1">[58]M!#REF!</definedName>
    <definedName name="ttttt" localSheetId="21" hidden="1">[58]M!#REF!</definedName>
    <definedName name="ttttt" localSheetId="48" hidden="1">[58]M!#REF!</definedName>
    <definedName name="ttttt" hidden="1">[58]M!#REF!</definedName>
    <definedName name="TTTTTTTTTTTT" localSheetId="21">'Graf 23 + 24'!TTTTTTTTTTTT</definedName>
    <definedName name="TTTTTTTTTTTT">[22]!TTTTTTTTTTTT</definedName>
    <definedName name="TXG_D">#N/A</definedName>
    <definedName name="TXGO">#N/A</definedName>
    <definedName name="u163lnulcm_x_et.m" localSheetId="21">[33]monthly!#REF!</definedName>
    <definedName name="u163lnulcm_x_et.m" localSheetId="22">[34]monthly!#REF!</definedName>
    <definedName name="u163lnulcm_x_et.m" localSheetId="23">[34]monthly!#REF!</definedName>
    <definedName name="u163lnulcm_x_et.m" localSheetId="24">[34]monthly!#REF!</definedName>
    <definedName name="u163lnulcm_x_et.m">[34]monthly!#REF!</definedName>
    <definedName name="UB_2">[53]makro!$C$14</definedName>
    <definedName name="UB_2n">[53]makro!$C$36</definedName>
    <definedName name="UB_3">[53]makro!$D$14</definedName>
    <definedName name="UB_3n">[53]makro!$D$36</definedName>
    <definedName name="UB_4">[53]makro!$E$14</definedName>
    <definedName name="UB_4n">[53]makro!$E$36</definedName>
    <definedName name="UB_5">[53]makro!$F$14</definedName>
    <definedName name="UB_5n">[53]makro!$F$36</definedName>
    <definedName name="UB_6">[53]makro!$G$14</definedName>
    <definedName name="UB_6n">[53]makro!$G$36</definedName>
    <definedName name="ULC_CZ" localSheetId="21">[6]REER!$BU$144:$BU$206</definedName>
    <definedName name="ULC_CZ">[21]REER!$BU$144:$BU$206</definedName>
    <definedName name="ULC_PART" localSheetId="21">[6]REER!$BR$144:$BR$206</definedName>
    <definedName name="ULC_PART">[21]REER!$BR$144:$BR$206</definedName>
    <definedName name="Universities" localSheetId="21">#REF!</definedName>
    <definedName name="Universities" localSheetId="22">#REF!</definedName>
    <definedName name="Universities" localSheetId="23">#REF!</definedName>
    <definedName name="Universities" localSheetId="24">#REF!</definedName>
    <definedName name="Universities">#REF!</definedName>
    <definedName name="UPee_2" localSheetId="21">[28]Graf14_Graf15!#REF!</definedName>
    <definedName name="UPee_2" localSheetId="22">[28]Graf14_Graf15!#REF!</definedName>
    <definedName name="UPee_2" localSheetId="23">[28]Graf14_Graf15!#REF!</definedName>
    <definedName name="UPee_2" localSheetId="24">[28]Graf14_Graf15!#REF!</definedName>
    <definedName name="UPee_2">[28]Graf14_Graf15!#REF!</definedName>
    <definedName name="UPer_2" localSheetId="21">[28]Graf14_Graf15!#REF!</definedName>
    <definedName name="UPer_2" localSheetId="22">[28]Graf14_Graf15!#REF!</definedName>
    <definedName name="UPer_2" localSheetId="23">[28]Graf14_Graf15!#REF!</definedName>
    <definedName name="UPer_2" localSheetId="24">[28]Graf14_Graf15!#REF!</definedName>
    <definedName name="UPer_2">[28]Graf14_Graf15!#REF!</definedName>
    <definedName name="Uruguay">'[72]PDR vulnerability table'!$A$3:$E$65</definedName>
    <definedName name="USERNAME" localSheetId="21">#REF!</definedName>
    <definedName name="USERNAME" localSheetId="22">#REF!</definedName>
    <definedName name="USERNAME" localSheetId="23">#REF!</definedName>
    <definedName name="USERNAME" localSheetId="24">#REF!</definedName>
    <definedName name="USERNAME">#REF!</definedName>
    <definedName name="uu" localSheetId="9" hidden="1">{"Riqfin97",#N/A,FALSE,"Tran";"Riqfinpro",#N/A,FALSE,"Tran"}</definedName>
    <definedName name="uu" localSheetId="13" hidden="1">{"Riqfin97",#N/A,FALSE,"Tran";"Riqfinpro",#N/A,FALSE,"Tran"}</definedName>
    <definedName name="uu" localSheetId="21" hidden="1">{"Riqfin97",#N/A,FALSE,"Tran";"Riqfinpro",#N/A,FALSE,"Tran"}</definedName>
    <definedName name="uu" localSheetId="22" hidden="1">{"Riqfin97",#N/A,FALSE,"Tran";"Riqfinpro",#N/A,FALSE,"Tran"}</definedName>
    <definedName name="uu" localSheetId="23" hidden="1">{"Riqfin97",#N/A,FALSE,"Tran";"Riqfinpro",#N/A,FALSE,"Tran"}</definedName>
    <definedName name="uu" localSheetId="24" hidden="1">{"Riqfin97",#N/A,FALSE,"Tran";"Riqfinpro",#N/A,FALSE,"Tran"}</definedName>
    <definedName name="uu" localSheetId="48" hidden="1">{"Riqfin97",#N/A,FALSE,"Tran";"Riqfinpro",#N/A,FALSE,"Tran"}</definedName>
    <definedName name="uu" localSheetId="1" hidden="1">{"Riqfin97",#N/A,FALSE,"Tran";"Riqfinpro",#N/A,FALSE,"Tran"}</definedName>
    <definedName name="uu" localSheetId="11" hidden="1">{"Riqfin97",#N/A,FALSE,"Tran";"Riqfinpro",#N/A,FALSE,"Tran"}</definedName>
    <definedName name="uu" hidden="1">{"Riqfin97",#N/A,FALSE,"Tran";"Riqfinpro",#N/A,FALSE,"Tran"}</definedName>
    <definedName name="uuu" localSheetId="9" hidden="1">{"Riqfin97",#N/A,FALSE,"Tran";"Riqfinpro",#N/A,FALSE,"Tran"}</definedName>
    <definedName name="uuu" localSheetId="13" hidden="1">{"Riqfin97",#N/A,FALSE,"Tran";"Riqfinpro",#N/A,FALSE,"Tran"}</definedName>
    <definedName name="uuu" localSheetId="21" hidden="1">{"Riqfin97",#N/A,FALSE,"Tran";"Riqfinpro",#N/A,FALSE,"Tran"}</definedName>
    <definedName name="uuu" localSheetId="22" hidden="1">{"Riqfin97",#N/A,FALSE,"Tran";"Riqfinpro",#N/A,FALSE,"Tran"}</definedName>
    <definedName name="uuu" localSheetId="23" hidden="1">{"Riqfin97",#N/A,FALSE,"Tran";"Riqfinpro",#N/A,FALSE,"Tran"}</definedName>
    <definedName name="uuu" localSheetId="24" hidden="1">{"Riqfin97",#N/A,FALSE,"Tran";"Riqfinpro",#N/A,FALSE,"Tran"}</definedName>
    <definedName name="uuu" localSheetId="48" hidden="1">{"Riqfin97",#N/A,FALSE,"Tran";"Riqfinpro",#N/A,FALSE,"Tran"}</definedName>
    <definedName name="uuu" localSheetId="1" hidden="1">{"Riqfin97",#N/A,FALSE,"Tran";"Riqfinpro",#N/A,FALSE,"Tran"}</definedName>
    <definedName name="uuu" localSheetId="11" hidden="1">{"Riqfin97",#N/A,FALSE,"Tran";"Riqfinpro",#N/A,FALSE,"Tran"}</definedName>
    <definedName name="uuu" hidden="1">{"Riqfin97",#N/A,FALSE,"Tran";"Riqfinpro",#N/A,FALSE,"Tran"}</definedName>
    <definedName name="UUUUUUUUUUU" localSheetId="21">'Graf 23 + 24'!UUUUUUUUUUU</definedName>
    <definedName name="UUUUUUUUUUU">[22]!UUUUUUUUUUU</definedName>
    <definedName name="ValidationList" localSheetId="21">#REF!</definedName>
    <definedName name="ValidationList" localSheetId="22">#REF!</definedName>
    <definedName name="ValidationList" localSheetId="23">#REF!</definedName>
    <definedName name="ValidationList" localSheetId="24">#REF!</definedName>
    <definedName name="ValidationList">#REF!</definedName>
    <definedName name="VeljavniProracun" localSheetId="21">#REF!</definedName>
    <definedName name="VeljavniProracun" localSheetId="22">#REF!</definedName>
    <definedName name="VeljavniProracun" localSheetId="23">#REF!</definedName>
    <definedName name="VeljavniProracun" localSheetId="24">#REF!</definedName>
    <definedName name="VeljavniProracun">#REF!</definedName>
    <definedName name="Venezuela" localSheetId="21">#REF!</definedName>
    <definedName name="Venezuela" localSheetId="22">#REF!</definedName>
    <definedName name="Venezuela" localSheetId="23">#REF!</definedName>
    <definedName name="Venezuela" localSheetId="24">#REF!</definedName>
    <definedName name="Venezuela">#REF!</definedName>
    <definedName name="vv" localSheetId="9" hidden="1">{"Tab1",#N/A,FALSE,"P";"Tab2",#N/A,FALSE,"P"}</definedName>
    <definedName name="vv" localSheetId="13" hidden="1">{"Tab1",#N/A,FALSE,"P";"Tab2",#N/A,FALSE,"P"}</definedName>
    <definedName name="vv" localSheetId="21" hidden="1">{"Tab1",#N/A,FALSE,"P";"Tab2",#N/A,FALSE,"P"}</definedName>
    <definedName name="vv" localSheetId="22" hidden="1">{"Tab1",#N/A,FALSE,"P";"Tab2",#N/A,FALSE,"P"}</definedName>
    <definedName name="vv" localSheetId="23" hidden="1">{"Tab1",#N/A,FALSE,"P";"Tab2",#N/A,FALSE,"P"}</definedName>
    <definedName name="vv" localSheetId="24" hidden="1">{"Tab1",#N/A,FALSE,"P";"Tab2",#N/A,FALSE,"P"}</definedName>
    <definedName name="vv" localSheetId="48" hidden="1">{"Tab1",#N/A,FALSE,"P";"Tab2",#N/A,FALSE,"P"}</definedName>
    <definedName name="vv" localSheetId="1" hidden="1">{"Tab1",#N/A,FALSE,"P";"Tab2",#N/A,FALSE,"P"}</definedName>
    <definedName name="vv" localSheetId="11" hidden="1">{"Tab1",#N/A,FALSE,"P";"Tab2",#N/A,FALSE,"P"}</definedName>
    <definedName name="vv" hidden="1">{"Tab1",#N/A,FALSE,"P";"Tab2",#N/A,FALSE,"P"}</definedName>
    <definedName name="vvv" localSheetId="9" hidden="1">{"Tab1",#N/A,FALSE,"P";"Tab2",#N/A,FALSE,"P"}</definedName>
    <definedName name="vvv" localSheetId="13" hidden="1">{"Tab1",#N/A,FALSE,"P";"Tab2",#N/A,FALSE,"P"}</definedName>
    <definedName name="vvv" localSheetId="21" hidden="1">{"Tab1",#N/A,FALSE,"P";"Tab2",#N/A,FALSE,"P"}</definedName>
    <definedName name="vvv" localSheetId="22" hidden="1">{"Tab1",#N/A,FALSE,"P";"Tab2",#N/A,FALSE,"P"}</definedName>
    <definedName name="vvv" localSheetId="23" hidden="1">{"Tab1",#N/A,FALSE,"P";"Tab2",#N/A,FALSE,"P"}</definedName>
    <definedName name="vvv" localSheetId="24" hidden="1">{"Tab1",#N/A,FALSE,"P";"Tab2",#N/A,FALSE,"P"}</definedName>
    <definedName name="vvv" localSheetId="48" hidden="1">{"Tab1",#N/A,FALSE,"P";"Tab2",#N/A,FALSE,"P"}</definedName>
    <definedName name="vvv" localSheetId="1" hidden="1">{"Tab1",#N/A,FALSE,"P";"Tab2",#N/A,FALSE,"P"}</definedName>
    <definedName name="vvv" localSheetId="11" hidden="1">{"Tab1",#N/A,FALSE,"P";"Tab2",#N/A,FALSE,"P"}</definedName>
    <definedName name="vvv" hidden="1">{"Tab1",#N/A,FALSE,"P";"Tab2",#N/A,FALSE,"P"}</definedName>
    <definedName name="we11pcpi.m" localSheetId="21">[33]monthly!#REF!</definedName>
    <definedName name="we11pcpi.m">[34]monthly!#REF!</definedName>
    <definedName name="WMENU" localSheetId="21">#REF!</definedName>
    <definedName name="WMENU" localSheetId="22">#REF!</definedName>
    <definedName name="WMENU" localSheetId="23">#REF!</definedName>
    <definedName name="WMENU" localSheetId="24">#REF!</definedName>
    <definedName name="WMENU">#REF!</definedName>
    <definedName name="wrn.1993_2002." localSheetId="21" hidden="1">{"1993_2002",#N/A,FALSE,"UnderlyingData"}</definedName>
    <definedName name="wrn.1993_2002." localSheetId="22" hidden="1">{"1993_2002",#N/A,FALSE,"UnderlyingData"}</definedName>
    <definedName name="wrn.1993_2002." localSheetId="23" hidden="1">{"1993_2002",#N/A,FALSE,"UnderlyingData"}</definedName>
    <definedName name="wrn.1993_2002." localSheetId="24" hidden="1">{"1993_2002",#N/A,FALSE,"UnderlyingData"}</definedName>
    <definedName name="wrn.1993_2002." hidden="1">{"1993_2002",#N/A,FALSE,"UnderlyingData"}</definedName>
    <definedName name="wrn.a11._.general._.government." localSheetId="21" hidden="1">{"a11 general government",#N/A,FALSE,"RED Tables"}</definedName>
    <definedName name="wrn.a11._.general._.government." localSheetId="22" hidden="1">{"a11 general government",#N/A,FALSE,"RED Tables"}</definedName>
    <definedName name="wrn.a11._.general._.government." localSheetId="23" hidden="1">{"a11 general government",#N/A,FALSE,"RED Tables"}</definedName>
    <definedName name="wrn.a11._.general._.government." localSheetId="24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21" hidden="1">{"a12 Federal Government",#N/A,FALSE,"RED Tables"}</definedName>
    <definedName name="wrn.a12._.Federal._.Government." localSheetId="22" hidden="1">{"a12 Federal Government",#N/A,FALSE,"RED Tables"}</definedName>
    <definedName name="wrn.a12._.Federal._.Government." localSheetId="23" hidden="1">{"a12 Federal Government",#N/A,FALSE,"RED Tables"}</definedName>
    <definedName name="wrn.a12._.Federal._.Government." localSheetId="24" hidden="1">{"a12 Federal Government",#N/A,FALSE,"RED Tables"}</definedName>
    <definedName name="wrn.a12._.Federal._.Government." hidden="1">{"a12 Federal Government",#N/A,FALSE,"RED Tables"}</definedName>
    <definedName name="wrn.a13._.social._.security." localSheetId="21" hidden="1">{"a13 social security",#N/A,FALSE,"RED Tables"}</definedName>
    <definedName name="wrn.a13._.social._.security." localSheetId="22" hidden="1">{"a13 social security",#N/A,FALSE,"RED Tables"}</definedName>
    <definedName name="wrn.a13._.social._.security." localSheetId="23" hidden="1">{"a13 social security",#N/A,FALSE,"RED Tables"}</definedName>
    <definedName name="wrn.a13._.social._.security." localSheetId="24" hidden="1">{"a13 social security",#N/A,FALSE,"RED Tables"}</definedName>
    <definedName name="wrn.a13._.social._.security." hidden="1">{"a13 social security",#N/A,FALSE,"RED Tables"}</definedName>
    <definedName name="wrn.a14._.regions._.and._.communities." localSheetId="21" hidden="1">{"a14 regions and communities",#N/A,FALSE,"RED Tables"}</definedName>
    <definedName name="wrn.a14._.regions._.and._.communities." localSheetId="22" hidden="1">{"a14 regions and communities",#N/A,FALSE,"RED Tables"}</definedName>
    <definedName name="wrn.a14._.regions._.and._.communities." localSheetId="23" hidden="1">{"a14 regions and communities",#N/A,FALSE,"RED Tables"}</definedName>
    <definedName name="wrn.a14._.regions._.and._.communities." localSheetId="24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21" hidden="1">{"a15 local governments",#N/A,FALSE,"RED Tables"}</definedName>
    <definedName name="wrn.a15._.local._.governments." localSheetId="22" hidden="1">{"a15 local governments",#N/A,FALSE,"RED Tables"}</definedName>
    <definedName name="wrn.a15._.local._.governments." localSheetId="23" hidden="1">{"a15 local governments",#N/A,FALSE,"RED Tables"}</definedName>
    <definedName name="wrn.a15._.local._.governments." localSheetId="24" hidden="1">{"a15 local governments",#N/A,FALSE,"RED Tables"}</definedName>
    <definedName name="wrn.a15._.local._.governments." hidden="1">{"a15 local governments",#N/A,FALSE,"RED Tables"}</definedName>
    <definedName name="wrn.BOP_MIDTERM." localSheetId="21" hidden="1">{"BOP_TAB",#N/A,FALSE,"N";"MIDTERM_TAB",#N/A,FALSE,"O"}</definedName>
    <definedName name="wrn.BOP_MIDTERM." localSheetId="22" hidden="1">{"BOP_TAB",#N/A,FALSE,"N";"MIDTERM_TAB",#N/A,FALSE,"O"}</definedName>
    <definedName name="wrn.BOP_MIDTERM." localSheetId="23" hidden="1">{"BOP_TAB",#N/A,FALSE,"N";"MIDTERM_TAB",#N/A,FALSE,"O"}</definedName>
    <definedName name="wrn.BOP_MIDTERM." localSheetId="24" hidden="1">{"BOP_TAB",#N/A,FALSE,"N";"MIDTERM_TAB",#N/A,FALSE,"O"}</definedName>
    <definedName name="wrn.BOP_MIDTERM." hidden="1">{"BOP_TAB",#N/A,FALSE,"N";"MIDTERM_TAB",#N/A,FALSE,"O"}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21" hidden="1">{#N/A,#N/A,FALSE,"CB";#N/A,#N/A,FALSE,"CMB";#N/A,#N/A,FALSE,"BSYS";#N/A,#N/A,FALSE,"NBFI";#N/A,#N/A,FALSE,"FSYS"}</definedName>
    <definedName name="wrn.MAIN." localSheetId="22" hidden="1">{#N/A,#N/A,FALSE,"CB";#N/A,#N/A,FALSE,"CMB";#N/A,#N/A,FALSE,"BSYS";#N/A,#N/A,FALSE,"NBFI";#N/A,#N/A,FALSE,"FSYS"}</definedName>
    <definedName name="wrn.MAIN." localSheetId="23" hidden="1">{#N/A,#N/A,FALSE,"CB";#N/A,#N/A,FALSE,"CMB";#N/A,#N/A,FALSE,"BSYS";#N/A,#N/A,FALSE,"NBFI";#N/A,#N/A,FALSE,"FSYS"}</definedName>
    <definedName name="wrn.MAIN." localSheetId="24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{#N/A,#N/A,FALSE,"CB";#N/A,#N/A,FALSE,"CMB";#N/A,#N/A,FALSE,"NBFI"}</definedName>
    <definedName name="wrn.MIT." localSheetId="22" hidden="1">{#N/A,#N/A,FALSE,"CB";#N/A,#N/A,FALSE,"CMB";#N/A,#N/A,FALSE,"NBFI"}</definedName>
    <definedName name="wrn.MIT." localSheetId="23" hidden="1">{#N/A,#N/A,FALSE,"CB";#N/A,#N/A,FALSE,"CMB";#N/A,#N/A,FALSE,"NBFI"}</definedName>
    <definedName name="wrn.MIT." localSheetId="24" hidden="1">{#N/A,#N/A,FALSE,"CB";#N/A,#N/A,FALSE,"CMB";#N/A,#N/A,FALSE,"NBFI"}</definedName>
    <definedName name="wrn.MIT." hidden="1">{#N/A,#N/A,FALSE,"CB";#N/A,#N/A,FALSE,"CMB";#N/A,#N/A,FALSE,"NBFI"}</definedName>
    <definedName name="wrn.MONA." localSheetId="21" hidden="1">{"MONA",#N/A,FALSE,"S"}</definedName>
    <definedName name="wrn.MONA." localSheetId="22" hidden="1">{"MONA",#N/A,FALSE,"S"}</definedName>
    <definedName name="wrn.MONA." localSheetId="23" hidden="1">{"MONA",#N/A,FALSE,"S"}</definedName>
    <definedName name="wrn.MONA." localSheetId="24" hidden="1">{"MONA",#N/A,FALSE,"S"}</definedName>
    <definedName name="wrn.MONA." hidden="1">{"MONA",#N/A,FALSE,"S"}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localSheetId="23" hidden="1">{#N/A,#N/A,FALSE,"I";#N/A,#N/A,FALSE,"J";#N/A,#N/A,FALSE,"K";#N/A,#N/A,FALSE,"L";#N/A,#N/A,FALSE,"M";#N/A,#N/A,FALSE,"N";#N/A,#N/A,FALSE,"O"}</definedName>
    <definedName name="wrn.Output._.tables." localSheetId="2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9" hidden="1">{"Tab1",#N/A,FALSE,"P";"Tab2",#N/A,FALSE,"P"}</definedName>
    <definedName name="wrn.Program." localSheetId="13" hidden="1">{"Tab1",#N/A,FALSE,"P";"Tab2",#N/A,FALSE,"P"}</definedName>
    <definedName name="wrn.Program." localSheetId="21" hidden="1">{"Tab1",#N/A,FALSE,"P";"Tab2",#N/A,FALSE,"P"}</definedName>
    <definedName name="wrn.Program." localSheetId="22" hidden="1">{"Tab1",#N/A,FALSE,"P";"Tab2",#N/A,FALSE,"P"}</definedName>
    <definedName name="wrn.Program." localSheetId="23" hidden="1">{"Tab1",#N/A,FALSE,"P";"Tab2",#N/A,FALSE,"P"}</definedName>
    <definedName name="wrn.Program." localSheetId="24" hidden="1">{"Tab1",#N/A,FALSE,"P";"Tab2",#N/A,FALSE,"P"}</definedName>
    <definedName name="wrn.Program." localSheetId="48" hidden="1">{"Tab1",#N/A,FALSE,"P";"Tab2",#N/A,FALSE,"P"}</definedName>
    <definedName name="wrn.Program." localSheetId="1" hidden="1">{"Tab1",#N/A,FALSE,"P";"Tab2",#N/A,FALSE,"P"}</definedName>
    <definedName name="wrn.Program." localSheetId="11" hidden="1">{"Tab1",#N/A,FALSE,"P";"Tab2",#N/A,FALSE,"P"}</definedName>
    <definedName name="wrn.Program." hidden="1">{"Tab1",#N/A,FALSE,"P";"Tab2",#N/A,FALSE,"P"}</definedName>
    <definedName name="wrn.Ques._.1." localSheetId="21" hidden="1">{"Ques 1",#N/A,FALSE,"NWEO138"}</definedName>
    <definedName name="wrn.Ques._.1." localSheetId="22" hidden="1">{"Ques 1",#N/A,FALSE,"NWEO138"}</definedName>
    <definedName name="wrn.Ques._.1." localSheetId="23" hidden="1">{"Ques 1",#N/A,FALSE,"NWEO138"}</definedName>
    <definedName name="wrn.Ques._.1." localSheetId="24" hidden="1">{"Ques 1",#N/A,FALSE,"NWEO138"}</definedName>
    <definedName name="wrn.Ques._.1." hidden="1">{"Ques 1",#N/A,FALSE,"NWEO138"}</definedName>
    <definedName name="wrn.Riqfin." localSheetId="9" hidden="1">{"Riqfin97",#N/A,FALSE,"Tran";"Riqfinpro",#N/A,FALSE,"Tran"}</definedName>
    <definedName name="wrn.Riqfin." localSheetId="13" hidden="1">{"Riqfin97",#N/A,FALSE,"Tran";"Riqfinpro",#N/A,FALSE,"Tran"}</definedName>
    <definedName name="wrn.Riqfin." localSheetId="21" hidden="1">{"Riqfin97",#N/A,FALSE,"Tran";"Riqfinpro",#N/A,FALSE,"Tran"}</definedName>
    <definedName name="wrn.Riqfin." localSheetId="22" hidden="1">{"Riqfin97",#N/A,FALSE,"Tran";"Riqfinpro",#N/A,FALSE,"Tran"}</definedName>
    <definedName name="wrn.Riqfin." localSheetId="23" hidden="1">{"Riqfin97",#N/A,FALSE,"Tran";"Riqfinpro",#N/A,FALSE,"Tran"}</definedName>
    <definedName name="wrn.Riqfin." localSheetId="24" hidden="1">{"Riqfin97",#N/A,FALSE,"Tran";"Riqfinpro",#N/A,FALSE,"Tran"}</definedName>
    <definedName name="wrn.Riqfin." localSheetId="48" hidden="1">{"Riqfin97",#N/A,FALSE,"Tran";"Riqfinpro",#N/A,FALSE,"Tran"}</definedName>
    <definedName name="wrn.Riqfin." localSheetId="1" hidden="1">{"Riqfin97",#N/A,FALSE,"Tran";"Riqfinpro",#N/A,FALSE,"Tran"}</definedName>
    <definedName name="wrn.Riqfin." localSheetId="11" hidden="1">{"Riqfin97",#N/A,FALSE,"Tran";"Riqfinpro",#N/A,FALSE,"Tran"}</definedName>
    <definedName name="wrn.Riqfin." hidden="1">{"Riqfin97",#N/A,FALSE,"Tran";"Riqfinpro",#N/A,FALSE,"Tran"}</definedName>
    <definedName name="wrn.Staff._.Report._.Tables." localSheetId="21" hidden="1">{#N/A,#N/A,FALSE,"SRFSYS";#N/A,#N/A,FALSE,"SRBSYS"}</definedName>
    <definedName name="wrn.Staff._.Report._.Tables." localSheetId="22" hidden="1">{#N/A,#N/A,FALSE,"SRFSYS";#N/A,#N/A,FALSE,"SRBSYS"}</definedName>
    <definedName name="wrn.Staff._.Report._.Tables." localSheetId="23" hidden="1">{#N/A,#N/A,FALSE,"SRFSYS";#N/A,#N/A,FALSE,"SRBSYS"}</definedName>
    <definedName name="wrn.Staff._.Report._.Tables." localSheetId="24" hidden="1">{#N/A,#N/A,FALSE,"SRFSYS";#N/A,#N/A,FALSE,"SRBSYS"}</definedName>
    <definedName name="wrn.Staff._.Report._.Tables." hidden="1">{#N/A,#N/A,FALSE,"SRFSYS";#N/A,#N/A,FALSE,"SRBSYS"}</definedName>
    <definedName name="wrn.WEO." localSheetId="21" hidden="1">{"WEO",#N/A,FALSE,"T"}</definedName>
    <definedName name="wrn.WEO." localSheetId="22" hidden="1">{"WEO",#N/A,FALSE,"T"}</definedName>
    <definedName name="wrn.WEO." localSheetId="23" hidden="1">{"WEO",#N/A,FALSE,"T"}</definedName>
    <definedName name="wrn.WEO." localSheetId="24" hidden="1">{"WEO",#N/A,FALSE,"T"}</definedName>
    <definedName name="wrn.WEO." hidden="1">{"WEO",#N/A,FALSE,"T"}</definedName>
    <definedName name="ww" localSheetId="21" hidden="1">[58]M!#REF!</definedName>
    <definedName name="ww" localSheetId="48" hidden="1">[58]M!#REF!</definedName>
    <definedName name="ww" hidden="1">[58]M!#REF!</definedName>
    <definedName name="www" localSheetId="9" hidden="1">{"Riqfin97",#N/A,FALSE,"Tran";"Riqfinpro",#N/A,FALSE,"Tran"}</definedName>
    <definedName name="www" localSheetId="13" hidden="1">{"Riqfin97",#N/A,FALSE,"Tran";"Riqfinpro",#N/A,FALSE,"Tran"}</definedName>
    <definedName name="www" localSheetId="21" hidden="1">{"Riqfin97",#N/A,FALSE,"Tran";"Riqfinpro",#N/A,FALSE,"Tran"}</definedName>
    <definedName name="www" localSheetId="22" hidden="1">{"Riqfin97",#N/A,FALSE,"Tran";"Riqfinpro",#N/A,FALSE,"Tran"}</definedName>
    <definedName name="www" localSheetId="23" hidden="1">{"Riqfin97",#N/A,FALSE,"Tran";"Riqfinpro",#N/A,FALSE,"Tran"}</definedName>
    <definedName name="www" localSheetId="24" hidden="1">{"Riqfin97",#N/A,FALSE,"Tran";"Riqfinpro",#N/A,FALSE,"Tran"}</definedName>
    <definedName name="www" localSheetId="48" hidden="1">{"Riqfin97",#N/A,FALSE,"Tran";"Riqfinpro",#N/A,FALSE,"Tran"}</definedName>
    <definedName name="www" localSheetId="1" hidden="1">{"Riqfin97",#N/A,FALSE,"Tran";"Riqfinpro",#N/A,FALSE,"Tran"}</definedName>
    <definedName name="www" localSheetId="11" hidden="1">{"Riqfin97",#N/A,FALSE,"Tran";"Riqfinpro",#N/A,FALSE,"Tran"}</definedName>
    <definedName name="www" hidden="1">{"Riqfin97",#N/A,FALSE,"Tran";"Riqfinpro",#N/A,FALSE,"Tran"}</definedName>
    <definedName name="XR" localSheetId="21">[6]REER!$AT$140:$BA$199</definedName>
    <definedName name="XR">[21]REER!$AT$140:$BA$199</definedName>
    <definedName name="xx" localSheetId="9" hidden="1">{"Riqfin97",#N/A,FALSE,"Tran";"Riqfinpro",#N/A,FALSE,"Tran"}</definedName>
    <definedName name="xx" localSheetId="13" hidden="1">{"Riqfin97",#N/A,FALSE,"Tran";"Riqfinpro",#N/A,FALSE,"Tran"}</definedName>
    <definedName name="xx" localSheetId="21" hidden="1">{"Riqfin97",#N/A,FALSE,"Tran";"Riqfinpro",#N/A,FALSE,"Tran"}</definedName>
    <definedName name="xx" localSheetId="22" hidden="1">{"Riqfin97",#N/A,FALSE,"Tran";"Riqfinpro",#N/A,FALSE,"Tran"}</definedName>
    <definedName name="xx" localSheetId="23" hidden="1">{"Riqfin97",#N/A,FALSE,"Tran";"Riqfinpro",#N/A,FALSE,"Tran"}</definedName>
    <definedName name="xx" localSheetId="24" hidden="1">{"Riqfin97",#N/A,FALSE,"Tran";"Riqfinpro",#N/A,FALSE,"Tran"}</definedName>
    <definedName name="xx" localSheetId="48" hidden="1">{"Riqfin97",#N/A,FALSE,"Tran";"Riqfinpro",#N/A,FALSE,"Tran"}</definedName>
    <definedName name="xx" localSheetId="1" hidden="1">{"Riqfin97",#N/A,FALSE,"Tran";"Riqfinpro",#N/A,FALSE,"Tran"}</definedName>
    <definedName name="xx" localSheetId="11" hidden="1">{"Riqfin97",#N/A,FALSE,"Tran";"Riqfinpro",#N/A,FALSE,"Tran"}</definedName>
    <definedName name="xx" hidden="1">{"Riqfin97",#N/A,FALSE,"Tran";"Riqfinpro",#N/A,FALSE,"Tran"}</definedName>
    <definedName name="xxWRS_1" localSheetId="21">#REF!</definedName>
    <definedName name="xxWRS_1" localSheetId="22">#REF!</definedName>
    <definedName name="xxWRS_1" localSheetId="23">#REF!</definedName>
    <definedName name="xxWRS_1" localSheetId="24">#REF!</definedName>
    <definedName name="xxWRS_1">#REF!</definedName>
    <definedName name="xxWRS_10" localSheetId="21">#REF!</definedName>
    <definedName name="xxWRS_10" localSheetId="22">#REF!</definedName>
    <definedName name="xxWRS_10" localSheetId="23">#REF!</definedName>
    <definedName name="xxWRS_10" localSheetId="24">#REF!</definedName>
    <definedName name="xxWRS_10">#REF!</definedName>
    <definedName name="xxWRS_11" localSheetId="21">#REF!</definedName>
    <definedName name="xxWRS_11" localSheetId="22">#REF!</definedName>
    <definedName name="xxWRS_11" localSheetId="23">#REF!</definedName>
    <definedName name="xxWRS_11" localSheetId="24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x" localSheetId="9" hidden="1">{"Riqfin97",#N/A,FALSE,"Tran";"Riqfinpro",#N/A,FALSE,"Tran"}</definedName>
    <definedName name="xxxx" localSheetId="13" hidden="1">{"Riqfin97",#N/A,FALSE,"Tran";"Riqfinpro",#N/A,FALSE,"Tran"}</definedName>
    <definedName name="xxxx" localSheetId="21" hidden="1">{"Riqfin97",#N/A,FALSE,"Tran";"Riqfinpro",#N/A,FALSE,"Tran"}</definedName>
    <definedName name="xxxx" localSheetId="22" hidden="1">{"Riqfin97",#N/A,FALSE,"Tran";"Riqfinpro",#N/A,FALSE,"Tran"}</definedName>
    <definedName name="xxxx" localSheetId="23" hidden="1">{"Riqfin97",#N/A,FALSE,"Tran";"Riqfinpro",#N/A,FALSE,"Tran"}</definedName>
    <definedName name="xxxx" localSheetId="24" hidden="1">{"Riqfin97",#N/A,FALSE,"Tran";"Riqfinpro",#N/A,FALSE,"Tran"}</definedName>
    <definedName name="xxxx" localSheetId="48" hidden="1">{"Riqfin97",#N/A,FALSE,"Tran";"Riqfinpro",#N/A,FALSE,"Tran"}</definedName>
    <definedName name="xxxx" localSheetId="1" hidden="1">{"Riqfin97",#N/A,FALSE,"Tran";"Riqfinpro",#N/A,FALSE,"Tran"}</definedName>
    <definedName name="xxxx" localSheetId="11" hidden="1">{"Riqfin97",#N/A,FALSE,"Tran";"Riqfinpro",#N/A,FALSE,"Tran"}</definedName>
    <definedName name="xxxx" hidden="1">{"Riqfin97",#N/A,FALSE,"Tran";"Riqfinpro",#N/A,FALSE,"Tran"}</definedName>
    <definedName name="year">[28]Graf14_Graf15!#REF!</definedName>
    <definedName name="yy" localSheetId="9" hidden="1">{"Tab1",#N/A,FALSE,"P";"Tab2",#N/A,FALSE,"P"}</definedName>
    <definedName name="yy" localSheetId="13" hidden="1">{"Tab1",#N/A,FALSE,"P";"Tab2",#N/A,FALSE,"P"}</definedName>
    <definedName name="yy" localSheetId="21" hidden="1">{"Tab1",#N/A,FALSE,"P";"Tab2",#N/A,FALSE,"P"}</definedName>
    <definedName name="yy" localSheetId="22" hidden="1">{"Tab1",#N/A,FALSE,"P";"Tab2",#N/A,FALSE,"P"}</definedName>
    <definedName name="yy" localSheetId="23" hidden="1">{"Tab1",#N/A,FALSE,"P";"Tab2",#N/A,FALSE,"P"}</definedName>
    <definedName name="yy" localSheetId="24" hidden="1">{"Tab1",#N/A,FALSE,"P";"Tab2",#N/A,FALSE,"P"}</definedName>
    <definedName name="yy" localSheetId="48" hidden="1">{"Tab1",#N/A,FALSE,"P";"Tab2",#N/A,FALSE,"P"}</definedName>
    <definedName name="yy" localSheetId="1" hidden="1">{"Tab1",#N/A,FALSE,"P";"Tab2",#N/A,FALSE,"P"}</definedName>
    <definedName name="yy" localSheetId="11" hidden="1">{"Tab1",#N/A,FALSE,"P";"Tab2",#N/A,FALSE,"P"}</definedName>
    <definedName name="yy" hidden="1">{"Tab1",#N/A,FALSE,"P";"Tab2",#N/A,FALSE,"P"}</definedName>
    <definedName name="yyy" localSheetId="9" hidden="1">{"Tab1",#N/A,FALSE,"P";"Tab2",#N/A,FALSE,"P"}</definedName>
    <definedName name="yyy" localSheetId="13" hidden="1">{"Tab1",#N/A,FALSE,"P";"Tab2",#N/A,FALSE,"P"}</definedName>
    <definedName name="yyy" localSheetId="21" hidden="1">{"Tab1",#N/A,FALSE,"P";"Tab2",#N/A,FALSE,"P"}</definedName>
    <definedName name="yyy" localSheetId="22" hidden="1">{"Tab1",#N/A,FALSE,"P";"Tab2",#N/A,FALSE,"P"}</definedName>
    <definedName name="yyy" localSheetId="23" hidden="1">{"Tab1",#N/A,FALSE,"P";"Tab2",#N/A,FALSE,"P"}</definedName>
    <definedName name="yyy" localSheetId="24" hidden="1">{"Tab1",#N/A,FALSE,"P";"Tab2",#N/A,FALSE,"P"}</definedName>
    <definedName name="yyy" localSheetId="48" hidden="1">{"Tab1",#N/A,FALSE,"P";"Tab2",#N/A,FALSE,"P"}</definedName>
    <definedName name="yyy" localSheetId="1" hidden="1">{"Tab1",#N/A,FALSE,"P";"Tab2",#N/A,FALSE,"P"}</definedName>
    <definedName name="yyy" localSheetId="11" hidden="1">{"Tab1",#N/A,FALSE,"P";"Tab2",#N/A,FALSE,"P"}</definedName>
    <definedName name="yyy" hidden="1">{"Tab1",#N/A,FALSE,"P";"Tab2",#N/A,FALSE,"P"}</definedName>
    <definedName name="yyyy" localSheetId="9" hidden="1">{"Riqfin97",#N/A,FALSE,"Tran";"Riqfinpro",#N/A,FALSE,"Tran"}</definedName>
    <definedName name="yyyy" localSheetId="13" hidden="1">{"Riqfin97",#N/A,FALSE,"Tran";"Riqfinpro",#N/A,FALSE,"Tran"}</definedName>
    <definedName name="yyyy" localSheetId="21" hidden="1">{"Riqfin97",#N/A,FALSE,"Tran";"Riqfinpro",#N/A,FALSE,"Tran"}</definedName>
    <definedName name="yyyy" localSheetId="22" hidden="1">{"Riqfin97",#N/A,FALSE,"Tran";"Riqfinpro",#N/A,FALSE,"Tran"}</definedName>
    <definedName name="yyyy" localSheetId="23" hidden="1">{"Riqfin97",#N/A,FALSE,"Tran";"Riqfinpro",#N/A,FALSE,"Tran"}</definedName>
    <definedName name="yyyy" localSheetId="24" hidden="1">{"Riqfin97",#N/A,FALSE,"Tran";"Riqfinpro",#N/A,FALSE,"Tran"}</definedName>
    <definedName name="yyyy" localSheetId="48" hidden="1">{"Riqfin97",#N/A,FALSE,"Tran";"Riqfinpro",#N/A,FALSE,"Tran"}</definedName>
    <definedName name="yyyy" localSheetId="1" hidden="1">{"Riqfin97",#N/A,FALSE,"Tran";"Riqfinpro",#N/A,FALSE,"Tran"}</definedName>
    <definedName name="yyyy" localSheetId="11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" hidden="1">MMF_TABULKA!$B:$C</definedName>
    <definedName name="Z_95224721_0485_11D4_BFD1_00508B5F4DA4_.wvu.Cols" localSheetId="9" hidden="1">#REF!</definedName>
    <definedName name="Z_95224721_0485_11D4_BFD1_00508B5F4DA4_.wvu.Cols" localSheetId="21" hidden="1">#REF!</definedName>
    <definedName name="Z_95224721_0485_11D4_BFD1_00508B5F4DA4_.wvu.Cols" localSheetId="48" hidden="1">#REF!</definedName>
    <definedName name="Z_95224721_0485_11D4_BFD1_00508B5F4DA4_.wvu.Cols" hidden="1">#REF!</definedName>
    <definedName name="zac_kles">[28]Graf14_Graf15!#REF!</definedName>
    <definedName name="zac_kles_2">[28]Graf14_Graf15!#REF!</definedName>
    <definedName name="ZPee_2">[28]Graf14_Graf15!#REF!</definedName>
    <definedName name="ZPer_2">[28]Graf14_Graf15!#REF!</definedName>
    <definedName name="zpiz">[45]ZPIZ!$A$1:$F$65536</definedName>
    <definedName name="zz" localSheetId="9" hidden="1">{"Tab1",#N/A,FALSE,"P";"Tab2",#N/A,FALSE,"P"}</definedName>
    <definedName name="zz" localSheetId="13" hidden="1">{"Tab1",#N/A,FALSE,"P";"Tab2",#N/A,FALSE,"P"}</definedName>
    <definedName name="zz" localSheetId="21" hidden="1">{"Tab1",#N/A,FALSE,"P";"Tab2",#N/A,FALSE,"P"}</definedName>
    <definedName name="zz" localSheetId="22" hidden="1">{"Tab1",#N/A,FALSE,"P";"Tab2",#N/A,FALSE,"P"}</definedName>
    <definedName name="zz" localSheetId="23" hidden="1">{"Tab1",#N/A,FALSE,"P";"Tab2",#N/A,FALSE,"P"}</definedName>
    <definedName name="zz" localSheetId="24" hidden="1">{"Tab1",#N/A,FALSE,"P";"Tab2",#N/A,FALSE,"P"}</definedName>
    <definedName name="zz" localSheetId="48" hidden="1">{"Tab1",#N/A,FALSE,"P";"Tab2",#N/A,FALSE,"P"}</definedName>
    <definedName name="zz" localSheetId="1" hidden="1">{"Tab1",#N/A,FALSE,"P";"Tab2",#N/A,FALSE,"P"}</definedName>
    <definedName name="zz" localSheetId="11" hidden="1">{"Tab1",#N/A,FALSE,"P";"Tab2",#N/A,FALSE,"P"}</definedName>
    <definedName name="zz" hidden="1">{"Tab1",#N/A,FALSE,"P";"Tab2",#N/A,FALSE,"P"}</definedName>
    <definedName name="zzzs">[45]ZZZS!$A$1:$E$65536</definedName>
  </definedNames>
  <calcPr calcId="152511" calcOnSave="0"/>
</workbook>
</file>

<file path=xl/calcChain.xml><?xml version="1.0" encoding="utf-8"?>
<calcChain xmlns="http://schemas.openxmlformats.org/spreadsheetml/2006/main">
  <c r="S6" i="158" l="1"/>
  <c r="J7" i="122"/>
  <c r="J27" i="122" s="1"/>
  <c r="E33" i="154"/>
  <c r="D33" i="154"/>
  <c r="M28" i="30"/>
  <c r="M27" i="30"/>
  <c r="M26" i="30"/>
  <c r="M25" i="30"/>
  <c r="M24" i="30"/>
  <c r="M23" i="30"/>
  <c r="O25" i="165"/>
  <c r="N25" i="165"/>
  <c r="L5" i="165"/>
  <c r="H7" i="102"/>
  <c r="G7" i="102"/>
  <c r="F7" i="102"/>
  <c r="E7" i="102"/>
  <c r="D7" i="102"/>
  <c r="D55" i="181"/>
  <c r="E55" i="181"/>
  <c r="F55" i="181"/>
  <c r="C55" i="181"/>
  <c r="E51" i="181"/>
  <c r="F51" i="181"/>
  <c r="D51" i="181"/>
  <c r="C51" i="181"/>
  <c r="L7" i="139"/>
  <c r="L9" i="31" l="1"/>
  <c r="M9" i="31"/>
  <c r="N9" i="31"/>
  <c r="O9" i="31"/>
  <c r="P9" i="31"/>
  <c r="K9" i="31"/>
  <c r="K10" i="31"/>
  <c r="N10" i="31"/>
  <c r="O10" i="31"/>
  <c r="P10" i="31"/>
  <c r="M10" i="31"/>
  <c r="L10" i="31"/>
  <c r="L21" i="139" l="1"/>
  <c r="D6" i="106" l="1"/>
  <c r="E6" i="106"/>
  <c r="F6" i="106"/>
  <c r="G6" i="106"/>
  <c r="H6" i="106"/>
  <c r="C6" i="106"/>
  <c r="E21" i="107"/>
  <c r="F21" i="107"/>
  <c r="G21" i="107"/>
  <c r="H21" i="107"/>
  <c r="D21" i="107"/>
  <c r="F20" i="107"/>
  <c r="O15" i="142" s="1"/>
  <c r="G20" i="107"/>
  <c r="H20" i="107"/>
  <c r="E20" i="107"/>
  <c r="N15" i="142" s="1"/>
  <c r="D20" i="107"/>
  <c r="C20" i="107"/>
  <c r="L15" i="142"/>
  <c r="E6" i="107"/>
  <c r="E19" i="107" s="1"/>
  <c r="D6" i="107"/>
  <c r="D19" i="107"/>
  <c r="C19" i="107"/>
  <c r="D7" i="107"/>
  <c r="E7" i="107"/>
  <c r="F7" i="107"/>
  <c r="G7" i="107"/>
  <c r="H7" i="107"/>
  <c r="C7" i="107"/>
  <c r="K23" i="142"/>
  <c r="L23" i="142"/>
  <c r="M23" i="142"/>
  <c r="N23" i="142"/>
  <c r="O23" i="142"/>
  <c r="P23" i="142"/>
  <c r="J23" i="142"/>
  <c r="M15" i="142"/>
  <c r="P15" i="142"/>
  <c r="Q15" i="142"/>
  <c r="M9" i="142"/>
  <c r="N9" i="142"/>
  <c r="O9" i="142"/>
  <c r="P9" i="142"/>
  <c r="Q9" i="142"/>
  <c r="L9" i="142"/>
  <c r="O8" i="142"/>
  <c r="P8" i="142"/>
  <c r="Q8" i="142"/>
  <c r="N8" i="142"/>
  <c r="L8" i="142"/>
  <c r="M8" i="142"/>
  <c r="K8" i="142"/>
  <c r="F31" i="166"/>
  <c r="G31" i="166"/>
  <c r="H31" i="166"/>
  <c r="E31" i="166"/>
  <c r="D31" i="166"/>
  <c r="C31" i="166"/>
  <c r="D29" i="166"/>
  <c r="E29" i="166"/>
  <c r="F29" i="166"/>
  <c r="G29" i="166"/>
  <c r="H29" i="166"/>
  <c r="C29" i="166"/>
  <c r="D30" i="166"/>
  <c r="E30" i="166"/>
  <c r="F30" i="166"/>
  <c r="G30" i="166"/>
  <c r="H30" i="166"/>
  <c r="C30" i="166"/>
  <c r="D7" i="127"/>
  <c r="E7" i="127"/>
  <c r="C7" i="127"/>
  <c r="I5" i="170"/>
  <c r="I6" i="170" s="1"/>
  <c r="J5" i="170"/>
  <c r="J6" i="170" s="1"/>
  <c r="H5" i="170"/>
  <c r="H6" i="170" s="1"/>
  <c r="F6" i="107" l="1"/>
  <c r="F19" i="107" s="1"/>
  <c r="E7" i="122"/>
  <c r="F7" i="122"/>
  <c r="G7" i="122"/>
  <c r="H7" i="122"/>
  <c r="H27" i="122" s="1"/>
  <c r="I7" i="122"/>
  <c r="K7" i="122"/>
  <c r="K27" i="122" s="1"/>
  <c r="L7" i="122"/>
  <c r="L27" i="122" s="1"/>
  <c r="E27" i="122"/>
  <c r="F27" i="122"/>
  <c r="G27" i="122"/>
  <c r="I27" i="122"/>
  <c r="E16" i="122"/>
  <c r="F16" i="122"/>
  <c r="G16" i="122"/>
  <c r="H16" i="122"/>
  <c r="I16" i="122"/>
  <c r="J16" i="122"/>
  <c r="K16" i="122"/>
  <c r="L16" i="122"/>
  <c r="D16" i="122"/>
  <c r="G6" i="107" l="1"/>
  <c r="G19" i="107" s="1"/>
  <c r="P6" i="158"/>
  <c r="Q6" i="158"/>
  <c r="R6" i="158"/>
  <c r="T6" i="158"/>
  <c r="O6" i="158"/>
  <c r="M13" i="165"/>
  <c r="N13" i="165"/>
  <c r="O13" i="165"/>
  <c r="P13" i="165"/>
  <c r="Q13" i="165"/>
  <c r="N12" i="165"/>
  <c r="O12" i="165"/>
  <c r="P12" i="165"/>
  <c r="Q12" i="165"/>
  <c r="M12" i="165"/>
  <c r="H6" i="107" l="1"/>
  <c r="H19" i="107" s="1"/>
  <c r="D30" i="171"/>
  <c r="E30" i="171"/>
  <c r="F30" i="171"/>
  <c r="G30" i="171"/>
  <c r="H30" i="171"/>
  <c r="D31" i="171"/>
  <c r="E31" i="171"/>
  <c r="F31" i="171"/>
  <c r="G31" i="171"/>
  <c r="H31" i="171"/>
  <c r="C31" i="171"/>
  <c r="C30" i="171"/>
  <c r="H29" i="171" l="1"/>
  <c r="G29" i="171"/>
  <c r="F29" i="171"/>
  <c r="E29" i="171"/>
  <c r="D29" i="171"/>
  <c r="C29" i="171"/>
  <c r="G28" i="171"/>
  <c r="F28" i="171"/>
  <c r="E28" i="171"/>
  <c r="D28" i="171"/>
  <c r="C28" i="171"/>
  <c r="F23" i="171"/>
  <c r="E18" i="171"/>
  <c r="H17" i="171"/>
  <c r="G17" i="171"/>
  <c r="F17" i="171"/>
  <c r="E17" i="171"/>
  <c r="D17" i="171"/>
  <c r="C17" i="171"/>
  <c r="H8" i="171"/>
  <c r="H18" i="171" s="1"/>
  <c r="F18" i="171" l="1"/>
  <c r="G20" i="171"/>
  <c r="C18" i="171"/>
  <c r="G18" i="171"/>
  <c r="G23" i="171"/>
  <c r="H28" i="171"/>
  <c r="H19" i="171" s="1"/>
  <c r="D18" i="171"/>
  <c r="E11" i="106"/>
  <c r="F11" i="106"/>
  <c r="G11" i="106"/>
  <c r="H11" i="106"/>
  <c r="D11" i="106"/>
  <c r="F13" i="164"/>
  <c r="I12" i="164"/>
  <c r="H12" i="164"/>
  <c r="I13" i="164" s="1"/>
  <c r="G12" i="164"/>
  <c r="H13" i="164" s="1"/>
  <c r="F12" i="164"/>
  <c r="E12" i="164"/>
  <c r="D12" i="164"/>
  <c r="E13" i="164" s="1"/>
  <c r="I9" i="164"/>
  <c r="I10" i="164" s="1"/>
  <c r="H9" i="164"/>
  <c r="G9" i="164"/>
  <c r="H10" i="164" s="1"/>
  <c r="F9" i="164"/>
  <c r="S7" i="155" s="1"/>
  <c r="S9" i="155" s="1"/>
  <c r="E9" i="164"/>
  <c r="E10" i="164" s="1"/>
  <c r="D9" i="164"/>
  <c r="C9" i="164"/>
  <c r="D10" i="164" s="1"/>
  <c r="L9" i="165"/>
  <c r="M9" i="165"/>
  <c r="N9" i="165"/>
  <c r="O9" i="165"/>
  <c r="P9" i="165"/>
  <c r="Q9" i="165"/>
  <c r="L10" i="165"/>
  <c r="M10" i="165"/>
  <c r="N10" i="165"/>
  <c r="O10" i="165"/>
  <c r="P10" i="165"/>
  <c r="Q10" i="165"/>
  <c r="L11" i="165"/>
  <c r="M11" i="165"/>
  <c r="N11" i="165"/>
  <c r="O11" i="165"/>
  <c r="P11" i="165"/>
  <c r="Q11" i="165"/>
  <c r="M8" i="165"/>
  <c r="N8" i="165"/>
  <c r="O8" i="165"/>
  <c r="P8" i="165"/>
  <c r="Q8" i="165"/>
  <c r="L8" i="165"/>
  <c r="M7" i="165"/>
  <c r="N7" i="165"/>
  <c r="O7" i="165"/>
  <c r="P7" i="165"/>
  <c r="Q7" i="165"/>
  <c r="L7" i="165"/>
  <c r="M6" i="165"/>
  <c r="N6" i="165"/>
  <c r="O6" i="165"/>
  <c r="P6" i="165"/>
  <c r="Q6" i="165"/>
  <c r="L6" i="165"/>
  <c r="M5" i="165"/>
  <c r="N5" i="165"/>
  <c r="O5" i="165"/>
  <c r="P5" i="165"/>
  <c r="Q5" i="165"/>
  <c r="O40" i="165"/>
  <c r="P40" i="165"/>
  <c r="Q40" i="165"/>
  <c r="N40" i="165"/>
  <c r="M40" i="165"/>
  <c r="L40" i="165"/>
  <c r="Q26" i="165"/>
  <c r="P26" i="165"/>
  <c r="O26" i="165"/>
  <c r="N26" i="165"/>
  <c r="M26" i="165"/>
  <c r="O35" i="165"/>
  <c r="Q34" i="165"/>
  <c r="P34" i="165"/>
  <c r="O34" i="165"/>
  <c r="N34" i="165"/>
  <c r="N35" i="165" s="1"/>
  <c r="O36" i="165" s="1"/>
  <c r="M34" i="165"/>
  <c r="M35" i="165" s="1"/>
  <c r="Q25" i="165"/>
  <c r="P25" i="165"/>
  <c r="M25" i="165"/>
  <c r="L25" i="165"/>
  <c r="O18" i="165"/>
  <c r="P18" i="165"/>
  <c r="Q18" i="165"/>
  <c r="N18" i="165"/>
  <c r="M18" i="165"/>
  <c r="L18" i="165"/>
  <c r="O17" i="165"/>
  <c r="P17" i="165"/>
  <c r="Q17" i="165"/>
  <c r="N17" i="165"/>
  <c r="M17" i="165"/>
  <c r="L17" i="165"/>
  <c r="U15" i="155"/>
  <c r="V15" i="155"/>
  <c r="W15" i="155"/>
  <c r="T15" i="155"/>
  <c r="M15" i="155"/>
  <c r="N15" i="155"/>
  <c r="O15" i="155"/>
  <c r="P15" i="155"/>
  <c r="Q15" i="155"/>
  <c r="R15" i="155"/>
  <c r="S15" i="155"/>
  <c r="L15" i="155"/>
  <c r="M9" i="155"/>
  <c r="N9" i="155"/>
  <c r="O9" i="155"/>
  <c r="L9" i="155"/>
  <c r="U8" i="155"/>
  <c r="V8" i="155"/>
  <c r="W8" i="155"/>
  <c r="T8" i="155"/>
  <c r="M8" i="155"/>
  <c r="N8" i="155"/>
  <c r="O8" i="155"/>
  <c r="P8" i="155"/>
  <c r="Q8" i="155"/>
  <c r="R8" i="155"/>
  <c r="S8" i="155"/>
  <c r="L8" i="155"/>
  <c r="Q7" i="155"/>
  <c r="Q9" i="155" s="1"/>
  <c r="T7" i="155"/>
  <c r="T9" i="155" s="1"/>
  <c r="U7" i="155"/>
  <c r="U9" i="155" s="1"/>
  <c r="P7" i="155"/>
  <c r="P9" i="155" s="1"/>
  <c r="D19" i="171" l="1"/>
  <c r="G19" i="171"/>
  <c r="G21" i="171"/>
  <c r="H20" i="171"/>
  <c r="H21" i="171" s="1"/>
  <c r="H23" i="171"/>
  <c r="G25" i="171" s="1"/>
  <c r="C25" i="171"/>
  <c r="D25" i="171"/>
  <c r="F25" i="171"/>
  <c r="G13" i="164"/>
  <c r="F10" i="164"/>
  <c r="G10" i="164"/>
  <c r="V7" i="155"/>
  <c r="V9" i="155" s="1"/>
  <c r="R7" i="155"/>
  <c r="R9" i="155" s="1"/>
  <c r="Q35" i="165"/>
  <c r="P35" i="165"/>
  <c r="Q36" i="165" s="1"/>
  <c r="M36" i="165"/>
  <c r="N36" i="165"/>
  <c r="F19" i="171" l="1"/>
  <c r="F20" i="171"/>
  <c r="D20" i="171"/>
  <c r="D21" i="171" s="1"/>
  <c r="E19" i="171"/>
  <c r="E20" i="171"/>
  <c r="C19" i="171"/>
  <c r="C20" i="171"/>
  <c r="H25" i="171"/>
  <c r="E25" i="171"/>
  <c r="P36" i="165"/>
  <c r="F21" i="171" l="1"/>
  <c r="E21" i="171"/>
  <c r="H6" i="164"/>
  <c r="G6" i="164"/>
  <c r="D6" i="164"/>
  <c r="E6" i="164"/>
  <c r="F6" i="164"/>
  <c r="C6" i="164"/>
  <c r="H10" i="102" l="1"/>
  <c r="H9" i="102"/>
  <c r="F8" i="102"/>
  <c r="D13" i="102" l="1"/>
  <c r="D11" i="102"/>
  <c r="D10" i="102"/>
  <c r="G10" i="102" s="1"/>
  <c r="D9" i="102"/>
  <c r="G9" i="102" s="1"/>
  <c r="N7" i="193"/>
  <c r="N43" i="193"/>
  <c r="N90" i="193"/>
  <c r="N89" i="193"/>
  <c r="N86" i="193"/>
  <c r="N82" i="193"/>
  <c r="N81" i="193"/>
  <c r="N76" i="193"/>
  <c r="N74" i="193"/>
  <c r="N73" i="193"/>
  <c r="N62" i="193"/>
  <c r="N61" i="193"/>
  <c r="N58" i="193"/>
  <c r="N57" i="193"/>
  <c r="N49" i="193"/>
  <c r="N48" i="193"/>
  <c r="N47" i="193"/>
  <c r="N44" i="193"/>
  <c r="N42" i="193"/>
  <c r="N36" i="193"/>
  <c r="N30" i="193"/>
  <c r="N29" i="193"/>
  <c r="N24" i="193"/>
  <c r="N23" i="193"/>
  <c r="N8" i="193"/>
  <c r="N6" i="193"/>
  <c r="D8" i="102" l="1"/>
  <c r="G13" i="102"/>
  <c r="E13" i="102"/>
  <c r="H13" i="102" s="1"/>
  <c r="E8" i="102"/>
  <c r="G11" i="102"/>
  <c r="E11" i="102"/>
  <c r="H11" i="102" s="1"/>
  <c r="G8" i="102"/>
  <c r="R86" i="193"/>
  <c r="Q86" i="193"/>
  <c r="P86" i="193"/>
  <c r="O86" i="193"/>
  <c r="O81" i="193" s="1"/>
  <c r="O42" i="193" s="1"/>
  <c r="O43" i="193" s="1"/>
  <c r="M86" i="193"/>
  <c r="L86" i="193"/>
  <c r="K86" i="193"/>
  <c r="J86" i="193"/>
  <c r="J81" i="193" s="1"/>
  <c r="I86" i="193"/>
  <c r="H86" i="193"/>
  <c r="G86" i="193"/>
  <c r="F86" i="193"/>
  <c r="E86" i="193"/>
  <c r="R82" i="193"/>
  <c r="Q82" i="193"/>
  <c r="P82" i="193"/>
  <c r="O82" i="193"/>
  <c r="H82" i="193"/>
  <c r="G82" i="193"/>
  <c r="F82" i="193"/>
  <c r="F81" i="193" s="1"/>
  <c r="E82" i="193"/>
  <c r="R81" i="193"/>
  <c r="Q81" i="193"/>
  <c r="P81" i="193"/>
  <c r="M81" i="193"/>
  <c r="L81" i="193"/>
  <c r="K81" i="193"/>
  <c r="I81" i="193"/>
  <c r="H81" i="193"/>
  <c r="G81" i="193"/>
  <c r="E81" i="193"/>
  <c r="L80" i="193"/>
  <c r="M79" i="193"/>
  <c r="L79" i="193"/>
  <c r="K79" i="193"/>
  <c r="J79" i="193"/>
  <c r="I79" i="193"/>
  <c r="R78" i="193"/>
  <c r="Q78" i="193"/>
  <c r="P78" i="193"/>
  <c r="K78" i="193"/>
  <c r="O74" i="193"/>
  <c r="L74" i="193"/>
  <c r="J74" i="193"/>
  <c r="I74" i="193"/>
  <c r="H74" i="193"/>
  <c r="G74" i="193"/>
  <c r="F74" i="193"/>
  <c r="E74" i="193"/>
  <c r="R73" i="193"/>
  <c r="Q73" i="193"/>
  <c r="P73" i="193"/>
  <c r="O73" i="193"/>
  <c r="M67" i="193"/>
  <c r="L67" i="193"/>
  <c r="K67" i="193"/>
  <c r="J67" i="193"/>
  <c r="I67" i="193"/>
  <c r="H67" i="193"/>
  <c r="G67" i="193"/>
  <c r="F67" i="193"/>
  <c r="E67" i="193"/>
  <c r="M65" i="193"/>
  <c r="L65" i="193"/>
  <c r="K65" i="193"/>
  <c r="J65" i="193"/>
  <c r="M64" i="193"/>
  <c r="L64" i="193"/>
  <c r="K64" i="193"/>
  <c r="J64" i="193"/>
  <c r="R61" i="193"/>
  <c r="Q61" i="193"/>
  <c r="P61" i="193"/>
  <c r="O61" i="193"/>
  <c r="R58" i="193"/>
  <c r="Q58" i="193"/>
  <c r="P58" i="193"/>
  <c r="O58" i="193"/>
  <c r="R57" i="193"/>
  <c r="Q57" i="193"/>
  <c r="P57" i="193"/>
  <c r="O57" i="193"/>
  <c r="L57" i="193"/>
  <c r="K57" i="193"/>
  <c r="H57" i="193"/>
  <c r="G57" i="193"/>
  <c r="M56" i="193"/>
  <c r="L56" i="193"/>
  <c r="K56" i="193"/>
  <c r="J56" i="193"/>
  <c r="I56" i="193"/>
  <c r="H56" i="193"/>
  <c r="G56" i="193"/>
  <c r="F56" i="193"/>
  <c r="E56" i="193"/>
  <c r="M55" i="193"/>
  <c r="L55" i="193"/>
  <c r="K55" i="193"/>
  <c r="J55" i="193"/>
  <c r="I55" i="193"/>
  <c r="H55" i="193"/>
  <c r="G55" i="193"/>
  <c r="F55" i="193"/>
  <c r="E55" i="193"/>
  <c r="M54" i="193"/>
  <c r="M57" i="193" s="1"/>
  <c r="L54" i="193"/>
  <c r="K54" i="193"/>
  <c r="J54" i="193"/>
  <c r="I54" i="193"/>
  <c r="H54" i="193"/>
  <c r="G54" i="193"/>
  <c r="F54" i="193"/>
  <c r="E54" i="193"/>
  <c r="K53" i="193"/>
  <c r="J53" i="193"/>
  <c r="J57" i="193" s="1"/>
  <c r="I53" i="193"/>
  <c r="I57" i="193" s="1"/>
  <c r="H53" i="193"/>
  <c r="G53" i="193"/>
  <c r="F53" i="193"/>
  <c r="F57" i="193" s="1"/>
  <c r="E53" i="193"/>
  <c r="E57" i="193" s="1"/>
  <c r="R49" i="193"/>
  <c r="Q49" i="193"/>
  <c r="P49" i="193"/>
  <c r="O49" i="193"/>
  <c r="O44" i="193" s="1"/>
  <c r="M49" i="193"/>
  <c r="L49" i="193"/>
  <c r="K49" i="193"/>
  <c r="K44" i="193" s="1"/>
  <c r="K42" i="193" s="1"/>
  <c r="K43" i="193" s="1"/>
  <c r="J49" i="193"/>
  <c r="J44" i="193" s="1"/>
  <c r="I49" i="193"/>
  <c r="H49" i="193"/>
  <c r="G49" i="193"/>
  <c r="G44" i="193" s="1"/>
  <c r="G42" i="193" s="1"/>
  <c r="G43" i="193" s="1"/>
  <c r="F49" i="193"/>
  <c r="F44" i="193" s="1"/>
  <c r="F42" i="193" s="1"/>
  <c r="F43" i="193" s="1"/>
  <c r="E49" i="193"/>
  <c r="R48" i="193"/>
  <c r="Q48" i="193"/>
  <c r="Q42" i="193" s="1"/>
  <c r="Q43" i="193" s="1"/>
  <c r="P48" i="193"/>
  <c r="P44" i="193" s="1"/>
  <c r="P47" i="193"/>
  <c r="O47" i="193"/>
  <c r="R46" i="193"/>
  <c r="Q46" i="193"/>
  <c r="P46" i="193"/>
  <c r="R45" i="193"/>
  <c r="R47" i="193" s="1"/>
  <c r="Q45" i="193"/>
  <c r="Q47" i="193" s="1"/>
  <c r="P45" i="193"/>
  <c r="Q44" i="193"/>
  <c r="M44" i="193"/>
  <c r="M42" i="193" s="1"/>
  <c r="M43" i="193" s="1"/>
  <c r="L44" i="193"/>
  <c r="L42" i="193" s="1"/>
  <c r="L43" i="193" s="1"/>
  <c r="I44" i="193"/>
  <c r="I42" i="193" s="1"/>
  <c r="I43" i="193" s="1"/>
  <c r="H44" i="193"/>
  <c r="H42" i="193" s="1"/>
  <c r="H43" i="193" s="1"/>
  <c r="E44" i="193"/>
  <c r="E42" i="193" s="1"/>
  <c r="E43" i="193" s="1"/>
  <c r="M40" i="193"/>
  <c r="M36" i="193" s="1"/>
  <c r="M6" i="193" s="1"/>
  <c r="L40" i="193"/>
  <c r="K40" i="193"/>
  <c r="J40" i="193"/>
  <c r="J36" i="193" s="1"/>
  <c r="I40" i="193"/>
  <c r="I36" i="193" s="1"/>
  <c r="H40" i="193"/>
  <c r="F40" i="193"/>
  <c r="E40" i="193"/>
  <c r="E36" i="193" s="1"/>
  <c r="K39" i="193"/>
  <c r="M37" i="193"/>
  <c r="L37" i="193"/>
  <c r="K37" i="193"/>
  <c r="J37" i="193"/>
  <c r="I37" i="193"/>
  <c r="H37" i="193"/>
  <c r="G37" i="193"/>
  <c r="F37" i="193"/>
  <c r="E37" i="193"/>
  <c r="R36" i="193"/>
  <c r="Q36" i="193"/>
  <c r="P36" i="193"/>
  <c r="O36" i="193"/>
  <c r="L36" i="193"/>
  <c r="K36" i="193"/>
  <c r="H36" i="193"/>
  <c r="G36" i="193"/>
  <c r="F36" i="193"/>
  <c r="L34" i="193"/>
  <c r="K34" i="193"/>
  <c r="P31" i="193"/>
  <c r="R30" i="193"/>
  <c r="Q30" i="193"/>
  <c r="P30" i="193"/>
  <c r="P29" i="193" s="1"/>
  <c r="O30" i="193"/>
  <c r="M30" i="193"/>
  <c r="L30" i="193"/>
  <c r="K30" i="193"/>
  <c r="K29" i="193" s="1"/>
  <c r="J30" i="193"/>
  <c r="I30" i="193"/>
  <c r="H30" i="193"/>
  <c r="G30" i="193"/>
  <c r="G29" i="193" s="1"/>
  <c r="F30" i="193"/>
  <c r="E30" i="193"/>
  <c r="R29" i="193"/>
  <c r="Q29" i="193"/>
  <c r="O29" i="193"/>
  <c r="M29" i="193"/>
  <c r="L29" i="193"/>
  <c r="J29" i="193"/>
  <c r="I29" i="193"/>
  <c r="H29" i="193"/>
  <c r="F29" i="193"/>
  <c r="E29" i="193"/>
  <c r="M27" i="193"/>
  <c r="L27" i="193"/>
  <c r="K27" i="193"/>
  <c r="J27" i="193"/>
  <c r="J24" i="193" s="1"/>
  <c r="J23" i="193" s="1"/>
  <c r="J6" i="193" s="1"/>
  <c r="I27" i="193"/>
  <c r="I24" i="193" s="1"/>
  <c r="I23" i="193" s="1"/>
  <c r="H27" i="193"/>
  <c r="G27" i="193"/>
  <c r="F27" i="193"/>
  <c r="F24" i="193" s="1"/>
  <c r="F23" i="193" s="1"/>
  <c r="F6" i="193" s="1"/>
  <c r="E27" i="193"/>
  <c r="E24" i="193" s="1"/>
  <c r="E23" i="193" s="1"/>
  <c r="J26" i="193"/>
  <c r="M25" i="193"/>
  <c r="L25" i="193"/>
  <c r="K25" i="193"/>
  <c r="K24" i="193" s="1"/>
  <c r="K23" i="193" s="1"/>
  <c r="J25" i="193"/>
  <c r="I25" i="193"/>
  <c r="H25" i="193"/>
  <c r="G25" i="193"/>
  <c r="G24" i="193" s="1"/>
  <c r="G23" i="193" s="1"/>
  <c r="F25" i="193"/>
  <c r="E25" i="193"/>
  <c r="R24" i="193"/>
  <c r="Q24" i="193"/>
  <c r="Q23" i="193" s="1"/>
  <c r="P24" i="193"/>
  <c r="O24" i="193"/>
  <c r="M24" i="193"/>
  <c r="L24" i="193"/>
  <c r="L23" i="193" s="1"/>
  <c r="H24" i="193"/>
  <c r="H23" i="193" s="1"/>
  <c r="R23" i="193"/>
  <c r="P23" i="193"/>
  <c r="O23" i="193"/>
  <c r="M23" i="193"/>
  <c r="K20" i="193"/>
  <c r="J20" i="193"/>
  <c r="I20" i="193"/>
  <c r="E17" i="193"/>
  <c r="M16" i="193"/>
  <c r="L16" i="193"/>
  <c r="E16" i="193"/>
  <c r="R15" i="193"/>
  <c r="Q15" i="193"/>
  <c r="P15" i="193"/>
  <c r="O15" i="193"/>
  <c r="M11" i="193"/>
  <c r="L11" i="193"/>
  <c r="K11" i="193"/>
  <c r="J11" i="193"/>
  <c r="I11" i="193"/>
  <c r="H11" i="193"/>
  <c r="G11" i="193"/>
  <c r="F11" i="193"/>
  <c r="E11" i="193"/>
  <c r="R9" i="193"/>
  <c r="R8" i="193"/>
  <c r="Q8" i="193"/>
  <c r="Q6" i="193" s="1"/>
  <c r="P8" i="193"/>
  <c r="O8" i="193"/>
  <c r="M8" i="193"/>
  <c r="L8" i="193"/>
  <c r="L6" i="193" s="1"/>
  <c r="K8" i="193"/>
  <c r="J8" i="193"/>
  <c r="I8" i="193"/>
  <c r="H8" i="193"/>
  <c r="H6" i="193" s="1"/>
  <c r="G8" i="193"/>
  <c r="F8" i="193"/>
  <c r="E8" i="193"/>
  <c r="R6" i="193"/>
  <c r="O6" i="193"/>
  <c r="F89" i="193" l="1"/>
  <c r="F90" i="193" s="1"/>
  <c r="F7" i="193"/>
  <c r="M89" i="193"/>
  <c r="M90" i="193" s="1"/>
  <c r="M7" i="193"/>
  <c r="J42" i="193"/>
  <c r="J43" i="193" s="1"/>
  <c r="O89" i="193"/>
  <c r="O90" i="193" s="1"/>
  <c r="G6" i="193"/>
  <c r="K6" i="193"/>
  <c r="P6" i="193"/>
  <c r="J7" i="193"/>
  <c r="H7" i="193"/>
  <c r="H89" i="193"/>
  <c r="H90" i="193" s="1"/>
  <c r="L89" i="193"/>
  <c r="L90" i="193" s="1"/>
  <c r="L7" i="193"/>
  <c r="Q89" i="193"/>
  <c r="Q90" i="193" s="1"/>
  <c r="I6" i="164" s="1"/>
  <c r="Q7" i="193"/>
  <c r="E6" i="193"/>
  <c r="I6" i="193"/>
  <c r="R7" i="193"/>
  <c r="P42" i="193"/>
  <c r="P43" i="193" s="1"/>
  <c r="R44" i="193"/>
  <c r="O7" i="193"/>
  <c r="H8" i="102"/>
  <c r="R42" i="193"/>
  <c r="R43" i="193" s="1"/>
  <c r="I7" i="193" l="1"/>
  <c r="I89" i="193"/>
  <c r="I90" i="193" s="1"/>
  <c r="R89" i="193"/>
  <c r="R90" i="193" s="1"/>
  <c r="J6" i="164" s="1"/>
  <c r="J9" i="164" s="1"/>
  <c r="E89" i="193"/>
  <c r="E90" i="193" s="1"/>
  <c r="E7" i="193"/>
  <c r="G7" i="193"/>
  <c r="G89" i="193"/>
  <c r="G90" i="193" s="1"/>
  <c r="P7" i="193"/>
  <c r="P89" i="193"/>
  <c r="P90" i="193" s="1"/>
  <c r="K7" i="193"/>
  <c r="K89" i="193"/>
  <c r="K90" i="193" s="1"/>
  <c r="J89" i="193"/>
  <c r="J90" i="193" s="1"/>
  <c r="L7" i="31"/>
  <c r="M7" i="31"/>
  <c r="N7" i="31"/>
  <c r="O7" i="31"/>
  <c r="P7" i="31"/>
  <c r="K7" i="31"/>
  <c r="W7" i="155" l="1"/>
  <c r="W9" i="155" s="1"/>
  <c r="J10" i="164"/>
  <c r="D18" i="181"/>
  <c r="E18" i="181"/>
  <c r="F18" i="181"/>
  <c r="G18" i="181"/>
  <c r="H18" i="181"/>
  <c r="I18" i="181"/>
  <c r="J18" i="181"/>
  <c r="K18" i="181"/>
  <c r="L18" i="181"/>
  <c r="M18" i="181"/>
  <c r="N18" i="181"/>
  <c r="O18" i="181"/>
  <c r="P18" i="181"/>
  <c r="Q18" i="181"/>
  <c r="R18" i="181"/>
  <c r="S18" i="181"/>
  <c r="T18" i="181"/>
  <c r="U18" i="181"/>
  <c r="V18" i="181"/>
  <c r="W18" i="181"/>
  <c r="X18" i="181"/>
  <c r="Y18" i="181"/>
  <c r="Z18" i="181"/>
  <c r="C18" i="181"/>
  <c r="D15" i="181"/>
  <c r="E15" i="181"/>
  <c r="F15" i="181"/>
  <c r="G15" i="181"/>
  <c r="H15" i="181"/>
  <c r="I15" i="181"/>
  <c r="J15" i="181"/>
  <c r="K15" i="181"/>
  <c r="L15" i="181"/>
  <c r="M15" i="181"/>
  <c r="N15" i="181"/>
  <c r="O15" i="181"/>
  <c r="P15" i="181"/>
  <c r="Q15" i="181"/>
  <c r="R15" i="181"/>
  <c r="S15" i="181"/>
  <c r="T15" i="181"/>
  <c r="U15" i="181"/>
  <c r="V15" i="181"/>
  <c r="W15" i="181"/>
  <c r="X15" i="181"/>
  <c r="Y15" i="181"/>
  <c r="Z15" i="181"/>
  <c r="C15" i="181"/>
  <c r="L19" i="181" l="1"/>
  <c r="L21" i="181" s="1"/>
  <c r="Y19" i="181"/>
  <c r="Y21" i="181" s="1"/>
  <c r="O19" i="181"/>
  <c r="O21" i="181" s="1"/>
  <c r="D19" i="181"/>
  <c r="D21" i="181" s="1"/>
  <c r="V19" i="181"/>
  <c r="V21" i="181" s="1"/>
  <c r="W19" i="181"/>
  <c r="W21" i="181" s="1"/>
  <c r="Q19" i="181"/>
  <c r="Q21" i="181" s="1"/>
  <c r="C19" i="181"/>
  <c r="C21" i="181" s="1"/>
  <c r="I19" i="181"/>
  <c r="I21" i="181" s="1"/>
  <c r="F19" i="181"/>
  <c r="F21" i="181" s="1"/>
  <c r="T19" i="181"/>
  <c r="T21" i="181" s="1"/>
  <c r="N19" i="181"/>
  <c r="N21" i="181" s="1"/>
  <c r="G19" i="181"/>
  <c r="G21" i="181" s="1"/>
  <c r="E19" i="181"/>
  <c r="E21" i="181" s="1"/>
  <c r="X19" i="181"/>
  <c r="X21" i="181" s="1"/>
  <c r="U19" i="181"/>
  <c r="U21" i="181" s="1"/>
  <c r="R19" i="181"/>
  <c r="R21" i="181" s="1"/>
  <c r="K19" i="181"/>
  <c r="K21" i="181" s="1"/>
  <c r="H19" i="181"/>
  <c r="H21" i="181" s="1"/>
  <c r="Z19" i="181"/>
  <c r="Z21" i="181" s="1"/>
  <c r="S19" i="181"/>
  <c r="S21" i="181" s="1"/>
  <c r="P19" i="181"/>
  <c r="P21" i="181" s="1"/>
  <c r="M19" i="181"/>
  <c r="M21" i="181" s="1"/>
  <c r="J19" i="181"/>
  <c r="J21" i="181" s="1"/>
  <c r="J33" i="154"/>
  <c r="M10" i="155" l="1"/>
  <c r="N10" i="155"/>
  <c r="O10" i="155"/>
  <c r="P10" i="155"/>
  <c r="Q10" i="155"/>
  <c r="R10" i="155"/>
  <c r="S10" i="155"/>
  <c r="T10" i="155"/>
  <c r="U10" i="155"/>
  <c r="V10" i="155"/>
  <c r="W10" i="155"/>
  <c r="M12" i="155"/>
  <c r="N12" i="155"/>
  <c r="O12" i="155"/>
  <c r="P12" i="155"/>
  <c r="Q12" i="155"/>
  <c r="R12" i="155"/>
  <c r="S12" i="155"/>
  <c r="T12" i="155"/>
  <c r="U12" i="155"/>
  <c r="V12" i="155"/>
  <c r="W12" i="155"/>
  <c r="P15" i="158" l="1"/>
  <c r="Q15" i="158"/>
  <c r="R15" i="158"/>
  <c r="S15" i="158"/>
  <c r="T15" i="158"/>
  <c r="P16" i="158"/>
  <c r="Q16" i="158"/>
  <c r="R16" i="158"/>
  <c r="S16" i="158"/>
  <c r="T16" i="158"/>
  <c r="O16" i="158"/>
  <c r="O15" i="158"/>
  <c r="P17" i="158"/>
  <c r="Q17" i="158"/>
  <c r="R17" i="158"/>
  <c r="S17" i="158"/>
  <c r="T17" i="158"/>
  <c r="O17" i="158"/>
  <c r="G13" i="135"/>
  <c r="H13" i="135"/>
  <c r="E9" i="135"/>
  <c r="F9" i="135"/>
  <c r="G9" i="135"/>
  <c r="H9" i="135"/>
  <c r="D9" i="135"/>
  <c r="D8" i="127"/>
  <c r="E8" i="127"/>
  <c r="D6" i="127"/>
  <c r="E6" i="127"/>
  <c r="C6" i="127"/>
  <c r="Z9" i="154"/>
  <c r="AA9" i="154"/>
  <c r="Z10" i="154"/>
  <c r="AA10" i="154"/>
  <c r="Z11" i="154"/>
  <c r="AA11" i="154"/>
  <c r="Z12" i="154"/>
  <c r="AA12" i="154"/>
  <c r="Z13" i="154"/>
  <c r="AA13" i="154"/>
  <c r="Z14" i="154"/>
  <c r="AA14" i="154"/>
  <c r="Z15" i="154"/>
  <c r="AA15" i="154"/>
  <c r="Z16" i="154"/>
  <c r="AA16" i="154"/>
  <c r="Z17" i="154"/>
  <c r="AA17" i="154"/>
  <c r="Z18" i="154"/>
  <c r="AA18" i="154"/>
  <c r="Z19" i="154"/>
  <c r="AA19" i="154"/>
  <c r="E43" i="167"/>
  <c r="E42" i="167"/>
  <c r="D43" i="167"/>
  <c r="E41" i="167"/>
  <c r="E40" i="167"/>
  <c r="E39" i="167"/>
  <c r="E38" i="167"/>
  <c r="E37" i="167"/>
  <c r="E36" i="167"/>
  <c r="E35" i="167"/>
  <c r="E34" i="167"/>
  <c r="E33" i="167"/>
  <c r="E32" i="167"/>
  <c r="E31" i="167"/>
  <c r="E30" i="167"/>
  <c r="E29" i="167"/>
  <c r="E28" i="167"/>
  <c r="E27" i="167"/>
  <c r="E26" i="167"/>
  <c r="E25" i="167"/>
  <c r="E24" i="167"/>
  <c r="E23" i="167"/>
  <c r="E22" i="167"/>
  <c r="E21" i="167"/>
  <c r="D21" i="167" l="1"/>
  <c r="D22" i="167"/>
  <c r="D23" i="167"/>
  <c r="D24" i="167"/>
  <c r="D25" i="167"/>
  <c r="D26" i="167"/>
  <c r="D27" i="167"/>
  <c r="D28" i="167"/>
  <c r="D29" i="167"/>
  <c r="D30" i="167"/>
  <c r="D31" i="167"/>
  <c r="D32" i="167"/>
  <c r="D33" i="167"/>
  <c r="D34" i="167"/>
  <c r="D35" i="167"/>
  <c r="D36" i="167"/>
  <c r="D37" i="167"/>
  <c r="D38" i="167"/>
  <c r="D39" i="167"/>
  <c r="D40" i="167"/>
  <c r="D41" i="167"/>
  <c r="D42" i="167"/>
  <c r="G12" i="16" l="1"/>
  <c r="H12" i="16"/>
  <c r="I12" i="16"/>
  <c r="J12" i="16"/>
  <c r="K12" i="16"/>
  <c r="F12" i="16"/>
  <c r="G10" i="16"/>
  <c r="H10" i="16"/>
  <c r="I10" i="16"/>
  <c r="J10" i="16"/>
  <c r="K10" i="16"/>
  <c r="G11" i="16"/>
  <c r="H11" i="16"/>
  <c r="I11" i="16"/>
  <c r="J11" i="16"/>
  <c r="K11" i="16"/>
  <c r="F11" i="16"/>
  <c r="F10" i="16"/>
  <c r="N8" i="139"/>
  <c r="O8" i="139" s="1"/>
  <c r="P7" i="139"/>
  <c r="M7" i="139"/>
  <c r="M21" i="139" s="1"/>
  <c r="P21" i="139" s="1"/>
  <c r="P8" i="139" l="1"/>
  <c r="M8" i="139"/>
  <c r="M9" i="139" l="1"/>
  <c r="N9" i="139"/>
  <c r="O9" i="139" s="1"/>
  <c r="M10" i="139" l="1"/>
  <c r="N10" i="139"/>
  <c r="O10" i="139" s="1"/>
  <c r="P9" i="139"/>
  <c r="M11" i="139" l="1"/>
  <c r="N11" i="139"/>
  <c r="O11" i="139" s="1"/>
  <c r="P10" i="139"/>
  <c r="M12" i="139" l="1"/>
  <c r="N12" i="139"/>
  <c r="O12" i="139" s="1"/>
  <c r="P11" i="139"/>
  <c r="M13" i="139" l="1"/>
  <c r="N13" i="139"/>
  <c r="O13" i="139" s="1"/>
  <c r="P12" i="139"/>
  <c r="M14" i="139" l="1"/>
  <c r="N14" i="139"/>
  <c r="O14" i="139" s="1"/>
  <c r="P13" i="139"/>
  <c r="M15" i="139" l="1"/>
  <c r="N15" i="139"/>
  <c r="O15" i="139" s="1"/>
  <c r="P14" i="139"/>
  <c r="M16" i="139" l="1"/>
  <c r="N16" i="139"/>
  <c r="O16" i="139" s="1"/>
  <c r="P15" i="139"/>
  <c r="M17" i="139" l="1"/>
  <c r="N17" i="139"/>
  <c r="O17" i="139" s="1"/>
  <c r="P16" i="139"/>
  <c r="M18" i="139" l="1"/>
  <c r="N18" i="139"/>
  <c r="O18" i="139" s="1"/>
  <c r="P17" i="139"/>
  <c r="M19" i="139" l="1"/>
  <c r="N19" i="139"/>
  <c r="O19" i="139" s="1"/>
  <c r="P18" i="139"/>
  <c r="M20" i="139" l="1"/>
  <c r="N20" i="139"/>
  <c r="O20" i="139" s="1"/>
  <c r="P19" i="139"/>
  <c r="P20" i="139" l="1"/>
  <c r="L28" i="151" l="1"/>
  <c r="M28" i="151"/>
  <c r="N28" i="151"/>
  <c r="O28" i="151"/>
  <c r="P28" i="151"/>
  <c r="Q28" i="151"/>
  <c r="R28" i="151"/>
  <c r="S28" i="151"/>
  <c r="T28" i="151"/>
  <c r="U28" i="151"/>
  <c r="K28" i="151"/>
  <c r="L27" i="151"/>
  <c r="M27" i="151"/>
  <c r="N27" i="151"/>
  <c r="O27" i="151"/>
  <c r="P27" i="151"/>
  <c r="Q27" i="151"/>
  <c r="R27" i="151"/>
  <c r="S27" i="151"/>
  <c r="T27" i="151"/>
  <c r="U27" i="151"/>
  <c r="K27" i="151"/>
  <c r="K15" i="151"/>
  <c r="L15" i="151"/>
  <c r="M15" i="151"/>
  <c r="N15" i="151"/>
  <c r="O15" i="151"/>
  <c r="P15" i="151"/>
  <c r="Q15" i="151"/>
  <c r="R15" i="151"/>
  <c r="S15" i="151"/>
  <c r="T15" i="151"/>
  <c r="U15" i="151"/>
  <c r="L14" i="151"/>
  <c r="M14" i="151"/>
  <c r="N14" i="151"/>
  <c r="O14" i="151"/>
  <c r="P14" i="151"/>
  <c r="Q14" i="151"/>
  <c r="R14" i="151"/>
  <c r="S14" i="151"/>
  <c r="T14" i="151"/>
  <c r="U14" i="151"/>
  <c r="K14" i="151"/>
  <c r="K21" i="16" l="1"/>
  <c r="K26" i="16" l="1"/>
  <c r="J26" i="16"/>
  <c r="J25" i="16"/>
  <c r="K24" i="16"/>
  <c r="J24" i="16"/>
  <c r="K25" i="16"/>
  <c r="K23" i="16"/>
  <c r="J23" i="16"/>
  <c r="I23" i="16"/>
  <c r="H23" i="16"/>
  <c r="I24" i="16"/>
  <c r="I25" i="16" s="1"/>
  <c r="I26" i="16" s="1"/>
  <c r="G23" i="16"/>
  <c r="G24" i="16" s="1"/>
  <c r="G25" i="16" s="1"/>
  <c r="G26" i="16" s="1"/>
  <c r="H24" i="16"/>
  <c r="H25" i="16" s="1"/>
  <c r="H26" i="16" s="1"/>
  <c r="F26" i="16"/>
  <c r="F25" i="16"/>
  <c r="F24" i="16"/>
  <c r="L26" i="142" l="1"/>
  <c r="K25" i="142"/>
  <c r="L25" i="142"/>
  <c r="J25" i="142"/>
  <c r="L24" i="142"/>
  <c r="J26" i="142"/>
  <c r="J24" i="142"/>
  <c r="L16" i="142"/>
  <c r="K24" i="142"/>
  <c r="K26" i="142"/>
  <c r="M13" i="142"/>
  <c r="M16" i="142" s="1"/>
  <c r="L13" i="142"/>
  <c r="K13" i="142"/>
  <c r="K16" i="142" s="1"/>
  <c r="N12" i="142"/>
  <c r="N13" i="142" l="1"/>
  <c r="O12" i="142"/>
  <c r="P12" i="142" s="1"/>
  <c r="Q12" i="142" s="1"/>
  <c r="Q13" i="142" s="1"/>
  <c r="P25" i="142" l="1"/>
  <c r="P26" i="142" s="1"/>
  <c r="Q16" i="142"/>
  <c r="N16" i="142"/>
  <c r="M25" i="142"/>
  <c r="M26" i="142" s="1"/>
  <c r="P13" i="142"/>
  <c r="O13" i="142"/>
  <c r="O16" i="142" l="1"/>
  <c r="N25" i="142"/>
  <c r="N26" i="142" s="1"/>
  <c r="P16" i="142"/>
  <c r="O25" i="142"/>
  <c r="O26" i="142" s="1"/>
  <c r="D8" i="135"/>
  <c r="O20" i="158" l="1"/>
  <c r="N6" i="32" l="1"/>
  <c r="N8" i="32" s="1"/>
  <c r="E8" i="135" l="1"/>
  <c r="F8" i="135"/>
  <c r="G8" i="135"/>
  <c r="H8" i="135"/>
  <c r="P20" i="158"/>
  <c r="Q20" i="158"/>
  <c r="R20" i="158"/>
  <c r="S20" i="158"/>
  <c r="T20" i="158"/>
  <c r="P27" i="158"/>
  <c r="R27" i="158"/>
  <c r="S27" i="158"/>
  <c r="O27" i="158"/>
  <c r="O9" i="158" s="1"/>
  <c r="G14" i="135"/>
  <c r="H14" i="135"/>
  <c r="D10" i="135"/>
  <c r="G10" i="135" l="1"/>
  <c r="E9" i="127"/>
  <c r="D9" i="127"/>
  <c r="E10" i="135"/>
  <c r="H10" i="135"/>
  <c r="O14" i="158"/>
  <c r="S14" i="158"/>
  <c r="P14" i="158"/>
  <c r="Q14" i="158"/>
  <c r="T14" i="158"/>
  <c r="R14" i="158"/>
  <c r="F10" i="135"/>
  <c r="F21" i="16"/>
  <c r="F18" i="16"/>
  <c r="T26" i="158" l="1"/>
  <c r="T7" i="158"/>
  <c r="T8" i="158" s="1"/>
  <c r="R26" i="158"/>
  <c r="R7" i="158"/>
  <c r="R8" i="158" s="1"/>
  <c r="S26" i="158"/>
  <c r="S7" i="158"/>
  <c r="S8" i="158" s="1"/>
  <c r="Q26" i="158"/>
  <c r="Q7" i="158"/>
  <c r="Q8" i="158" s="1"/>
  <c r="P26" i="158"/>
  <c r="P7" i="158"/>
  <c r="P8" i="158" s="1"/>
  <c r="O26" i="158"/>
  <c r="O7" i="158"/>
  <c r="P9" i="158"/>
  <c r="Q27" i="158"/>
  <c r="Q9" i="158" s="1"/>
  <c r="R9" i="158"/>
  <c r="S9" i="158"/>
  <c r="T27" i="158"/>
  <c r="T9" i="158" s="1"/>
  <c r="O28" i="158"/>
  <c r="O11" i="158" s="1"/>
  <c r="P28" i="158"/>
  <c r="P11" i="158" s="1"/>
  <c r="Q28" i="158"/>
  <c r="Q11" i="158" s="1"/>
  <c r="R28" i="158"/>
  <c r="R11" i="158" s="1"/>
  <c r="S28" i="158"/>
  <c r="S11" i="158" s="1"/>
  <c r="T28" i="158"/>
  <c r="T11" i="158" s="1"/>
  <c r="Q29" i="158"/>
  <c r="Q10" i="158" s="1"/>
  <c r="R29" i="158"/>
  <c r="R10" i="158" s="1"/>
  <c r="S29" i="158"/>
  <c r="S10" i="158" s="1"/>
  <c r="T29" i="158"/>
  <c r="T10" i="158" s="1"/>
  <c r="O29" i="158"/>
  <c r="O10" i="158" s="1"/>
  <c r="O8" i="158" s="1"/>
  <c r="P29" i="158"/>
  <c r="P10" i="158" s="1"/>
  <c r="T35" i="154" l="1"/>
  <c r="D23" i="154"/>
  <c r="E23" i="154"/>
  <c r="F23" i="154"/>
  <c r="G23" i="154"/>
  <c r="D24" i="154"/>
  <c r="E24" i="154"/>
  <c r="F24" i="154"/>
  <c r="G24" i="154"/>
  <c r="D25" i="154"/>
  <c r="E25" i="154"/>
  <c r="F25" i="154"/>
  <c r="G25" i="154"/>
  <c r="D26" i="154"/>
  <c r="E26" i="154"/>
  <c r="F26" i="154"/>
  <c r="G26" i="154"/>
  <c r="D27" i="154"/>
  <c r="E27" i="154"/>
  <c r="U30" i="154" s="1"/>
  <c r="F27" i="154"/>
  <c r="G27" i="154"/>
  <c r="D28" i="154"/>
  <c r="E28" i="154"/>
  <c r="F28" i="154"/>
  <c r="G28" i="154"/>
  <c r="D29" i="154"/>
  <c r="E29" i="154"/>
  <c r="U32" i="154" s="1"/>
  <c r="F29" i="154"/>
  <c r="G29" i="154"/>
  <c r="D30" i="154"/>
  <c r="E30" i="154"/>
  <c r="F30" i="154"/>
  <c r="G30" i="154"/>
  <c r="D31" i="154"/>
  <c r="E31" i="154"/>
  <c r="U34" i="154" s="1"/>
  <c r="F31" i="154"/>
  <c r="G31" i="154"/>
  <c r="D32" i="154"/>
  <c r="E32" i="154"/>
  <c r="F32" i="154"/>
  <c r="G32" i="154"/>
  <c r="U26" i="154" l="1"/>
  <c r="U36" i="154"/>
  <c r="T26" i="154"/>
  <c r="S49" i="154" s="1"/>
  <c r="T36" i="154"/>
  <c r="G33" i="154"/>
  <c r="F33" i="154"/>
  <c r="W35" i="154"/>
  <c r="W34" i="154"/>
  <c r="W33" i="154"/>
  <c r="W32" i="154"/>
  <c r="W31" i="154"/>
  <c r="W30" i="154"/>
  <c r="W29" i="154"/>
  <c r="W28" i="154"/>
  <c r="W27" i="154"/>
  <c r="W26" i="154"/>
  <c r="S40" i="154"/>
  <c r="T31" i="154"/>
  <c r="S44" i="154" s="1"/>
  <c r="T27" i="154"/>
  <c r="S48" i="154" s="1"/>
  <c r="V35" i="154"/>
  <c r="T40" i="154" s="1"/>
  <c r="V34" i="154"/>
  <c r="T41" i="154" s="1"/>
  <c r="V33" i="154"/>
  <c r="T42" i="154" s="1"/>
  <c r="V32" i="154"/>
  <c r="T43" i="154" s="1"/>
  <c r="V31" i="154"/>
  <c r="T44" i="154" s="1"/>
  <c r="V30" i="154"/>
  <c r="T45" i="154" s="1"/>
  <c r="V29" i="154"/>
  <c r="T46" i="154" s="1"/>
  <c r="V28" i="154"/>
  <c r="T47" i="154" s="1"/>
  <c r="V27" i="154"/>
  <c r="T48" i="154" s="1"/>
  <c r="V26" i="154"/>
  <c r="T49" i="154" s="1"/>
  <c r="U35" i="154"/>
  <c r="U27" i="154"/>
  <c r="U33" i="154"/>
  <c r="U29" i="154"/>
  <c r="T33" i="154"/>
  <c r="S42" i="154" s="1"/>
  <c r="U28" i="154"/>
  <c r="T29" i="154"/>
  <c r="S46" i="154" s="1"/>
  <c r="U31" i="154"/>
  <c r="T34" i="154"/>
  <c r="S41" i="154" s="1"/>
  <c r="T32" i="154"/>
  <c r="S43" i="154" s="1"/>
  <c r="T30" i="154"/>
  <c r="S45" i="154" s="1"/>
  <c r="T28" i="154"/>
  <c r="S47" i="154" s="1"/>
  <c r="V36" i="154" l="1"/>
  <c r="W36" i="154"/>
  <c r="S12" i="158" l="1"/>
  <c r="R12" i="158"/>
  <c r="T12" i="158"/>
  <c r="J28" i="151"/>
  <c r="O12" i="158" l="1"/>
  <c r="P12" i="158"/>
  <c r="Q12" i="158"/>
  <c r="R20" i="19" l="1"/>
  <c r="Q20" i="19"/>
  <c r="P20" i="19"/>
  <c r="O20" i="19"/>
  <c r="N20" i="19"/>
  <c r="M20" i="19"/>
  <c r="R19" i="19"/>
  <c r="Q19" i="19"/>
  <c r="P19" i="19"/>
  <c r="O19" i="19"/>
  <c r="N19" i="19"/>
  <c r="M19" i="19"/>
  <c r="R18" i="19"/>
  <c r="Q18" i="19"/>
  <c r="P18" i="19"/>
  <c r="O18" i="19"/>
  <c r="N18" i="19"/>
  <c r="M18" i="19"/>
  <c r="O17" i="19" l="1"/>
  <c r="R17" i="19"/>
  <c r="P17" i="19"/>
  <c r="Q17" i="19"/>
  <c r="O6" i="32"/>
  <c r="O8" i="32" s="1"/>
  <c r="G18" i="16"/>
  <c r="G21" i="16"/>
  <c r="F20" i="16" l="1"/>
  <c r="F19" i="16" s="1"/>
  <c r="G20" i="16" l="1"/>
  <c r="G19" i="16" s="1"/>
  <c r="H20" i="16" l="1"/>
  <c r="I20" i="16" l="1"/>
  <c r="J20" i="16" l="1"/>
  <c r="K20" i="16" l="1"/>
  <c r="P6" i="32" l="1"/>
  <c r="H18" i="16"/>
  <c r="H19" i="16" s="1"/>
  <c r="Q6" i="32" l="1"/>
  <c r="I18" i="16"/>
  <c r="I19" i="16" s="1"/>
  <c r="P8" i="32"/>
  <c r="H21" i="16" l="1"/>
  <c r="R6" i="32" l="1"/>
  <c r="J18" i="16"/>
  <c r="J19" i="16" s="1"/>
  <c r="Q8" i="32"/>
  <c r="I21" i="16" l="1"/>
  <c r="R8" i="32"/>
  <c r="S6" i="32" l="1"/>
  <c r="S8" i="32" s="1"/>
  <c r="K18" i="16"/>
  <c r="K19" i="16" s="1"/>
  <c r="J21" i="16"/>
  <c r="D7" i="122" l="1"/>
  <c r="D27" i="122" s="1"/>
  <c r="F13" i="135" l="1"/>
  <c r="F14" i="135" s="1"/>
  <c r="C8" i="127"/>
  <c r="C9" i="127" s="1"/>
</calcChain>
</file>

<file path=xl/comments1.xml><?xml version="1.0" encoding="utf-8"?>
<comments xmlns="http://schemas.openxmlformats.org/spreadsheetml/2006/main">
  <authors>
    <author>Autor</author>
  </authors>
  <commentList>
    <comment ref="O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Po NRSR</t>
        </r>
      </text>
    </comment>
    <comment ref="D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malo by byť zahrnuté v dani z prijmov z pravnickych osob</t>
        </r>
      </text>
    </comment>
    <comment ref="I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2011</t>
        </r>
      </text>
    </comment>
    <comment ref="J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2012</t>
        </r>
      </text>
    </comment>
    <comment ref="K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2013</t>
        </r>
      </text>
    </comment>
    <comment ref="L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2014</t>
        </r>
      </text>
    </comment>
    <comment ref="M2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2015</t>
        </r>
      </text>
    </comment>
    <comment ref="D33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konsolidovaná</t>
        </r>
      </text>
    </comment>
    <comment ref="D3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nekonsolidovaná</t>
        </r>
      </text>
    </comment>
    <comment ref="D3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konsolidovaná</t>
        </r>
      </text>
    </comment>
    <comment ref="D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pripočítaná zmena stavu pohľadávky voči EÚ, korekcia je na výdavkovej strane na D.9
- z tab. transfery EU v sektore a mimo ulozena v podkladoch EU: (príjmy EU) -  (konecny prijemca je mimo sektora VS) + (zmena stavu pohladavky voci EU) </t>
        </r>
      </text>
    </comment>
    <comment ref="L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198,509 neuznanie transakcie ŠFRB</t>
        </r>
      </text>
    </comment>
    <comment ref="D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subvencie len mimo sektora</t>
        </r>
      </text>
    </comment>
    <comment ref="E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165,970 odpočítané dotácie, ktoré sa teraz konsolidujú ked su ZSSK v sektore</t>
        </r>
      </text>
    </comment>
    <comment ref="F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270,339 odpočítané dotácie, ktoré sa teraz konsolidujú ked su ZSSK v sektore
</t>
        </r>
      </text>
    </comment>
    <comment ref="G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228,114 odpočítané dotácie, ktoré sa teraz konsolidujú ked su ZSSK v sektore</t>
        </r>
      </text>
    </comment>
    <comment ref="H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199,498 odpočítané dotácie, ktoré sa teraz konsolidujú ked su ZSR v sektore;
105,301 je uprava aby sme sedeli na Albertov cash polozka RK644 po odpocitani EU;
67,516 odpočítané dotácie, ktoré sa teraz konsolidujú ked su ZSSK v sektore;</t>
        </r>
      </text>
    </comment>
    <comment ref="I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345,988 odpočítané dotácie, ktoré sa teraz konsolidujú ked su ZSR v sektore;
174,99 je uprava aby sme sedeli na Albertov cash polozka RK644 po odpocitani EU;
197,342 odpočítané dotácie, ktoré sa teraz konsolidujú ked su ZSSK v sektore</t>
        </r>
      </text>
    </comment>
    <comment ref="J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333,753 odpočítané dotácie, ktoré sa teraz konsolidujú ked su ZSR v sektore;
197,559 odpočítané dotácie, ktoré sa teraz konsolidujú ked su ZSSK v sektore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197,559 odpočítané dotácie, ktoré sa teraz konsolidujú ked su ZSSK v sektore</t>
        </r>
      </text>
    </comment>
    <comment ref="L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E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165,970 odpočítané dotácie, ktoré sa teraz konsolidujú ked su ZSSK v sektore</t>
        </r>
      </text>
    </comment>
    <comment ref="F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270,339 odpočítané dotácie, ktoré sa teraz konsolidujú ked su ZSSK v sektore</t>
        </r>
      </text>
    </comment>
    <comment ref="G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228,114 odpočítané dotácie, ktoré sa teraz konsolidujú ked su ZSSK v sektore</t>
        </r>
      </text>
    </comment>
    <comment ref="H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199,498 odpočítané dotácie, ktoré sa teraz konsolidujú ked su ZSR v sektore (p.Holikova od Mikulika kl.2323);
105,301 je uprava aby sme sedeli na Albertov cash polozka RK644 po odpocitani EU;
67,516 odpočítané dotácie, ktoré sa teraz konsolidujú ked su ZSSK v sektore</t>
        </r>
      </text>
    </comment>
    <comment ref="I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345,988 odpočítané dotácie, ktoré sa teraz konsolidujú ked su ZSR v sektore (p.Holikova od Mikulika kl.2323);
174,99 je uprava aby sme sedeli na Albertov cash polozka RK644 po odpocitani EU;
197,342 odpočítané dotácie, ktoré sa teraz konsolidujú ked su ZSSK v sektore</t>
        </r>
      </text>
    </comment>
    <comment ref="J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333,753 odpočítané dotácie, ktoré sa teraz konsolidujú ked su ZSR v sektore (p.Holikova od Mikulika kl.2323); 
197,559 odpočítané dotácie, ktoré sa teraz konsolidujú ked su ZSSK v sektore</t>
        </r>
      </text>
    </comment>
    <comment ref="K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197,559 odpočítané dotácie, ktoré sa teraz konsolidujú ked su ZSSK v sektore</t>
        </r>
      </text>
    </comment>
    <comment ref="L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E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</t>
        </r>
      </text>
    </comment>
    <comment ref="F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</t>
        </r>
      </text>
    </comment>
    <comment ref="G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</t>
        </r>
      </text>
    </comment>
    <comment ref="H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</t>
        </r>
      </text>
    </comment>
    <comment ref="I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</t>
        </r>
      </text>
    </comment>
    <comment ref="J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</t>
        </r>
      </text>
    </comment>
    <comment ref="K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M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L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M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D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potrebné očistiť o časové rozlíšenie odvodu do EÚ z dotazníka tab.6 alebo špeciálna tab. o odvodoch z podkladov k notif.</t>
        </r>
      </text>
    </comment>
    <comment ref="I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+19,55 očistené o časové rozlíšenie odvodu do EÚ</t>
        </r>
      </text>
    </comment>
    <comment ref="J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-19,55 očistené o časové rozlíšenie odvodu do EÚ</t>
        </r>
      </text>
    </comment>
    <comment ref="K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-87,444 očistené o časové rozlíšenie odvodu do EÚ, dotazník tab.6</t>
        </r>
      </text>
    </comment>
    <comment ref="L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38,025 očistené o časové rozlíšenie odvodu do EÚ, dotazník tab.6</t>
        </r>
      </text>
    </comment>
    <comment ref="M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49,4 očistené o časové rozlíšenie odvodu do EÚ, dotazník tab.6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H7" authorId="0" shapeId="0">
      <text>
        <r>
          <rPr>
            <sz val="9"/>
            <color indexed="81"/>
            <rFont val="Segoe UI"/>
            <family val="2"/>
            <charset val="238"/>
          </rPr>
          <t>**</t>
        </r>
      </text>
    </comment>
    <comment ref="I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**
</t>
        </r>
      </text>
    </comment>
    <comment ref="H1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**
</t>
        </r>
      </text>
    </comment>
    <comment ref="I16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**
</t>
        </r>
      </text>
    </comment>
    <comment ref="H27" authorId="0" shapeId="0">
      <text>
        <r>
          <rPr>
            <b/>
            <sz val="9"/>
            <color indexed="81"/>
            <rFont val="Segoe UI"/>
            <family val="2"/>
            <charset val="238"/>
          </rPr>
          <t>**</t>
        </r>
      </text>
    </comment>
    <comment ref="I2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**
</t>
        </r>
      </text>
    </comment>
  </commentList>
</comments>
</file>

<file path=xl/sharedStrings.xml><?xml version="1.0" encoding="utf-8"?>
<sst xmlns="http://schemas.openxmlformats.org/spreadsheetml/2006/main" count="1576" uniqueCount="1108">
  <si>
    <t>% HDP</t>
  </si>
  <si>
    <t>mil. eur</t>
  </si>
  <si>
    <t>-</t>
  </si>
  <si>
    <t>Zdroj: MF SR</t>
  </si>
  <si>
    <t>v % HDP</t>
  </si>
  <si>
    <t>Štrukturálne saldo</t>
  </si>
  <si>
    <t>NPC</t>
  </si>
  <si>
    <t>Ukazovateľ</t>
  </si>
  <si>
    <t>Zdroj: MFSR</t>
  </si>
  <si>
    <t>Konsolidačné úsilie</t>
  </si>
  <si>
    <t>10. Zmena v príjmoch z titulu diskrečných príjmových opatrení</t>
  </si>
  <si>
    <t>%</t>
  </si>
  <si>
    <t>p.b.</t>
  </si>
  <si>
    <t>Hrubý dlh verejnej správy</t>
  </si>
  <si>
    <t xml:space="preserve"> - štátny dlh (bez vplyvu medzinár. záväzkov)</t>
  </si>
  <si>
    <t xml:space="preserve"> - podiel SR na dlhu EFSF</t>
  </si>
  <si>
    <t xml:space="preserve"> - vklad do ESM</t>
  </si>
  <si>
    <t xml:space="preserve"> - dlh ostatných zložiek verejnej správy</t>
  </si>
  <si>
    <t>A. Hrubý dlh verejnej správy (k 1.1.)</t>
  </si>
  <si>
    <t>B. Celková medziročná zmena hrubého dlhu VS</t>
  </si>
  <si>
    <t xml:space="preserve"> - prostriedky ŠP využité pre financovanie potrieb štátu</t>
  </si>
  <si>
    <t xml:space="preserve"> - emisný diskont</t>
  </si>
  <si>
    <t xml:space="preserve"> - diskont pri splatnosti</t>
  </si>
  <si>
    <t xml:space="preserve"> - saldo úverov subjektov VS</t>
  </si>
  <si>
    <t>z toho: NDS</t>
  </si>
  <si>
    <t>C. Hrubý dlh verejnej správy (k 31.12.)</t>
  </si>
  <si>
    <t xml:space="preserve">p.m. medziročná zmena hrubého dlhu VS ( p.b.) </t>
  </si>
  <si>
    <t>Pozn.: Plusové položky zvyšujú dlh verejnej správy k 31.12. príslušného roku, mínusové položky dlh znižujú.</t>
  </si>
  <si>
    <t>Funkcie</t>
  </si>
  <si>
    <t>% CVVS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</si>
  <si>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</si>
  <si>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</si>
  <si>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</si>
  <si>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</si>
  <si>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</si>
  <si>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</si>
  <si>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</si>
  <si>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</si>
  <si>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</si>
  <si>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</si>
  <si>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</si>
  <si>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TE</t>
  </si>
  <si>
    <t>ESA kód</t>
  </si>
  <si>
    <t>Príjmy spolu</t>
  </si>
  <si>
    <t>TR</t>
  </si>
  <si>
    <t>Dane z produkcie a dovozu</t>
  </si>
  <si>
    <t>D.2</t>
  </si>
  <si>
    <t>Bežné dane z dôchodkov, majetku</t>
  </si>
  <si>
    <t>D.5</t>
  </si>
  <si>
    <t>Dane z kapitálu</t>
  </si>
  <si>
    <t>D.91</t>
  </si>
  <si>
    <t>Príspevky na sociálne zabezpečenie</t>
  </si>
  <si>
    <t>D.61</t>
  </si>
  <si>
    <t>Dôchodky z majetku</t>
  </si>
  <si>
    <t>D.4R</t>
  </si>
  <si>
    <t>Ostatné (1)</t>
  </si>
  <si>
    <t>Výdavky spolu</t>
  </si>
  <si>
    <t>Kompenzácie zamestnancov</t>
  </si>
  <si>
    <t>D.1P</t>
  </si>
  <si>
    <t>Medzispotreba</t>
  </si>
  <si>
    <t>P.2</t>
  </si>
  <si>
    <t>Subvencie</t>
  </si>
  <si>
    <t>Úrokové náklady</t>
  </si>
  <si>
    <t>D.41P</t>
  </si>
  <si>
    <t>Celkové sociálne transfery</t>
  </si>
  <si>
    <t xml:space="preserve"> z toho: Dávky v nezamestnanosti</t>
  </si>
  <si>
    <t>Tvorba hrubého fixného kapitálu</t>
  </si>
  <si>
    <t>P.51G</t>
  </si>
  <si>
    <t>Kapitálové transfery</t>
  </si>
  <si>
    <t>D.9P</t>
  </si>
  <si>
    <t>Ostatné (3)</t>
  </si>
  <si>
    <t>B.9 (4)</t>
  </si>
  <si>
    <t>Subsektor</t>
  </si>
  <si>
    <t>ESA2010</t>
  </si>
  <si>
    <t>S.13</t>
  </si>
  <si>
    <t>P.č</t>
  </si>
  <si>
    <t>Program stability</t>
  </si>
  <si>
    <t>Návrh rozpočtu</t>
  </si>
  <si>
    <t>m.j.</t>
  </si>
  <si>
    <t>HDP, bežné ceny</t>
  </si>
  <si>
    <t>mld. eur</t>
  </si>
  <si>
    <t>HDP, stále ceny</t>
  </si>
  <si>
    <t xml:space="preserve">   Konečná spotreba domácností a NISD</t>
  </si>
  <si>
    <t xml:space="preserve">   Konečná spotreba verejnej správy </t>
  </si>
  <si>
    <t xml:space="preserve">   Tvorba hrubého fixného kapitálu </t>
  </si>
  <si>
    <t xml:space="preserve">   Export tovarov a služieb </t>
  </si>
  <si>
    <t xml:space="preserve">   Import tovarov a služieb </t>
  </si>
  <si>
    <t>Priemerný rast zamestnanosti, podľa VZPS</t>
  </si>
  <si>
    <t>Priemerný rast zamestnanosti, podľa ESA 2010</t>
  </si>
  <si>
    <t>Priemerná miera nezamestnanosti, podľa VZPS</t>
  </si>
  <si>
    <t>Priemerná evidovaná miera nezamestnanosti</t>
  </si>
  <si>
    <t>Harmonizovaný index spotrebiteľských cien (HICP)</t>
  </si>
  <si>
    <t>Bilancia bežného účtu (podiel na HDP)</t>
  </si>
  <si>
    <t>Cieľové saldá verejnej správy</t>
  </si>
  <si>
    <t>B.9</t>
  </si>
  <si>
    <t>Program stability (1)</t>
  </si>
  <si>
    <t>Návrh rozpočtového plánu (2)</t>
  </si>
  <si>
    <t>Rozdiel (2-1)</t>
  </si>
  <si>
    <t>Gross fixed capital formation</t>
  </si>
  <si>
    <t xml:space="preserve">Zamestnanosť </t>
  </si>
  <si>
    <t xml:space="preserve">Verejná správa </t>
  </si>
  <si>
    <t>Trhové služby</t>
  </si>
  <si>
    <t>Priemysel</t>
  </si>
  <si>
    <t>Stavebníctvo</t>
  </si>
  <si>
    <t>2015Q1</t>
  </si>
  <si>
    <t>2015Q2</t>
  </si>
  <si>
    <t>2015Q3</t>
  </si>
  <si>
    <t>2015Q4</t>
  </si>
  <si>
    <t>2016Q1</t>
  </si>
  <si>
    <t>2016Q2</t>
  </si>
  <si>
    <t>HDP</t>
  </si>
  <si>
    <t>súkromná spotreba</t>
  </si>
  <si>
    <t>verejná spotreba</t>
  </si>
  <si>
    <t>investície</t>
  </si>
  <si>
    <t>čistý export</t>
  </si>
  <si>
    <t>zásoby a štat. Disk</t>
  </si>
  <si>
    <t>EÚ</t>
  </si>
  <si>
    <t>Celková inflácia</t>
  </si>
  <si>
    <t>Čistá inflácia</t>
  </si>
  <si>
    <t>Ceny potravín</t>
  </si>
  <si>
    <t>Regulované ceny</t>
  </si>
  <si>
    <t>Zmena nepriamych daní</t>
  </si>
  <si>
    <t>Pot. HDP (rast, %)</t>
  </si>
  <si>
    <t>Zásoba kapitálu</t>
  </si>
  <si>
    <t xml:space="preserve"> Práca</t>
  </si>
  <si>
    <t>2016F</t>
  </si>
  <si>
    <t>2017F</t>
  </si>
  <si>
    <t>2018F</t>
  </si>
  <si>
    <t>2019F</t>
  </si>
  <si>
    <t>min</t>
  </si>
  <si>
    <t>max-min</t>
  </si>
  <si>
    <t>medián Výboru</t>
  </si>
  <si>
    <t>prognóza MF SR</t>
  </si>
  <si>
    <t>3.   Výdavky kryté EU (kapitálové)</t>
  </si>
  <si>
    <t>2.   Úrokové náklady</t>
  </si>
  <si>
    <t>3a. Výdavky kryté EÚ zdrojmi (celkové)</t>
  </si>
  <si>
    <t>4.   Kapitálové výdavky kryté národnými zdrojmi</t>
  </si>
  <si>
    <t>5.   Vyhladené kapitálové výdavky (nár. zdroje 4-ročný pohyblivý priemer)</t>
  </si>
  <si>
    <t>6.   Cyklické výdavky na dávky v nezamestnanosti</t>
  </si>
  <si>
    <t xml:space="preserve">7.   Výdavky plne kryté automatickým zvýšením príjmov </t>
  </si>
  <si>
    <t>8.   Primárny výdavkový agregát (1-2-3a-4+5-6-7)</t>
  </si>
  <si>
    <t>p.m. zmena hrubého dlhu</t>
  </si>
  <si>
    <t>p.m. čistý dlh</t>
  </si>
  <si>
    <t>z toho: Dopravné podniky obcí</t>
  </si>
  <si>
    <t xml:space="preserve"> - ostatné</t>
  </si>
  <si>
    <t>Zmena hrubého dlhu verejnej správy</t>
  </si>
  <si>
    <t>Príspevky k zmene hrubého dlhu verejnej správy:</t>
  </si>
  <si>
    <t>Primárne saldo</t>
  </si>
  <si>
    <t>Úroky</t>
  </si>
  <si>
    <t>Rast nominálneho HDP</t>
  </si>
  <si>
    <t>Zosúladenie deficitu a dlhu</t>
  </si>
  <si>
    <t>Rast reálneho HDP</t>
  </si>
  <si>
    <t>Deflátor HDP</t>
  </si>
  <si>
    <t>Čistý dlh verejnej správy</t>
  </si>
  <si>
    <t>Zmeny</t>
  </si>
  <si>
    <t>Medzisúčet</t>
  </si>
  <si>
    <t>Prechod osi x</t>
  </si>
  <si>
    <t>Výplň</t>
  </si>
  <si>
    <t>Zmena</t>
  </si>
  <si>
    <t>GEO/TIME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</si>
  <si>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</si>
  <si>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</si>
  <si>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</si>
  <si>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</si>
  <si>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</si>
  <si>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</si>
  <si>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</si>
  <si>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</si>
  <si>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</si>
  <si>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Czech Republic</t>
  </si>
  <si>
    <t>Hungary</t>
  </si>
  <si>
    <t>Poland</t>
  </si>
  <si>
    <t>V3</t>
  </si>
  <si>
    <t>Date</t>
  </si>
  <si>
    <t xml:space="preserve"> - medziročná zmena</t>
  </si>
  <si>
    <t>officiálna prognóza</t>
  </si>
  <si>
    <t>alternatívna prognóza</t>
  </si>
  <si>
    <t>CZ</t>
  </si>
  <si>
    <t>check</t>
  </si>
  <si>
    <t>Primárne štrukturálne saldo</t>
  </si>
  <si>
    <t>Produkčná medzera</t>
  </si>
  <si>
    <t>Nominálne saldo</t>
  </si>
  <si>
    <t xml:space="preserve">TABUĽKA 3: Konsolidačné úsilie v metodike EK (ESA 2010, % HDP) </t>
  </si>
  <si>
    <t>1.   Celkové výdavky</t>
  </si>
  <si>
    <t>p. m. deflátor HDP</t>
  </si>
  <si>
    <t>2015 S</t>
  </si>
  <si>
    <t>2018 N</t>
  </si>
  <si>
    <t>2019 N</t>
  </si>
  <si>
    <t>GRAF 13: Zmena primárneho štrukturálneho salda oproti úrovni produkčnej medzery (% HDP)</t>
  </si>
  <si>
    <t>GRAF 14: Zmena primárneho štrukturálneho salda oproti zmene produkčnej medzery (% HDP)</t>
  </si>
  <si>
    <t>TABUĽKA 10: Výdavky verejnej správy podľa klasifikácie COFOG</t>
  </si>
  <si>
    <t>RVS-NPC</t>
  </si>
  <si>
    <t>Daňové zaťaženie (2)</t>
  </si>
  <si>
    <t>Saldo verejnej správy (4)</t>
  </si>
  <si>
    <t>Pozn.: (1) P.11+P.12+P131+D.39rec+D.7rec+D.9rec (iné ako D.91rec)</t>
  </si>
  <si>
    <t>TABUĽKA 12: Opatrenia zahrnuté v návrhu rozpočtu verejnej správy (ESA 2010, porovnanie voči NPC)</t>
  </si>
  <si>
    <t>Príjmy</t>
  </si>
  <si>
    <t>Daňové príjmy spolu</t>
  </si>
  <si>
    <t>S. 13</t>
  </si>
  <si>
    <t>Dane z produkcie</t>
  </si>
  <si>
    <t>Dane z príjmu</t>
  </si>
  <si>
    <t>Odvodové príjmy</t>
  </si>
  <si>
    <t xml:space="preserve">ESA2010 </t>
  </si>
  <si>
    <t>TABUĽKA 16: Celková potreba opatrení na dosiahnutie fiškálnych cieľov voči NPC (ESA2010, % HDP)</t>
  </si>
  <si>
    <t>1. Saldo verejnej správy - Fiškálne ciele</t>
  </si>
  <si>
    <t>GRAF 35: Kvartálny vývoj miery nezamestnanosti podľa VZPS (% aktívnej pop., sezónne očistené údaje)</t>
  </si>
  <si>
    <t>Saldá verejnej správy na základe NPC scenára</t>
  </si>
  <si>
    <t> -</t>
  </si>
  <si>
    <t>GRAF 1: Štrukturálne saldo (% HDP)</t>
  </si>
  <si>
    <t>GRAF 2: Hrubý dlh VS (% HDP)</t>
  </si>
  <si>
    <t>GRAF 4: Vývoj indikátorov dôvery v krajinách eurozóny</t>
  </si>
  <si>
    <t>GRAF 7: Príspevky odvetví k rastu zamestnanosti (p.b.)</t>
  </si>
  <si>
    <t>GRAF 8: Príspevky k inflácii (p.b.)</t>
  </si>
  <si>
    <t>GRAF 5: Príspevky k rastu HDP - štvrťročne (p.b.)</t>
  </si>
  <si>
    <t>GRAF 6: Príspevky k rastu HDP - prognóza (p.b.)</t>
  </si>
  <si>
    <t>GRAF 9: Vývoj produkčnej medzery (% pot. HDP) – prístup EK a metodika Ministerstva financií</t>
  </si>
  <si>
    <t>Hrubý dlh</t>
  </si>
  <si>
    <t>Hrubý dlh (očistený o EFSF a ESM)</t>
  </si>
  <si>
    <t>EFSF a ESM</t>
  </si>
  <si>
    <t>Čistý dlh</t>
  </si>
  <si>
    <t>Daňové príjmy a príjmy FSZP spolu</t>
  </si>
  <si>
    <t>FSZP spolu</t>
  </si>
  <si>
    <t>Zdravotné poisťovne (EAO + dlžné)</t>
  </si>
  <si>
    <t>Sociálna poisťovňa (EAO + dlžné)</t>
  </si>
  <si>
    <t>Daňové príjmy VS</t>
  </si>
  <si>
    <t>Ostatné dane</t>
  </si>
  <si>
    <t>Z tabaku a tabakových výrobkov</t>
  </si>
  <si>
    <t>Z minerálnych olejov</t>
  </si>
  <si>
    <t>Spotrebné dane</t>
  </si>
  <si>
    <t>Daň z pridanej hodnoty (alternatíva 2)</t>
  </si>
  <si>
    <t>Daň z príjmov vyberaná zrážkou</t>
  </si>
  <si>
    <t>Daň z príjmov právnických osôb (cez HDP)</t>
  </si>
  <si>
    <t>Daň z príjmov fyzických osôb</t>
  </si>
  <si>
    <t>Daňové príjmy a príjmy FSZP spolu (v mil. eur) - pre grafy</t>
  </si>
  <si>
    <t>celková zmena</t>
  </si>
  <si>
    <t>Limit odchýlky na 2r. horizonte</t>
  </si>
  <si>
    <t>Limit odchýlky na 1r. horizonte</t>
  </si>
  <si>
    <t>Hrubý dlh VS (HDP ŠUSR revízia)</t>
  </si>
  <si>
    <t>Hrubý dlh VS (HDP makro výbor)</t>
  </si>
  <si>
    <t>HDP (mld. €) - SUSR revízia + prognóza</t>
  </si>
  <si>
    <t>HDP vývoj na základe SUSR dát</t>
  </si>
  <si>
    <t>SUSR revízia</t>
  </si>
  <si>
    <t xml:space="preserve">   rast</t>
  </si>
  <si>
    <t>HDP (mld. €)</t>
  </si>
  <si>
    <t>Priemer eurozóny (19 krajín)</t>
  </si>
  <si>
    <t>PL</t>
  </si>
  <si>
    <t>HU</t>
  </si>
  <si>
    <t>SK</t>
  </si>
  <si>
    <t>v mil. eur</t>
  </si>
  <si>
    <t>Daň z pridanej hodnoty</t>
  </si>
  <si>
    <t>EA19</t>
  </si>
  <si>
    <t>EU28</t>
  </si>
  <si>
    <t>2006</t>
  </si>
  <si>
    <t>Total general government expenditure</t>
  </si>
  <si>
    <t>EA 19</t>
  </si>
  <si>
    <t>Euro area (19 countries)</t>
  </si>
  <si>
    <t xml:space="preserve">Makroekonomické predpoklady návrhu rozpočtu </t>
  </si>
  <si>
    <t>Rozpočtové ciele</t>
  </si>
  <si>
    <t xml:space="preserve">Naviazanie rozpočtového plánu na ciele stratégie rastu a zamestnanosti a špecifické odporúčania Európskej komisie </t>
  </si>
  <si>
    <t xml:space="preserve">Vyššia hodnota za peniaze </t>
  </si>
  <si>
    <t xml:space="preserve">Porovnanie s Programom stability </t>
  </si>
  <si>
    <t>53-55% HDP</t>
  </si>
  <si>
    <t>55-57% HDP</t>
  </si>
  <si>
    <t>57-60% HDP</t>
  </si>
  <si>
    <t>GRAF 10: Porovnanie prognóz makroekonomických základní pre rozpočtové príjmy s členmi výboru</t>
  </si>
  <si>
    <t>Požadované konsolidačné úsilie</t>
  </si>
  <si>
    <t>MTO</t>
  </si>
  <si>
    <t>Nominálne HDP</t>
  </si>
  <si>
    <t>Vstupné dáta</t>
  </si>
  <si>
    <t>Graf 22</t>
  </si>
  <si>
    <t>Graf 1</t>
  </si>
  <si>
    <t>Graf 2</t>
  </si>
  <si>
    <t>Graf 3</t>
  </si>
  <si>
    <t>Graf 4</t>
  </si>
  <si>
    <t>Graf 5</t>
  </si>
  <si>
    <t>Graf 6</t>
  </si>
  <si>
    <t>Graf 7</t>
  </si>
  <si>
    <t>Graf 8</t>
  </si>
  <si>
    <t xml:space="preserve">Graf 9 </t>
  </si>
  <si>
    <t>Graf 32</t>
  </si>
  <si>
    <t>Graf 33</t>
  </si>
  <si>
    <t xml:space="preserve"> Všeobecné verejné služby</t>
  </si>
  <si>
    <t>Obrana</t>
  </si>
  <si>
    <t xml:space="preserve"> Verejný poriadok a bezpečnosť</t>
  </si>
  <si>
    <t xml:space="preserve"> Ekonomická oblasť</t>
  </si>
  <si>
    <t xml:space="preserve"> Ochrana životného prostredia</t>
  </si>
  <si>
    <t xml:space="preserve"> Bývanie a občianska vybavenosť</t>
  </si>
  <si>
    <t xml:space="preserve"> Zdravotníctvo</t>
  </si>
  <si>
    <t xml:space="preserve"> Rekreácia, kultúra a náboženstvo</t>
  </si>
  <si>
    <t xml:space="preserve"> Vzdelávanie</t>
  </si>
  <si>
    <t xml:space="preserve"> Sociálne zabezpečenie</t>
  </si>
  <si>
    <t>p. b. HDP</t>
  </si>
  <si>
    <t xml:space="preserve"> </t>
  </si>
  <si>
    <t>Zmena OS- RVS 2016</t>
  </si>
  <si>
    <t>Rozdiel CVVS</t>
  </si>
  <si>
    <t>Rozdiel HDP</t>
  </si>
  <si>
    <t>COFOG Code</t>
  </si>
  <si>
    <t>Functions of the Government</t>
  </si>
  <si>
    <t>Rozdiel medzi OS, RVS a RVS t+1</t>
  </si>
  <si>
    <t>Zdroj: MF SR, Eurostat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</si>
  <si>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CVVS – Celkové výdavky verejnej správy</t>
  </si>
  <si>
    <t>COFOG kód</t>
  </si>
  <si>
    <t>HDP - MV september 2016</t>
  </si>
  <si>
    <t>% CVS</t>
  </si>
  <si>
    <t>štrukturálne saldo</t>
  </si>
  <si>
    <t>∆ štrukturálneho primárneho salda</t>
  </si>
  <si>
    <t>produkčná medzera</t>
  </si>
  <si>
    <t>∆ zmena produkčnej medzery</t>
  </si>
  <si>
    <t>Krajiny</t>
  </si>
  <si>
    <t>Revízia štrukturálneho salda</t>
  </si>
  <si>
    <t>Návrh rozpočtového plánu</t>
  </si>
  <si>
    <t>Rozdiel</t>
  </si>
  <si>
    <t>Nom saldo</t>
  </si>
  <si>
    <t>One offs</t>
  </si>
  <si>
    <t>ŠS</t>
  </si>
  <si>
    <t>Rozdiely</t>
  </si>
  <si>
    <t>PS</t>
  </si>
  <si>
    <t>DBP</t>
  </si>
  <si>
    <t>z toho: zmena jednorazových opatrení</t>
  </si>
  <si>
    <t>z toho: zmena nominálneho salda</t>
  </si>
  <si>
    <t>z toho: zmena cyklickej zložky</t>
  </si>
  <si>
    <t>Vstupé dáta</t>
  </si>
  <si>
    <t>ZHRNUTIE</t>
  </si>
  <si>
    <t>2Q 2016 - ľavá os</t>
  </si>
  <si>
    <t>% podiel na celk. miere nezamestnanosti (2Q 2016)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</si>
  <si>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</si>
  <si>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</si>
  <si>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</si>
  <si>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</si>
  <si>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</si>
  <si>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</si>
  <si>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</si>
  <si>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</si>
  <si>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</si>
  <si>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</si>
  <si>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</si>
  <si>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</si>
  <si>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</si>
  <si>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</si>
  <si>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</si>
  <si>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</si>
  <si>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</si>
  <si>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</si>
  <si>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</si>
  <si>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</si>
  <si>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</si>
  <si>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</si>
  <si>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</si>
  <si>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</si>
  <si>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</si>
  <si>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</si>
  <si>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</si>
  <si>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</si>
  <si>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EZ</t>
  </si>
  <si>
    <t>Graf 10</t>
  </si>
  <si>
    <t>GRAF 11 - Analytický opis vývoja salda verejnej správy v roku 2016 (ESA 2010), príspevky v mil. eur</t>
  </si>
  <si>
    <t>vplyv LEVEL/EDS</t>
  </si>
  <si>
    <t>vplyv MAKRA</t>
  </si>
  <si>
    <t>JEDNORAZOVÉ vplyvy</t>
  </si>
  <si>
    <t>INÉ vplyvy</t>
  </si>
  <si>
    <t>úrokové náklady</t>
  </si>
  <si>
    <t>štrukturálne primárne saldo</t>
  </si>
  <si>
    <t>Priemerná mesačná mzda za hospodárstvo (nominálny rast)</t>
  </si>
  <si>
    <t>Obsah - Návrh rozpočtového plánu Slovenskej republiky na rok 2018</t>
  </si>
  <si>
    <t>Poľnohospodárstvo</t>
  </si>
  <si>
    <t>2016Q3</t>
  </si>
  <si>
    <t>2016Q4</t>
  </si>
  <si>
    <t>2017Q1</t>
  </si>
  <si>
    <t>2017Q2</t>
  </si>
  <si>
    <t>zásoby a štat. disk</t>
  </si>
  <si>
    <t>EUR/GBP</t>
  </si>
  <si>
    <t>EUR/USD</t>
  </si>
  <si>
    <t>GRAF 3: EUR posilnilo vplyvom dobrého výhľadu v eurozóne</t>
  </si>
  <si>
    <t>GRAF 4: Vývoj cien ropy Brent</t>
  </si>
  <si>
    <t>Brent (USD/bl)</t>
  </si>
  <si>
    <t>EUR/JPY (pravá os)</t>
  </si>
  <si>
    <t>prognóza 8:2016</t>
  </si>
  <si>
    <t>prognóza 1:2017</t>
  </si>
  <si>
    <t>prognóza 6:2017</t>
  </si>
  <si>
    <t>prognóza 9:2017</t>
  </si>
  <si>
    <t>2016 S</t>
  </si>
  <si>
    <t>2017 OS</t>
  </si>
  <si>
    <t>2020 N</t>
  </si>
  <si>
    <t>2Q 2017 - ľavá os</t>
  </si>
  <si>
    <t>% podiel na celk. miere nezamestnanosti (2Q 2017)</t>
  </si>
  <si>
    <t>GRAF 36: Dlhodobá nezamestnanosť (%, 2Q 2016, 2Q 2017)</t>
  </si>
  <si>
    <t>2020F</t>
  </si>
  <si>
    <t>Produkčná medzera     (% pot. HDP)</t>
  </si>
  <si>
    <t xml:space="preserve">národna metodika MF </t>
  </si>
  <si>
    <t>odhad EK (AMECO)</t>
  </si>
  <si>
    <t>metodika EK s prognózou MF</t>
  </si>
  <si>
    <t>Produkčná medzera (podiel na potenciálnom produkte)</t>
  </si>
  <si>
    <t>Program Stability 2017-2020</t>
  </si>
  <si>
    <t>2. Saldo verejnej správy - RVS</t>
  </si>
  <si>
    <t>3. Saldo verejnej správy - Scenár NPC</t>
  </si>
  <si>
    <t>Hrubý dlh verejnej správy ( Program stability)</t>
  </si>
  <si>
    <t>Zmena hrubého dlhu oproti Programu stability</t>
  </si>
  <si>
    <t>z toho:  príspevok zmeny HDP</t>
  </si>
  <si>
    <t xml:space="preserve">              príspevok zmeny dlhu</t>
  </si>
  <si>
    <t>Makro výbor september 2017</t>
  </si>
  <si>
    <t>HDP - revízia ŠÚ SR</t>
  </si>
  <si>
    <t>HDP - revízia ŠÚ SR + prognóza Výboru</t>
  </si>
  <si>
    <t>Zdroj: ŠÚSR, MF SR</t>
  </si>
  <si>
    <t>2017 (v % HDP)</t>
  </si>
  <si>
    <t>Kompenzácie z toho:</t>
  </si>
  <si>
    <t>D.1</t>
  </si>
  <si>
    <t>Valorizácia miezd učiteľov a zamestnancov vo VS</t>
  </si>
  <si>
    <t xml:space="preserve">Príspevku na prácu cez víkend a sviatok </t>
  </si>
  <si>
    <t>Medzispotreba, z toho</t>
  </si>
  <si>
    <t>Rezerva na zhoršenie daňových a nedaňových príjmov</t>
  </si>
  <si>
    <t>D.3p</t>
  </si>
  <si>
    <t>Sociálne transfery, z toho</t>
  </si>
  <si>
    <t>D.62p</t>
  </si>
  <si>
    <t>Minimálna valorizácia dôchodkov a iné vplyvy novely 461/2003</t>
  </si>
  <si>
    <t>S.1311</t>
  </si>
  <si>
    <t>Prepočítanie penzií priznaných pred 2004</t>
  </si>
  <si>
    <t>Zvýšený príspevok na opatrovanie</t>
  </si>
  <si>
    <t>Zvýšená platba štátu na sociálne služby</t>
  </si>
  <si>
    <t>Naturálne sociálne transfery</t>
  </si>
  <si>
    <t>D.632</t>
  </si>
  <si>
    <t>Novela zákona 363/2011 o úhrade za lieky (inovatívne lieky)</t>
  </si>
  <si>
    <t>S.1314</t>
  </si>
  <si>
    <t>Ostatné bežné transfery, z toho</t>
  </si>
  <si>
    <t>Rezerva na 13. a 14. plat a oslobodenie príjmov z dohôd dôchodcov</t>
  </si>
  <si>
    <t>Kapitálové výdavky, z toho</t>
  </si>
  <si>
    <t>Národný futbalový štadión</t>
  </si>
  <si>
    <t>P.51g</t>
  </si>
  <si>
    <t>Vyššie výdavky na modernizáciu obrany</t>
  </si>
  <si>
    <t>Modernizácia dopravy</t>
  </si>
  <si>
    <t>Rekonštrukcia SNG</t>
  </si>
  <si>
    <t>Rezerva na významné investície</t>
  </si>
  <si>
    <t>P.51g/D.9p</t>
  </si>
  <si>
    <t>Pozn. (+) zvýšenie príjmov a zníženie výdavkov</t>
  </si>
  <si>
    <t>Granty a transfery</t>
  </si>
  <si>
    <t>TABUĽKA 11: Porovnanie bilancie výdavkov a príjmov a NPC v 2018 až 2020 (% HDP)</t>
  </si>
  <si>
    <t>Spolu výdavky</t>
  </si>
  <si>
    <t>Nedaňové príjmy spolu</t>
  </si>
  <si>
    <t>P.11+P.12</t>
  </si>
  <si>
    <t>Výdavky</t>
  </si>
  <si>
    <t>4. Veľkosť opatrení prvý scenár (1-3)</t>
  </si>
  <si>
    <t>D.632P</t>
  </si>
  <si>
    <t>D.2/D.61</t>
  </si>
  <si>
    <t>D.3P</t>
  </si>
  <si>
    <t>D.6P,D632</t>
  </si>
  <si>
    <t>(2) D.2+D.5+D.61+D.91</t>
  </si>
  <si>
    <t>(3) D.29p+D.5p+D.7p+NP</t>
  </si>
  <si>
    <t>50-53% HDP</t>
  </si>
  <si>
    <t>z toho: ŽSR + ŽSSK</t>
  </si>
  <si>
    <t>z toho: Samosprávy</t>
  </si>
  <si>
    <t xml:space="preserve"> - hotovostný deficit ŠR</t>
  </si>
  <si>
    <t xml:space="preserve"> - príspevok SR do EFSF a ESM</t>
  </si>
  <si>
    <t>EA 28</t>
  </si>
  <si>
    <t>2016</t>
  </si>
  <si>
    <t>2017</t>
  </si>
  <si>
    <t>2018</t>
  </si>
  <si>
    <t>2019</t>
  </si>
  <si>
    <t>2020</t>
  </si>
  <si>
    <t>R 2017</t>
  </si>
  <si>
    <t>EU28 2015</t>
  </si>
  <si>
    <t>SK 2017 (OS)</t>
  </si>
  <si>
    <t>SK 2018 (vRVS)</t>
  </si>
  <si>
    <t>Rozdiel OS t a RVS t</t>
  </si>
  <si>
    <t>Rozdiel OS t a RVS t+1</t>
  </si>
  <si>
    <t>Jednorazový vplyv v mzdách</t>
  </si>
  <si>
    <t>Úhrada nekrytej straty ŽSSK</t>
  </si>
  <si>
    <t>D.7p</t>
  </si>
  <si>
    <t>Environmentálny a Recyklačný fond</t>
  </si>
  <si>
    <t>D.7/D.9</t>
  </si>
  <si>
    <t>Kapitálové investície, z toho:</t>
  </si>
  <si>
    <t>P.5L</t>
  </si>
  <si>
    <t xml:space="preserve">    Významné investície</t>
  </si>
  <si>
    <t>P.51g+NP</t>
  </si>
  <si>
    <t>Kapitálové transfery, z toho:</t>
  </si>
  <si>
    <t>D.9p</t>
  </si>
  <si>
    <t xml:space="preserve">    EÚ korekcie</t>
  </si>
  <si>
    <t xml:space="preserve">    Športová infraštruktúra</t>
  </si>
  <si>
    <t xml:space="preserve">    Rekonštrukcia SNG</t>
  </si>
  <si>
    <t xml:space="preserve">Transfer pre SVP </t>
  </si>
  <si>
    <t>D.9/D.3</t>
  </si>
  <si>
    <t>Ostatné</t>
  </si>
  <si>
    <t>Spolu</t>
  </si>
  <si>
    <t xml:space="preserve">Poznámka: Ministerstvo pôdohospodárstva a rozvoja vidieka SR (MPRV SR), Ministerstvo dopravy a výstavby SR (MDV SR), Slovenská správa ciest (SSC),  Slovenský vodohospodársky podnik,  š. p. (SVP), Slovenská národná galéria (SNG)  </t>
  </si>
  <si>
    <t>2018 R</t>
  </si>
  <si>
    <t>2019 R</t>
  </si>
  <si>
    <t>2020 R</t>
  </si>
  <si>
    <t>Cyklická zložka</t>
  </si>
  <si>
    <t>Jednorázové vplyvy</t>
  </si>
  <si>
    <t>EDP</t>
  </si>
  <si>
    <t>Odchýlka (1r)</t>
  </si>
  <si>
    <t>Odchýlka (2r)</t>
  </si>
  <si>
    <t>9.  Medziročná zmena primárneho výdavkového agregátu (8t-8t-1)</t>
  </si>
  <si>
    <t>11. Jednorazové opatrenia na príjmovej strane</t>
  </si>
  <si>
    <t>12. Jednorazové opatrenia na výdavkovej strane</t>
  </si>
  <si>
    <t>13. Metodické úpravy</t>
  </si>
  <si>
    <t>14. Nominálny rast agregátu výdavkov očisteného o príjmové opatrenia ((9t-10t)/8t-1)</t>
  </si>
  <si>
    <t xml:space="preserve">15. Reálny rast agregátu výdavkov očisteného o príjmové opatrenia </t>
  </si>
  <si>
    <t>16. Výdavkové pravidlo (znížená referenčná miera pot. rastu HDP)</t>
  </si>
  <si>
    <t>17. Odchýlka od výdavkového pravidla (16-15)</t>
  </si>
  <si>
    <t>Jednoročná odchýlka od výdavkového pravidla</t>
  </si>
  <si>
    <t>Dvojročná odchýlka od výdavkového pravidla</t>
  </si>
  <si>
    <t>Strednodobý potencial rastu HDP (EK metodika, 10r priemer)</t>
  </si>
  <si>
    <t>Reálny rast daňovo-odvodových príjmov (y-o-y)</t>
  </si>
  <si>
    <t>DRM</t>
  </si>
  <si>
    <t>Primárny výdavkový agregát</t>
  </si>
  <si>
    <t>Zmena v príjmoch z titulu diskrečných príjmových opatrení</t>
  </si>
  <si>
    <t>Nominálny rast agregátu výdavkov očisteného o príjmové opatrenia</t>
  </si>
  <si>
    <t xml:space="preserve">Reálny rast agregátu výdavkov očisteného o príjmové opatrenia </t>
  </si>
  <si>
    <t>Výdavkové pravidlo (znížená referenčná miera pot. rastu HDP)</t>
  </si>
  <si>
    <t>Odchýlka od výdavkového pravidla</t>
  </si>
  <si>
    <t>GRAF 15 - Vývoj výdavkového agregátu oproti výdavkovému pravidlu (% nárast)</t>
  </si>
  <si>
    <t>GRAF 16 - Vývoj daňovo-odvodových príjmov oproti potenciálnemu rastu HDP (% nárast)</t>
  </si>
  <si>
    <t>TABUĽKA 6 - Výpočet plnenia výdavkového pravidla (ESA 2010)</t>
  </si>
  <si>
    <t>TAB X - Vývoj v roku 2017 (ESA 2010)</t>
  </si>
  <si>
    <t>Saldo VS - rozpočet</t>
  </si>
  <si>
    <t>Vyššie odvody (D.61)</t>
  </si>
  <si>
    <t>Nižšie ostatné bežné transfery (D.7P)</t>
  </si>
  <si>
    <t>Nižšie dotácie (D.3P)</t>
  </si>
  <si>
    <t>Nižšie kapitálové investície (P.5L=P.51G)</t>
  </si>
  <si>
    <t>Úspora na úrokových nákladoch (D.41P)</t>
  </si>
  <si>
    <t>Nižšie kapitálové transfery (D.9P)</t>
  </si>
  <si>
    <t>Vyššia medzispotreba (P.2)</t>
  </si>
  <si>
    <t>Nižšie granty a transfery (D.39+D.7R+D.9R)</t>
  </si>
  <si>
    <t>Nižšie daňové príjmy (D.2+D.5+D.91)</t>
  </si>
  <si>
    <t>Kompenzácie zamestnancov (D.1P)</t>
  </si>
  <si>
    <t>Vyššie výdavky verejného zdravotného poistenia (D.632P)</t>
  </si>
  <si>
    <t>Vyššie výdavky na sociálne dávky (D.62P)*</t>
  </si>
  <si>
    <t>Nižšie nedaňové príjmy (P.11+P.12+P.131+D.4)</t>
  </si>
  <si>
    <t>Saldo VS - očakávaná skutočnosť</t>
  </si>
  <si>
    <t>SK - nominal values</t>
  </si>
  <si>
    <t>SK - GDP (september)</t>
  </si>
  <si>
    <t>Priemer EÚ (28 krajín)</t>
  </si>
  <si>
    <t>V4 bez SK</t>
  </si>
  <si>
    <t>CR</t>
  </si>
  <si>
    <t>GRAF 22 - Porovnanie vývoja príjmov VS (% HDP)</t>
  </si>
  <si>
    <t>Daňové a odvodové príjmyy verejnej správy</t>
  </si>
  <si>
    <t>SK_HDP</t>
  </si>
  <si>
    <t>Podiel daní na HDP (% HDP)</t>
  </si>
  <si>
    <t>Daňový mix podľa vplyvu jednotlivých daní na potenciál ekonomiky (% z daňových príjmov)</t>
  </si>
  <si>
    <t>SR</t>
  </si>
  <si>
    <t>EÚ-28</t>
  </si>
  <si>
    <t>Sociálna poisťovňa (EAO+dlžné)</t>
  </si>
  <si>
    <t>menej škodlivé</t>
  </si>
  <si>
    <t>viac škodlivé</t>
  </si>
  <si>
    <t>Zdravotné poisťovne (EAO+dlžné)</t>
  </si>
  <si>
    <t>Daň z príjmu právnických osôb</t>
  </si>
  <si>
    <t>Daň z príjmu fyzických osôb</t>
  </si>
  <si>
    <t>bez ostatnych</t>
  </si>
  <si>
    <t>Efektívne zdanenie dividend v EÚ (2017 %)</t>
  </si>
  <si>
    <t>Daňový klin, jednotlivec, príjem 50% a 100% priemernej mzdy v roku 2016 (v % nákladov práce)</t>
  </si>
  <si>
    <t>Daň</t>
  </si>
  <si>
    <t>Odvody zamestnanca</t>
  </si>
  <si>
    <t>Odvody zamestnávateľa</t>
  </si>
  <si>
    <t>100% priemernej mzdy</t>
  </si>
  <si>
    <t>V4 bez SR</t>
  </si>
  <si>
    <t>SK_16</t>
  </si>
  <si>
    <t>SK_17</t>
  </si>
  <si>
    <t>50% priemernej mzdy</t>
  </si>
  <si>
    <t>Daňová medzera na DPH (% potenciálneho výnosu)</t>
  </si>
  <si>
    <t>Indikátor efektivity výberu DPH  (v %)</t>
  </si>
  <si>
    <t>daňová medzera na DPH</t>
  </si>
  <si>
    <t>priemer eurozóny (19 krajín)</t>
  </si>
  <si>
    <t>Efektívna daňová sadzba DPPO - výber dane na čistom (net) a hrubom (gross) prevádzkovom prebytku</t>
  </si>
  <si>
    <t>Porovnanie vývoja daňovej medzery na DPH a DPPO  (% potenciálneho výnosu)</t>
  </si>
  <si>
    <t>2016E</t>
  </si>
  <si>
    <t>EDS (hrubý PP, pravá os)</t>
  </si>
  <si>
    <t>medzera DPH</t>
  </si>
  <si>
    <t>EDS (čistý PP, ľavá os)</t>
  </si>
  <si>
    <t>DPPO medzera základne</t>
  </si>
  <si>
    <t>Saldo verejnej správy - RVS 18-20</t>
  </si>
  <si>
    <t>Saldo verejnej správy - Fiškálne ciele</t>
  </si>
  <si>
    <t>Potrebné opatrenia na dosiahnutie fiškálnych cieľov</t>
  </si>
  <si>
    <t>Potrebné opatrenia*</t>
  </si>
  <si>
    <t>* nezahrnuté v RVS 2018 až 2020</t>
  </si>
  <si>
    <t>RVS</t>
  </si>
  <si>
    <t>TABUĽKA 22: Porovnanie s Programom stability</t>
  </si>
  <si>
    <t>TABUĽKA 21: Prognóza vybraných indikátorov vývoja ekonomiky SR</t>
  </si>
  <si>
    <t>TABUĽKA 9 - Revízia HDP (v mld. eur)</t>
  </si>
  <si>
    <t>TABUĽKA 2: Produkčná medzera a príspevky faktorov k rastu potenciálneho produktu – prístup MF SR</t>
  </si>
  <si>
    <t>TABUĽKA 3 - Analytický pohľad na rezervy v rozpočte verejnej správy v roku 2017 v mil. eur</t>
  </si>
  <si>
    <t>GRAF 19: Stochastická prognóza dlhu (% HDP)</t>
  </si>
  <si>
    <t>Graf 18: Čistý dlh (% HDP)</t>
  </si>
  <si>
    <t>Graf 17: Príspevky faktorov k zmene hrubého dlhu (% HDP)</t>
  </si>
  <si>
    <t>TABUĽKA 8: Vplyv na zmenu hrubého dlhu verejnej správy (v mil. eur)</t>
  </si>
  <si>
    <t>TABUĽKA 7: Hrubý dlh verejnej správy (% HDP, ESA 2010, stav k 31.12.)</t>
  </si>
  <si>
    <t>Graf 1 + 2</t>
  </si>
  <si>
    <t>Graf 3 + 4</t>
  </si>
  <si>
    <t>Graf 5 + 6</t>
  </si>
  <si>
    <t>Graf 7 + 8</t>
  </si>
  <si>
    <t>Box 1_ Graf 9_ Tabuľka 1+2</t>
  </si>
  <si>
    <t xml:space="preserve">Graf 11 </t>
  </si>
  <si>
    <t>Graf 12</t>
  </si>
  <si>
    <t>Tabuľka 3</t>
  </si>
  <si>
    <t>Tabuľka 4</t>
  </si>
  <si>
    <t>BOX 3 _ graf 13 + 14 _ Tab5</t>
  </si>
  <si>
    <t>Graf 15 + 16 + Tab 6</t>
  </si>
  <si>
    <t xml:space="preserve">Tabuľka 7 </t>
  </si>
  <si>
    <t>Tabuľka 8</t>
  </si>
  <si>
    <t>Graf 17</t>
  </si>
  <si>
    <t>Graf 18</t>
  </si>
  <si>
    <t>Box 5_Graf 19</t>
  </si>
  <si>
    <t>Tabuľka 11</t>
  </si>
  <si>
    <t>Tabuľka 12</t>
  </si>
  <si>
    <t>Box 10_tabuľka 13</t>
  </si>
  <si>
    <t>Tabuľka 14</t>
  </si>
  <si>
    <t>Tabuľka 21</t>
  </si>
  <si>
    <t>Tabuľka 22</t>
  </si>
  <si>
    <t>Rozpočet VS (1)</t>
  </si>
  <si>
    <t>Upravený rozpočet* (2)</t>
  </si>
  <si>
    <t>OS (3)</t>
  </si>
  <si>
    <t xml:space="preserve">Rozdiel    (3)-(1)          </t>
  </si>
  <si>
    <t xml:space="preserve"> Rozdiel </t>
  </si>
  <si>
    <t>(3)-(2)</t>
  </si>
  <si>
    <t>Spolu výdavky (D.1P, P.2, D.7P)</t>
  </si>
  <si>
    <t>Kompenzácie</t>
  </si>
  <si>
    <t xml:space="preserve"> - Mzdy a platy</t>
  </si>
  <si>
    <t xml:space="preserve"> - Sociálne príspevky zamestnávateľov</t>
  </si>
  <si>
    <t>z toho rezerva na kompenzácie</t>
  </si>
  <si>
    <t>Ostatné bežné transfery</t>
  </si>
  <si>
    <t>D.7P</t>
  </si>
  <si>
    <t>Rezervy spolu spolu</t>
  </si>
  <si>
    <t>* o správne alokovanie rezerv na prislúchajúce ekonomické položky výdavkov</t>
  </si>
  <si>
    <t>** položka v RVS (4 717 mil. eur) zahŕňala aj ročné zúčtovanie za štátom platené poistné na verejné zdravotné poistenie vo výške (21 mil. eur), ktorá bola analyticky očistená a priradená na príslušnú zodpovedajúcu položku D.62P</t>
  </si>
  <si>
    <t>TABUĽKA 5: Primárne štrukturálne saldo v metodike EK (% HDP)</t>
  </si>
  <si>
    <t>TABUĽKA 13: Zoznam jednorazových opatrení v roku 2017 pre potreby NPC (ESA 2010, mil. eur a v % HDP)</t>
  </si>
  <si>
    <t>FR</t>
  </si>
  <si>
    <t>IR</t>
  </si>
  <si>
    <t>BE</t>
  </si>
  <si>
    <t>GB</t>
  </si>
  <si>
    <t>PT</t>
  </si>
  <si>
    <t>AT</t>
  </si>
  <si>
    <t>SE</t>
  </si>
  <si>
    <t>IT</t>
  </si>
  <si>
    <t>FI</t>
  </si>
  <si>
    <t>LU</t>
  </si>
  <si>
    <t>SI</t>
  </si>
  <si>
    <t>GR</t>
  </si>
  <si>
    <t>IS</t>
  </si>
  <si>
    <t>NL</t>
  </si>
  <si>
    <t>SK_2017</t>
  </si>
  <si>
    <t>SK_2018</t>
  </si>
  <si>
    <t>ES</t>
  </si>
  <si>
    <t>EE</t>
  </si>
  <si>
    <t>Priemer EU krajín v OECD</t>
  </si>
  <si>
    <t>Priemer krajín V4 bez SK</t>
  </si>
  <si>
    <t>V3 2015</t>
  </si>
  <si>
    <t>DPPO</t>
  </si>
  <si>
    <t>DPH</t>
  </si>
  <si>
    <t>Odvody</t>
  </si>
  <si>
    <t>Dane</t>
  </si>
  <si>
    <t>Tabuľka 2: Rozdiel aktuálnej prognózy daňových príjmov oproti prognóze zo septembra 2016 (ESA2010, tis. Eur)</t>
  </si>
  <si>
    <t>vplyv LEGISLATÍVY</t>
  </si>
  <si>
    <t>DPFO</t>
  </si>
  <si>
    <t>Sociálne odvody</t>
  </si>
  <si>
    <t>GRAF 12 - Príspevky k zmene prognózy oproti rozpočtu VS na roky 2016 a 2017 (v mil. eur)[1]</t>
  </si>
  <si>
    <t>Zdravotné odvody</t>
  </si>
  <si>
    <t>Celková zmena</t>
  </si>
  <si>
    <t>Program stability 2017-2020</t>
  </si>
  <si>
    <t>Jarná prognóza EK 2017</t>
  </si>
  <si>
    <t>-0,3</t>
  </si>
  <si>
    <t>0,2</t>
  </si>
  <si>
    <t>0,8</t>
  </si>
  <si>
    <t>Národná metodika MF (február 2017)</t>
  </si>
  <si>
    <t>-0,2</t>
  </si>
  <si>
    <t>0,7</t>
  </si>
  <si>
    <t>Metodika EK s prognózou MF</t>
  </si>
  <si>
    <t>-0,6</t>
  </si>
  <si>
    <t>Spolu príjmy</t>
  </si>
  <si>
    <t xml:space="preserve">*nezahrnuté v RVS 2018 – 2020 </t>
  </si>
  <si>
    <t>Potrebné príjmové opatrenia*</t>
  </si>
  <si>
    <t>Potrebné výdavkové opatrenia*</t>
  </si>
  <si>
    <t>posúdené</t>
  </si>
  <si>
    <t>neposúdené</t>
  </si>
  <si>
    <t>Zdravotné poistenie</t>
  </si>
  <si>
    <t>Min. dopravy a výst. + NDS, ŽSR, ŽSSK</t>
  </si>
  <si>
    <t>Min. vnútra</t>
  </si>
  <si>
    <t>Min. práce</t>
  </si>
  <si>
    <t>Min. školstva</t>
  </si>
  <si>
    <t>Min. obrany</t>
  </si>
  <si>
    <t>Min. pôdohospodárstva</t>
  </si>
  <si>
    <t>Sociálna poisťovňa a soc. zabezpečenie</t>
  </si>
  <si>
    <t>Min. životného prostredia</t>
  </si>
  <si>
    <t>Min. financií</t>
  </si>
  <si>
    <t>Min. spravodlivosti</t>
  </si>
  <si>
    <t>Min. kultúry</t>
  </si>
  <si>
    <t>Min. hospodárstva</t>
  </si>
  <si>
    <t>Min. zdravotníctva</t>
  </si>
  <si>
    <t>Min. zahraničných vecí</t>
  </si>
  <si>
    <t>Pozn.: Objem revidovaných výdavkov – revízie 2016 skutočnosť, revízie 2017  rozpočet, nerevidované návrh rozpočtu 2018.</t>
  </si>
  <si>
    <t>TABUĽKA 16 - Významné opatrenia s pozitívnym vplyvom na rozpočet identifikovane revíziami (v mil. eur)*</t>
  </si>
  <si>
    <t>2017OS</t>
  </si>
  <si>
    <t>potenciálna úspora</t>
  </si>
  <si>
    <t>* úspora 2017 podľa revízie výdavkov, plnenie podľa očakávanej skutočnosti, 18-20 podľa návrhu RVS</t>
  </si>
  <si>
    <t>TABUĽKA 17 - Budúce investičné projekty v doprave podliehajúce posudku Hodnoty za peniaze</t>
  </si>
  <si>
    <t>predpokladané náklady</t>
  </si>
  <si>
    <t>Železničné trate (ŽSR)</t>
  </si>
  <si>
    <t>Diaľnice a cesty 1. triedy (NDS a SSC)</t>
  </si>
  <si>
    <t>SPOLU</t>
  </si>
  <si>
    <t>v % z celkových verejných výdavkov</t>
  </si>
  <si>
    <t>EU</t>
  </si>
  <si>
    <t>priemer</t>
  </si>
  <si>
    <t>OECD</t>
  </si>
  <si>
    <t xml:space="preserve">25-34 rokov </t>
  </si>
  <si>
    <t>35-44 rokov</t>
  </si>
  <si>
    <t>45-54 rokov</t>
  </si>
  <si>
    <t>55-64 rokov</t>
  </si>
  <si>
    <t>priemer (OECD 21 krajín)</t>
  </si>
  <si>
    <t>Zdroj: Eurostat, RIS, prognóza MFSR</t>
  </si>
  <si>
    <t>Zdroj: OECD</t>
  </si>
  <si>
    <t>Zdroj: OECD EAG, Trexima</t>
  </si>
  <si>
    <t>TABUĽKA 18 - Úsporné opatrenia vo vzdelávaní (v mil. eur)</t>
  </si>
  <si>
    <t>Prijať opatrenia na podporu racionalizácie siete ZŠ.</t>
  </si>
  <si>
    <t>Zrušiť možnosť získať kredity na kreditový príplatok</t>
  </si>
  <si>
    <t xml:space="preserve">Prijať opatrenia na zvýšenie podielu bakalárskych študentov, ktorí nepokračujú v magisterskom štúdiu. </t>
  </si>
  <si>
    <t xml:space="preserve">Pozn.: * - Ročná úspora oproti rozpočtu roku 2017 </t>
  </si>
  <si>
    <t>Priemer vzorky*</t>
  </si>
  <si>
    <t>Obyvateľstvo pripojené na čistiareň odpadových vôd, 2014</t>
  </si>
  <si>
    <t>Koncentrácie častíc PM 2,5 v ovzduší, 2014</t>
  </si>
  <si>
    <t>Podiel ohrozených druhov, 2015</t>
  </si>
  <si>
    <t>Recyklácia odpadov, 2015</t>
  </si>
  <si>
    <t>Emisie skleníkových plynov, 2015</t>
  </si>
  <si>
    <t xml:space="preserve">* Vzorka krajín v závislosti od ukazovateľa je rozdielna. </t>
  </si>
  <si>
    <t>Zdroj: IEP podľa OECD, Eurostat</t>
  </si>
  <si>
    <t>Podiel</t>
  </si>
  <si>
    <t>Mil. eur</t>
  </si>
  <si>
    <t>Protipovodňové opatrenia</t>
  </si>
  <si>
    <t>Odpadové hospodárstvo</t>
  </si>
  <si>
    <t>Manažment odpadových vôd a zásobovanie pitnou vodou</t>
  </si>
  <si>
    <t>Znižovanie znečistenia</t>
  </si>
  <si>
    <t>Ochrana prírody a krajiny</t>
  </si>
  <si>
    <t>Prevádzkové náklady, informatizácia, environmentálna výchova, kultúrne služby a iné</t>
  </si>
  <si>
    <t>Zdroj: RIS</t>
  </si>
  <si>
    <t>1996-2000</t>
  </si>
  <si>
    <t>2001-2005</t>
  </si>
  <si>
    <t>2006-2010</t>
  </si>
  <si>
    <t>2011-2015</t>
  </si>
  <si>
    <t>Celkové verejné výdavky</t>
  </si>
  <si>
    <t>Verejné výdavky na životné prostredie</t>
  </si>
  <si>
    <t>Zdroj: Eurostat</t>
  </si>
  <si>
    <t>% z výdavkov</t>
  </si>
  <si>
    <t>Slovensko</t>
  </si>
  <si>
    <t>TABUĽKA 19 - Úsporné opatrenia v životnom prostredí (v mil. eur)</t>
  </si>
  <si>
    <t>Oblasť</t>
  </si>
  <si>
    <t>Úloha</t>
  </si>
  <si>
    <t>SVP, š.p.</t>
  </si>
  <si>
    <t>Postupne implementovať opatrenia na zefektívnenie prevádzky podľa auditu BCG</t>
  </si>
  <si>
    <t>Postupne zvýšiť poplatky za skládkovanie a zaviesť povinný množstvový zber</t>
  </si>
  <si>
    <t>Ochrana ovzdušia</t>
  </si>
  <si>
    <t>Zrušiť fakultatívne oslobodenia v spotrebných daniach (uhlie, elektrina, plyn)</t>
  </si>
  <si>
    <t>Ochrana prírody</t>
  </si>
  <si>
    <t>Zaviesť inovatívne formy financovania ochrany prírody</t>
  </si>
  <si>
    <t>Cieľ 2020</t>
  </si>
  <si>
    <t>Zdroj: Eurostat, MPSVR SR</t>
  </si>
  <si>
    <t>Miera chudoby EÚ</t>
  </si>
  <si>
    <t>Miera chudoby SR</t>
  </si>
  <si>
    <t>Verejné výdavky 
na sociálne zabezpečenie (% HDP)</t>
  </si>
  <si>
    <t>Írsko</t>
  </si>
  <si>
    <t>Litva</t>
  </si>
  <si>
    <t>Lotyšsko</t>
  </si>
  <si>
    <t>Rumunsko</t>
  </si>
  <si>
    <t>Cyprus</t>
  </si>
  <si>
    <t>Malta</t>
  </si>
  <si>
    <t>Česká republika</t>
  </si>
  <si>
    <t>Estónsko</t>
  </si>
  <si>
    <t>Bulharsko</t>
  </si>
  <si>
    <t>Maďarsko</t>
  </si>
  <si>
    <t>Chorvátsko</t>
  </si>
  <si>
    <t>Poľsko</t>
  </si>
  <si>
    <t>Veľká Británia</t>
  </si>
  <si>
    <t>Holandsko</t>
  </si>
  <si>
    <t>Španielsko</t>
  </si>
  <si>
    <t>Slovinsko</t>
  </si>
  <si>
    <t>Portugalsko</t>
  </si>
  <si>
    <t>Luxembursko</t>
  </si>
  <si>
    <t>Zdroj: Eurostat, COFOG klasifikácia</t>
  </si>
  <si>
    <t>Nemecko</t>
  </si>
  <si>
    <t>Belgicko</t>
  </si>
  <si>
    <t>Grécko</t>
  </si>
  <si>
    <t>Švédsko</t>
  </si>
  <si>
    <t>Taliansko</t>
  </si>
  <si>
    <t>Rakúsko</t>
  </si>
  <si>
    <t>Dánsko</t>
  </si>
  <si>
    <t>Francúzsko</t>
  </si>
  <si>
    <t>Fínsko</t>
  </si>
  <si>
    <t>Služby zamestnanosti</t>
  </si>
  <si>
    <t>Prevádzkové výdavky</t>
  </si>
  <si>
    <t>Pomoc v hmotnej núdzi</t>
  </si>
  <si>
    <t>Podpora rodiny</t>
  </si>
  <si>
    <t>Kompenzácia ŤZP</t>
  </si>
  <si>
    <t>Ostatné sociálna inklúzia</t>
  </si>
  <si>
    <t>TABUĽKA 20 - Úsporné opatrenia politík trhu práce a sociálnych politík (v mil. eur)</t>
  </si>
  <si>
    <t>Potenciálna úspora</t>
  </si>
  <si>
    <t>Rodinná politika</t>
  </si>
  <si>
    <t>Preskúmať možnosti lepšieho cielenia rodinných dávok</t>
  </si>
  <si>
    <t>N/A</t>
  </si>
  <si>
    <t>Spravodlivosť sociálneho systému</t>
  </si>
  <si>
    <t>Zaviesť ročné zúčtovanie sociálnych odvodov</t>
  </si>
  <si>
    <t>Prevádzka</t>
  </si>
  <si>
    <t>Zvýšenie efektívnosti pobočiek Sociálnej poisťovne</t>
  </si>
  <si>
    <t>TABUĽKA 1: Produkčná medzera (% HDP)</t>
  </si>
  <si>
    <t>Tabuľka 16</t>
  </si>
  <si>
    <t>Tabuľka 17</t>
  </si>
  <si>
    <t>Tabuľka 19</t>
  </si>
  <si>
    <t>Úsporné opatrenia</t>
  </si>
  <si>
    <t>Nižšia indexácia penzií</t>
  </si>
  <si>
    <t>Naviazanie dôchodkového veku na očakávanú dĺžku života</t>
  </si>
  <si>
    <t>Opatrenia zvyšujúce primeranosť penzií</t>
  </si>
  <si>
    <t>Zvyšovanie vianočných dôchodkov</t>
  </si>
  <si>
    <t>Minimálne dôchodky</t>
  </si>
  <si>
    <t>Vyrovnanie vdovských dôhodkov</t>
  </si>
  <si>
    <t>Vyrovnanie vdoveckých dôchodkov</t>
  </si>
  <si>
    <t>Vyššia valorizácia v roku 2017</t>
  </si>
  <si>
    <t>Minimálna valorizácia na roky 2018-2021</t>
  </si>
  <si>
    <t>Prepočítanie starobných dôchodkov priznaných pred rokom 2004</t>
  </si>
  <si>
    <t>Kumulatívne</t>
  </si>
  <si>
    <t>Kumulatívne úspory (1)</t>
  </si>
  <si>
    <t>Kumulatívne ad-hoc  výdavky po reforme (2)</t>
  </si>
  <si>
    <t>Pomer (2)/(1)</t>
  </si>
  <si>
    <t>Opatrenia na príjmovej strane</t>
  </si>
  <si>
    <t>Zvýšenie maximálneho vymeriavacieho základu na 5-násobok priemernej mzdy</t>
  </si>
  <si>
    <t>Zvýšenie maximálneho vymeriavacieho základu na 7-násobok priemernej mzdy</t>
  </si>
  <si>
    <t>Kumulatívne opatrenia na príjmovej strane</t>
  </si>
  <si>
    <t>Výdavky 2015</t>
  </si>
  <si>
    <t>Príjmy 2015</t>
  </si>
  <si>
    <t>Saldo 2015</t>
  </si>
  <si>
    <t>Výdavky 2018</t>
  </si>
  <si>
    <t>Príjmy 2018</t>
  </si>
  <si>
    <t>Saldo 2018</t>
  </si>
  <si>
    <t>Graf 38</t>
  </si>
  <si>
    <t>Graf 39</t>
  </si>
  <si>
    <t>Reálny rast HDP, AR 2015</t>
  </si>
  <si>
    <t>Reálny rast HDP, AR 2018</t>
  </si>
  <si>
    <t>Saldo VS (ESA 2010, v mil. eur)</t>
  </si>
  <si>
    <t>ESA 95</t>
  </si>
  <si>
    <t>Zdroj ESA 95</t>
  </si>
  <si>
    <t>Zdroj ESA 2010</t>
  </si>
  <si>
    <t>Skutočnosť</t>
  </si>
  <si>
    <t xml:space="preserve">
Skutočnosť</t>
  </si>
  <si>
    <t>OS</t>
  </si>
  <si>
    <t>Rozpočet</t>
  </si>
  <si>
    <t>Ciele</t>
  </si>
  <si>
    <t>T0200</t>
  </si>
  <si>
    <t>Daňové príjmy</t>
  </si>
  <si>
    <t>D.2+D.5+D.91</t>
  </si>
  <si>
    <t>suma</t>
  </si>
  <si>
    <t>suma (D2+D5+D91)</t>
  </si>
  <si>
    <t>Dane z produkcie a dovozu</t>
  </si>
  <si>
    <t>T0200 (D2)</t>
  </si>
  <si>
    <t xml:space="preserve"> - Daň z pridanej hodnoty (spolu so zdrojmi EÚ)</t>
  </si>
  <si>
    <t xml:space="preserve">D.211 </t>
  </si>
  <si>
    <t>T0900</t>
  </si>
  <si>
    <t>T0900 (D211)</t>
  </si>
  <si>
    <t xml:space="preserve"> - Spotrebné dane</t>
  </si>
  <si>
    <t xml:space="preserve">D.2122C+D.214A </t>
  </si>
  <si>
    <t>T0900 (D2122C+D214A)</t>
  </si>
  <si>
    <t xml:space="preserve"> - Dovozné clo</t>
  </si>
  <si>
    <t xml:space="preserve">D.2121 </t>
  </si>
  <si>
    <t>T0900 (D2121)</t>
  </si>
  <si>
    <t xml:space="preserve"> - Dane z majetku a iné</t>
  </si>
  <si>
    <t xml:space="preserve">D.29A </t>
  </si>
  <si>
    <t>T0900 (D29A)</t>
  </si>
  <si>
    <t>T0200 (D5)</t>
  </si>
  <si>
    <t xml:space="preserve"> - Daň z príjmov fyzických osôb</t>
  </si>
  <si>
    <t xml:space="preserve">D.51A </t>
  </si>
  <si>
    <t>T0900 (D51A)</t>
  </si>
  <si>
    <t xml:space="preserve"> - zo závislej činnosti</t>
  </si>
  <si>
    <t>rozp. klasif. 111001</t>
  </si>
  <si>
    <t>RK 111001</t>
  </si>
  <si>
    <t xml:space="preserve"> - z podnikania a inej samostatnej zár. činnosti</t>
  </si>
  <si>
    <t>rozp. klasif. 111002</t>
  </si>
  <si>
    <t>RK111002</t>
  </si>
  <si>
    <t xml:space="preserve"> - Daň z príjmov právnických osôb</t>
  </si>
  <si>
    <t xml:space="preserve">D.51B </t>
  </si>
  <si>
    <t>T0900 (D51B)</t>
  </si>
  <si>
    <t xml:space="preserve"> - Daň z príjmov vyberaná zrážkou - rozp. klasif.</t>
  </si>
  <si>
    <t>D.51E</t>
  </si>
  <si>
    <t>T0900 (D51E)</t>
  </si>
  <si>
    <t xml:space="preserve"> - Daň z príjmov - emisie</t>
  </si>
  <si>
    <t>RK 191</t>
  </si>
  <si>
    <t>RK 191 (cash), akrualne dane z IFP</t>
  </si>
  <si>
    <t>D.59A</t>
  </si>
  <si>
    <t>T0900 (D59A)</t>
  </si>
  <si>
    <t>Dane z kapitálu</t>
  </si>
  <si>
    <t>T0200 (D91)</t>
  </si>
  <si>
    <t>suma, T0200 (D61)</t>
  </si>
  <si>
    <t>Skutočné príspevky na sociálne zabezpečenie</t>
  </si>
  <si>
    <t>D.611</t>
  </si>
  <si>
    <t>suma, T0900 (D611+D613)</t>
  </si>
  <si>
    <t xml:space="preserve"> - Príspevky zamestnávateľov</t>
  </si>
  <si>
    <t xml:space="preserve">D.6111 </t>
  </si>
  <si>
    <t>T0900 (D6111+D6112 = D611)</t>
  </si>
  <si>
    <t xml:space="preserve"> - Príspevky zamestnancov</t>
  </si>
  <si>
    <t xml:space="preserve">D.6112 </t>
  </si>
  <si>
    <t>T0900 (D613CE)</t>
  </si>
  <si>
    <t xml:space="preserve"> - Príspevky SZČO a nepracujúcich osôb</t>
  </si>
  <si>
    <t xml:space="preserve">D.6113 </t>
  </si>
  <si>
    <t>T0900 (D613CS+D613CN+D613V)</t>
  </si>
  <si>
    <t>Imputované príspevky na sociálne zabezpečenie</t>
  </si>
  <si>
    <t>D.612</t>
  </si>
  <si>
    <t>T0900 (D612)</t>
  </si>
  <si>
    <t>Nedaňové príjmy</t>
  </si>
  <si>
    <t>Tržby</t>
  </si>
  <si>
    <t>P.11, P.12, P.131</t>
  </si>
  <si>
    <t xml:space="preserve"> - Trhová produkcia + Produkcia pre vlastné konečné použitie</t>
  </si>
  <si>
    <t>T0200 (P1M)</t>
  </si>
  <si>
    <t xml:space="preserve"> - Platby za ostatnú netrhovú produkciu</t>
  </si>
  <si>
    <t>P.131</t>
  </si>
  <si>
    <t>T0200 (P131)</t>
  </si>
  <si>
    <t>Dôchodky z majetku, z ktorých</t>
  </si>
  <si>
    <t>D.4</t>
  </si>
  <si>
    <t>T0200 (D4)</t>
  </si>
  <si>
    <t xml:space="preserve"> - Dividendy</t>
  </si>
  <si>
    <t>D.421 rozp. klasif. 211003</t>
  </si>
  <si>
    <t>D.421 z dotazníka tab 10.1 riadok 46</t>
  </si>
  <si>
    <t>D.421 z dotazníka tab 10.1 riadok 49</t>
  </si>
  <si>
    <t xml:space="preserve"> - Úroky</t>
  </si>
  <si>
    <t>D.41</t>
  </si>
  <si>
    <t>od Antolíka ŠÚ SR</t>
  </si>
  <si>
    <t>T0200 (D41)</t>
  </si>
  <si>
    <t>D.39+D.7+D.9</t>
  </si>
  <si>
    <t>z toho: z EÚ</t>
  </si>
  <si>
    <t>rozp. klasif.</t>
  </si>
  <si>
    <t>RK 341 EU, ktoré ostávajú v schodku, FIN 1-12 za ŠR</t>
  </si>
  <si>
    <t>Ostatné subvencie ma produkciu</t>
  </si>
  <si>
    <t>D.39</t>
  </si>
  <si>
    <t>T0200 (D39R)</t>
  </si>
  <si>
    <t>D.7</t>
  </si>
  <si>
    <t>T0200 (D7)</t>
  </si>
  <si>
    <t>D.9</t>
  </si>
  <si>
    <t>T0200 (D9-D91)</t>
  </si>
  <si>
    <t>Nešpecifikované príjmové opatrenia</t>
  </si>
  <si>
    <t>Bežné výdavky</t>
  </si>
  <si>
    <t>T0200 (D1)</t>
  </si>
  <si>
    <t xml:space="preserve">D.11 </t>
  </si>
  <si>
    <t>od Antolíka ŠÚ SR (D11)</t>
  </si>
  <si>
    <t xml:space="preserve">D.12 </t>
  </si>
  <si>
    <t>od Antolíka ŠÚ SR (D12)</t>
  </si>
  <si>
    <t>T0200 (P2)</t>
  </si>
  <si>
    <t>D.29+D.5</t>
  </si>
  <si>
    <t>T0200+T0200, lebo D.2 = D.29</t>
  </si>
  <si>
    <t>suma (D29+D5)</t>
  </si>
  <si>
    <t>Iné dane z produkcie</t>
  </si>
  <si>
    <t>D.29</t>
  </si>
  <si>
    <t>T0200 (D29)</t>
  </si>
  <si>
    <t>Bežné dane z majetku, atď.</t>
  </si>
  <si>
    <t>D.3</t>
  </si>
  <si>
    <t>T0200 (D3P)</t>
  </si>
  <si>
    <t xml:space="preserve"> - Dotácie do poľnohospodárstva</t>
  </si>
  <si>
    <t>644 - S3 EUOUT</t>
  </si>
  <si>
    <t>RK 644 COFOG 042 bez S3 EU OUT, zdroj ŠR a spolufinancovanie (len EU zdrojov)</t>
  </si>
  <si>
    <t xml:space="preserve"> - Dotácie do dopravy</t>
  </si>
  <si>
    <t>rozp. klasif. 644 a c045</t>
  </si>
  <si>
    <t>RK 644 z toho COFOG 045 bez S3 EU OUT</t>
  </si>
  <si>
    <t xml:space="preserve"> - železničná doprava</t>
  </si>
  <si>
    <t>rozp. klasif. 644 a c0453</t>
  </si>
  <si>
    <t>RK 644 z toho COFOG 0453 bez S3 EU OUT</t>
  </si>
  <si>
    <t xml:space="preserve"> - cestná doprava</t>
  </si>
  <si>
    <t>644 a c045-0453-0454</t>
  </si>
  <si>
    <t>RK 644 z toho COFOG 0451 bez S3 EU OUT</t>
  </si>
  <si>
    <t xml:space="preserve"> - Ostatné</t>
  </si>
  <si>
    <t>reziduál = Subsidies minus Agriultural Subsidies minus Transport Subsidies</t>
  </si>
  <si>
    <t>Dôchodky z majetku</t>
  </si>
  <si>
    <t>Ostatné dôchodky z majetku</t>
  </si>
  <si>
    <t>D.4N</t>
  </si>
  <si>
    <t>T0200 (D4N)</t>
  </si>
  <si>
    <t>D.6</t>
  </si>
  <si>
    <t>D6O = D62+D631, riadok 34 v T0200</t>
  </si>
  <si>
    <t>T0200 (D6M)</t>
  </si>
  <si>
    <t xml:space="preserve"> - Sociálne dávky okrem naturálnych soc. transferov</t>
  </si>
  <si>
    <t>D.62</t>
  </si>
  <si>
    <t>T0200 (D62)</t>
  </si>
  <si>
    <t xml:space="preserve"> - Aktívne opatrenia trhu práce</t>
  </si>
  <si>
    <t>rozp. klasif. 642032</t>
  </si>
  <si>
    <t>RK 642032 zo ŠR, bez EU peňazí</t>
  </si>
  <si>
    <t xml:space="preserve"> - Nemocenské dávky</t>
  </si>
  <si>
    <t>rozp. klasif. 642015</t>
  </si>
  <si>
    <t>RK 642015 z SP</t>
  </si>
  <si>
    <t xml:space="preserve"> - Dôchodkové dávky zo starobného a invalidného poistenia</t>
  </si>
  <si>
    <t>rozp. klasif. 642016+20</t>
  </si>
  <si>
    <t>RK 642016+RK 642020 z SP</t>
  </si>
  <si>
    <t>RK 642016+RK 642020 z SP + to isté z MRU</t>
  </si>
  <si>
    <t xml:space="preserve"> - Dávky v nezamestnanosti</t>
  </si>
  <si>
    <t>rozp. klasif. 642033</t>
  </si>
  <si>
    <t>RK 642033 z SP</t>
  </si>
  <si>
    <t xml:space="preserve"> - Štátne sociálne dávky a podpora</t>
  </si>
  <si>
    <t>rozp. klasif. 642018-42</t>
  </si>
  <si>
    <t>RK 642018 až RK 642027 + RK642037 až RK 642042 zo ŠR</t>
  </si>
  <si>
    <t xml:space="preserve"> - na prídavok na dieťa</t>
  </si>
  <si>
    <t>rozp. klasif. 642019</t>
  </si>
  <si>
    <t>RK 642019 zo ŠR</t>
  </si>
  <si>
    <t xml:space="preserve"> - na príspevok pri narodení dieťaťa a prísp. rodičom</t>
  </si>
  <si>
    <t>rozp. klasif. 642022</t>
  </si>
  <si>
    <t>RK 642022 zo ŠR</t>
  </si>
  <si>
    <t xml:space="preserve"> - na rodičovský príspevok</t>
  </si>
  <si>
    <t>rozp. klasif. 642041</t>
  </si>
  <si>
    <t>RK 642041 zo ŠR</t>
  </si>
  <si>
    <t xml:space="preserve"> - na dávku v hmotnej núdzi a príspevky k dávke</t>
  </si>
  <si>
    <t>rozp. klasif. 642026</t>
  </si>
  <si>
    <t>RK 642026 zo ŠR</t>
  </si>
  <si>
    <t xml:space="preserve"> - na peňažné príspevky na kompenzáciu</t>
  </si>
  <si>
    <t>rozp. klasif. 642027</t>
  </si>
  <si>
    <t>RK 642027 zo ŠR</t>
  </si>
  <si>
    <t>RK 642018 až RK 642027 + RK642037 až RK 642042 zo ŠR minus (RK 642019+22+41+26+27)</t>
  </si>
  <si>
    <t xml:space="preserve"> - Platené poistné za skupiny osôb ustanovené zákonom</t>
  </si>
  <si>
    <t>rozp. klasif. 642031</t>
  </si>
  <si>
    <t>RK 642031</t>
  </si>
  <si>
    <t xml:space="preserve"> - sociálne poistenie</t>
  </si>
  <si>
    <t>rozp. klasif. 642031 c10</t>
  </si>
  <si>
    <t>RK 642031 z kapitoly Ministerstva práce</t>
  </si>
  <si>
    <t xml:space="preserve"> - zdravotné poistenie</t>
  </si>
  <si>
    <t>v 642031 c07</t>
  </si>
  <si>
    <t>RK 642031 z kapitoly Ministerstva zdravotníctva</t>
  </si>
  <si>
    <t xml:space="preserve"> - Naturálne sociálne transfery (zdravotnícke zariadenia)</t>
  </si>
  <si>
    <t>D.631</t>
  </si>
  <si>
    <t>T0200 (D631M)</t>
  </si>
  <si>
    <t>T0200 (D632)</t>
  </si>
  <si>
    <t>z toho: Odvody do rozpočtu EÚ</t>
  </si>
  <si>
    <t>rozp. klasif. 649005</t>
  </si>
  <si>
    <t xml:space="preserve">RK 649005 </t>
  </si>
  <si>
    <t>z toho: 2% z daní na verejnoprospešný účel</t>
  </si>
  <si>
    <t>RK 111004+RK 112001</t>
  </si>
  <si>
    <t>Kapitálové výdavky</t>
  </si>
  <si>
    <t>Kapitálové investície</t>
  </si>
  <si>
    <t>P.5+K.2</t>
  </si>
  <si>
    <t>T0200+T0200</t>
  </si>
  <si>
    <t>suma, T0200(P5L)</t>
  </si>
  <si>
    <t xml:space="preserve"> - Tvorba hrubého fixného kapitálu</t>
  </si>
  <si>
    <t>P.51</t>
  </si>
  <si>
    <t>T0200 (P51G)</t>
  </si>
  <si>
    <t xml:space="preserve"> - Zmena stavu zásob a nadobudnutie mínus úbytok cenností</t>
  </si>
  <si>
    <t>P.52+P.53</t>
  </si>
  <si>
    <t>T0200 (P5N)</t>
  </si>
  <si>
    <t>T0200 (P5M)</t>
  </si>
  <si>
    <t xml:space="preserve"> - Nadobudnutie mínus úbytok nefinančných neprodukovaných aktív</t>
  </si>
  <si>
    <t>K.2</t>
  </si>
  <si>
    <t>T0200 (NP)</t>
  </si>
  <si>
    <t>T0200 (D9)</t>
  </si>
  <si>
    <t xml:space="preserve"> - Investičné dotácie a ostatné kapitálové transfery</t>
  </si>
  <si>
    <t>D.92+D.99</t>
  </si>
  <si>
    <t>T0200, D.92+D.99=D9</t>
  </si>
  <si>
    <t>Nešpecifikované výdavkové opatrenia</t>
  </si>
  <si>
    <t>Čisté pôžičky poskytnuté / prijaté</t>
  </si>
  <si>
    <t>usetrene</t>
  </si>
  <si>
    <t>minute</t>
  </si>
  <si>
    <t>kumul usetrene</t>
  </si>
  <si>
    <t>kumul minute</t>
  </si>
  <si>
    <r>
      <t>TFP</t>
    </r>
    <r>
      <rPr>
        <b/>
        <vertAlign val="superscript"/>
        <sz val="10"/>
        <color theme="1"/>
        <rFont val="Arial Narrow"/>
        <family val="2"/>
        <charset val="238"/>
      </rPr>
      <t>*</t>
    </r>
  </si>
  <si>
    <t>Výpočet plnenia výdavkového pravidla  - zdrojová</t>
  </si>
  <si>
    <t>Likvidné finančné aktíva</t>
  </si>
  <si>
    <r>
      <t>Prognóza HDP</t>
    </r>
    <r>
      <rPr>
        <vertAlign val="superscript"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- Výbor, september 2017</t>
    </r>
  </si>
  <si>
    <t xml:space="preserve">** saldo VS po zohľadnení potrebných opatrení na dosiahnutie cieľa  </t>
  </si>
  <si>
    <r>
      <t xml:space="preserve">    Dopravné projekty</t>
    </r>
    <r>
      <rPr>
        <sz val="10"/>
        <color rgb="FF000000"/>
        <rFont val="Arial Narrow"/>
        <family val="2"/>
        <charset val="238"/>
      </rPr>
      <t xml:space="preserve"> (MDV SR - SSC)</t>
    </r>
  </si>
  <si>
    <r>
      <t xml:space="preserve">    Rekonštrukcia a modernizácia budov</t>
    </r>
    <r>
      <rPr>
        <sz val="10"/>
        <color rgb="FF000000"/>
        <rFont val="Arial Narrow"/>
        <family val="2"/>
        <charset val="238"/>
      </rPr>
      <t xml:space="preserve"> (MPRV SR)</t>
    </r>
  </si>
  <si>
    <t>TABUĽKA 15 - Penzijné opatrenia prijaté po reforme z roku 2012 a ich vplyv na hospodárenie VS (mil. eur )</t>
  </si>
  <si>
    <r>
      <t xml:space="preserve">Zdravotníctvo (2016) - </t>
    </r>
    <r>
      <rPr>
        <sz val="10"/>
        <color rgb="FF000000"/>
        <rFont val="Arial Narrow"/>
        <family val="2"/>
        <charset val="238"/>
      </rPr>
      <t>Opatrenia znižujúce výdavky VZP</t>
    </r>
  </si>
  <si>
    <r>
      <t xml:space="preserve">Zdravotníctvo (2016) - </t>
    </r>
    <r>
      <rPr>
        <sz val="10"/>
        <color rgb="FF000000"/>
        <rFont val="Arial Narrow"/>
        <family val="2"/>
        <charset val="238"/>
      </rPr>
      <t>Opatrenia znižujúce výdavky nemocníc (podriadených organizácií MZ SR)</t>
    </r>
  </si>
  <si>
    <r>
      <t xml:space="preserve">Životné prostredie (2017) - </t>
    </r>
    <r>
      <rPr>
        <sz val="10"/>
        <color rgb="FF000000"/>
        <rFont val="Arial Narrow"/>
        <family val="2"/>
        <charset val="238"/>
      </rPr>
      <t>Zrušenie oslobodení v spotrebných daniach a iné opatrenia</t>
    </r>
  </si>
  <si>
    <r>
      <t>Potenciálna ročná úspora</t>
    </r>
    <r>
      <rPr>
        <i/>
        <vertAlign val="superscript"/>
        <sz val="10"/>
        <color rgb="FF000000"/>
        <rFont val="Arial Narrow"/>
        <family val="2"/>
        <charset val="238"/>
      </rPr>
      <t>*</t>
    </r>
  </si>
  <si>
    <t>GRAF 20 - Zmena hrubého dlhu (% HDP)</t>
  </si>
  <si>
    <t>GRAF 21: Porovnanie vývoja príjmov VS (% HDP)</t>
  </si>
  <si>
    <t>GRAF 22 - Porovnanie vývoja daní a odvodov VS (% HDP)</t>
  </si>
  <si>
    <t>GRAF 23 - Podiel daní na HDP (% HDP)</t>
  </si>
  <si>
    <t xml:space="preserve">GRAF 24 - Daňový mix podľa vplyvu jednotlivých daní na potenciál ekonomiky (% z daňových príjmov) </t>
  </si>
  <si>
    <t>GRAF 25 - Efektívne zdanenie dividend v EÚ (2016, 2017-SK, %)</t>
  </si>
  <si>
    <t>GRAF 26 - Daňový klin, jednotlivec, príjem 50% a 100% priemernej mzdy v roku 2016 (v % nákladov práce)</t>
  </si>
  <si>
    <t>GRAF 27 - Daňová medzera na DPH (% potenciálneho výnosu)</t>
  </si>
  <si>
    <t>GRAF 28 - Indikátor efektivity výberu DPH  (v %)</t>
  </si>
  <si>
    <t>GRAF 29 - Efektívna daňová sadzba DPPO (výber dane na čistom a hrubom prevádzkovom prebytku)</t>
  </si>
  <si>
    <t>GRAF 30 - Porovnanie vývoja daňovej medzery na DPH a DPPO  (% potenciálneho výnosu)</t>
  </si>
  <si>
    <t>GRAF 31: Porovnanie vývoja výdavkov VS (% HDP)</t>
  </si>
  <si>
    <t>GRAF 32: Porovnanie vývoja kapitálových výdavkov VS (% HDP)</t>
  </si>
  <si>
    <t xml:space="preserve">GRAF 33: Porovnanie výdavkov verejnej správy podľa klasifikácie COFOG (zmeny v p. b. HDP) </t>
  </si>
  <si>
    <t>GRAF 34 – Porovnanie schodkov v Návrhu rozpočtu verejnej správy a stanovených fiškálnych cieľov</t>
  </si>
  <si>
    <t>GRAF 37 - Porovnanie príjmov a výdavkov penzijného systému, podľa pôvodnej a aktuálnej projekcie (% HDP)</t>
  </si>
  <si>
    <t>GRAF 38 - Reálny rast HDP podľa pôvodnej a revidovanej projekcie (%)</t>
  </si>
  <si>
    <t>GRAF 39 - Výdavky posúdené revíziou výdavkov (2016 až 2017) (mil. eur a % HDP)</t>
  </si>
  <si>
    <t>GRAF 40 - Verejné výdavky na vzdelávanie (2006 až 2015 a prognóza do roku 2020, metodika COFOG)</t>
  </si>
  <si>
    <t>GRAF 41 - Výsledky testovania PISA – priemer testovaných predmetov</t>
  </si>
  <si>
    <t>GRAF 42 - Pomer platov pedagogických zamestnancov a zamestnancov 
s vysokoškolským vzdelaním podľa veku (%, 2014)</t>
  </si>
  <si>
    <t>GRAF 43 - Skupina ukazovateľov sledujúca ciele v životnom prostredí</t>
  </si>
  <si>
    <t>GRAF 44 - Priemerný podiel celkových výdavkov na jednotlivé oblasti v rokoch 2010 – 2016</t>
  </si>
  <si>
    <t>GRAF 45 - Priemerný rast výdavkov verejnej správy (v %)</t>
  </si>
  <si>
    <t>GRAF 46 - Verejné výdavky na životné prostredie (v % HDP a % celkových verejných výdavkov, COFOG 05)</t>
  </si>
  <si>
    <t>GRAF 47 - Miera zamestnanosti (% v skupine 20-64 rokov)</t>
  </si>
  <si>
    <t>GRAF 48 - Miera rizika chudoby po sociálnych transferoch (%)</t>
  </si>
  <si>
    <t>GRAF 49 - Verejné výdavky na sociálne zabezpečenie v roku 2015 (% HDP)</t>
  </si>
  <si>
    <t>GRAF 50 - Výdavky MPSVR v roku 2018 (v mil. eur)</t>
  </si>
  <si>
    <t>GRAF 52: Príspevky faktorov k revízii štrukturálneho salda</t>
  </si>
  <si>
    <t>GRAF 51: Porovnanie štrukturálneho salda podľa Programu stability a Návrhu rozpočtového plánu</t>
  </si>
  <si>
    <t>Box 6 _ Tab 9 + Graf 20</t>
  </si>
  <si>
    <t>Graf 21 + 22</t>
  </si>
  <si>
    <t>Graf 23 + 24</t>
  </si>
  <si>
    <t>Graf 25 + 26</t>
  </si>
  <si>
    <t>Graf 27 + 28</t>
  </si>
  <si>
    <t>Graf 29 + 30</t>
  </si>
  <si>
    <t>Graf 31 + 32</t>
  </si>
  <si>
    <t>Graf 33 + Tabuľka 10</t>
  </si>
  <si>
    <t>Graf 34</t>
  </si>
  <si>
    <t>Graf 35 + 36</t>
  </si>
  <si>
    <t>BOX 11_Tabuľka 15</t>
  </si>
  <si>
    <t>Box 11_Graf 37 + 38</t>
  </si>
  <si>
    <t>Graf 40 + 41 + 42</t>
  </si>
  <si>
    <t xml:space="preserve">Tabuľka 18 </t>
  </si>
  <si>
    <t>Graf 43 + 44</t>
  </si>
  <si>
    <t>Graf 45 + 46</t>
  </si>
  <si>
    <t>Graf 47 + 48</t>
  </si>
  <si>
    <t>Graf 49 + 50</t>
  </si>
  <si>
    <t xml:space="preserve">Tabuľka 20 </t>
  </si>
  <si>
    <t>Graf 51 + 52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</si>
</sst>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\ _€_-;\-* #,##0.00\ _€_-;_-* &quot;-&quot;??\ _€_-;_-@_-"/>
    <numFmt numFmtId="164" formatCode="[$-409]mmm\-yy;@"/>
    <numFmt numFmtId="165" formatCode="0.0"/>
    <numFmt numFmtId="166" formatCode="#,##0.0"/>
    <numFmt numFmtId="167" formatCode="#,##0_ ;[Red]\-#,##0\ "/>
    <numFmt numFmtId="168" formatCode="0.0%"/>
    <numFmt numFmtId="169" formatCode="_-[$€-2]* #,##0.00_-;\-[$€-2]* #,##0.00_-;_-[$€-2]* &quot;-&quot;??_-"/>
    <numFmt numFmtId="170" formatCode="_-* #,##0.0\ _€_-;\-* #,##0.0\ _€_-;_-* &quot;-&quot;??\ _€_-;_-@_-"/>
    <numFmt numFmtId="171" formatCode="_-* #,##0.00\ _S_k_-;\-* #,##0.00\ _S_k_-;_-* &quot;-&quot;??\ _S_k_-;_-@_-"/>
    <numFmt numFmtId="172" formatCode="#,##0.000"/>
    <numFmt numFmtId="173" formatCode="&quot; &quot;#,##0.00&quot; &quot;;&quot;-&quot;#,##0.00&quot; &quot;;&quot; -&quot;00&quot; &quot;;&quot; &quot;@&quot; &quot;"/>
    <numFmt numFmtId="174" formatCode="0.000"/>
    <numFmt numFmtId="175" formatCode="0.000000"/>
    <numFmt numFmtId="176" formatCode="#,##0.0_ ;\-#,##0.0\ "/>
    <numFmt numFmtId="177" formatCode="#,##0&quot; mil. eur&quot;"/>
    <numFmt numFmtId="178" formatCode="#,##0.0_ ;\-#,##0.0\ &quot;mil. eur&quot;"/>
    <numFmt numFmtId="179" formatCode="0.000%"/>
    <numFmt numFmtId="180" formatCode="#,##0.0000"/>
    <numFmt numFmtId="181" formatCode="_-* #,##0\ _€_-;\-* #,##0\ _€_-;_-* &quot;-&quot;??\ _€_-;_-@_-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 Narrow"/>
      <family val="2"/>
    </font>
    <font>
      <sz val="11"/>
      <name val="Arial"/>
      <family val="2"/>
      <charset val="238"/>
    </font>
    <font>
      <sz val="11"/>
      <color indexed="8"/>
      <name val="Arial Narrow"/>
      <family val="2"/>
      <charset val="238"/>
    </font>
    <font>
      <sz val="10"/>
      <name val="Garamond"/>
      <family val="1"/>
      <charset val="238"/>
    </font>
    <font>
      <sz val="11"/>
      <color theme="1"/>
      <name val="Garamond"/>
      <family val="2"/>
      <charset val="238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FFFFFF"/>
      <name val="Calibri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1F497D"/>
      <name val="Arial"/>
      <family val="2"/>
      <charset val="238"/>
    </font>
    <font>
      <u/>
      <sz val="10"/>
      <color rgb="FF800080"/>
      <name val="Arial"/>
      <family val="2"/>
      <charset val="238"/>
    </font>
    <font>
      <sz val="10"/>
      <color rgb="FF9C000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rgb="FF2C9ADC"/>
      <name val="Arial Narrow"/>
      <family val="2"/>
      <charset val="238"/>
    </font>
    <font>
      <b/>
      <sz val="10"/>
      <color rgb="FF00B0F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 tint="0.499984740745262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i/>
      <sz val="10"/>
      <color rgb="FF000000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0" tint="-0.249977111117893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  <font>
      <sz val="10"/>
      <color theme="0" tint="-0.34998626667073579"/>
      <name val="Arial Narrow"/>
      <family val="2"/>
      <charset val="238"/>
    </font>
    <font>
      <sz val="10"/>
      <color rgb="FF5B9BD5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color rgb="FF2C9ADC"/>
      <name val="Arial Narrow"/>
      <family val="2"/>
      <charset val="238"/>
    </font>
    <font>
      <i/>
      <vertAlign val="superscript"/>
      <sz val="10"/>
      <color rgb="FF000000"/>
      <name val="Arial Narrow"/>
      <family val="2"/>
      <charset val="238"/>
    </font>
    <font>
      <sz val="10"/>
      <color rgb="FFFFFFFF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5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73">
    <xf numFmtId="0" fontId="0" fillId="0" borderId="0"/>
    <xf numFmtId="0" fontId="13" fillId="0" borderId="0"/>
    <xf numFmtId="0" fontId="14" fillId="0" borderId="0"/>
    <xf numFmtId="0" fontId="13" fillId="0" borderId="0"/>
    <xf numFmtId="0" fontId="15" fillId="0" borderId="0" applyNumberFormat="0" applyFill="0" applyBorder="0" applyAlignment="0" applyProtection="0"/>
    <xf numFmtId="0" fontId="16" fillId="0" borderId="0"/>
    <xf numFmtId="164" fontId="17" fillId="0" borderId="0"/>
    <xf numFmtId="9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9" fillId="0" borderId="0"/>
    <xf numFmtId="0" fontId="9" fillId="0" borderId="0"/>
    <xf numFmtId="9" fontId="12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9" fontId="16" fillId="0" borderId="0"/>
    <xf numFmtId="0" fontId="12" fillId="0" borderId="0"/>
    <xf numFmtId="0" fontId="8" fillId="0" borderId="0"/>
    <xf numFmtId="0" fontId="20" fillId="0" borderId="0"/>
    <xf numFmtId="9" fontId="20" fillId="0" borderId="0" applyFont="0" applyFill="0" applyBorder="0" applyAlignment="0" applyProtection="0"/>
    <xf numFmtId="0" fontId="18" fillId="0" borderId="0"/>
    <xf numFmtId="0" fontId="10" fillId="0" borderId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14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16" fillId="0" borderId="0"/>
    <xf numFmtId="0" fontId="23" fillId="0" borderId="0"/>
    <xf numFmtId="17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7" fillId="0" borderId="35" applyNumberFormat="0" applyFill="0" applyAlignment="0" applyProtection="0"/>
    <xf numFmtId="0" fontId="29" fillId="7" borderId="0" applyNumberFormat="0" applyBorder="0" applyAlignment="0" applyProtection="0"/>
    <xf numFmtId="0" fontId="26" fillId="6" borderId="34" applyNumberFormat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3" fillId="0" borderId="0" applyNumberFormat="0" applyBorder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0"/>
    <xf numFmtId="0" fontId="5" fillId="0" borderId="0"/>
    <xf numFmtId="0" fontId="14" fillId="0" borderId="0"/>
    <xf numFmtId="0" fontId="4" fillId="0" borderId="0"/>
    <xf numFmtId="0" fontId="22" fillId="0" borderId="0"/>
    <xf numFmtId="0" fontId="3" fillId="0" borderId="0"/>
    <xf numFmtId="0" fontId="31" fillId="0" borderId="0"/>
    <xf numFmtId="9" fontId="22" fillId="0" borderId="0" applyFont="0" applyFill="0" applyBorder="0" applyAlignment="0" applyProtection="0"/>
    <xf numFmtId="0" fontId="18" fillId="0" borderId="0"/>
    <xf numFmtId="0" fontId="22" fillId="0" borderId="0"/>
    <xf numFmtId="171" fontId="22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20" fillId="0" borderId="0"/>
    <xf numFmtId="0" fontId="20" fillId="0" borderId="0"/>
    <xf numFmtId="0" fontId="10" fillId="0" borderId="0"/>
    <xf numFmtId="9" fontId="10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1" fillId="0" borderId="0"/>
    <xf numFmtId="0" fontId="19" fillId="0" borderId="0"/>
  </cellStyleXfs>
  <cellXfs count="881">
    <xf numFmtId="0" fontId="0" fillId="0" borderId="0" xfId="0"/>
    <xf numFmtId="0" fontId="35" fillId="0" borderId="33" xfId="0" applyFont="1" applyBorder="1" applyAlignment="1">
      <alignment vertical="center"/>
    </xf>
    <xf numFmtId="0" fontId="36" fillId="0" borderId="12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2" fontId="36" fillId="0" borderId="4" xfId="0" applyNumberFormat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165" fontId="37" fillId="0" borderId="9" xfId="0" applyNumberFormat="1" applyFont="1" applyBorder="1" applyAlignment="1">
      <alignment horizontal="center" vertical="center"/>
    </xf>
    <xf numFmtId="165" fontId="37" fillId="0" borderId="0" xfId="0" applyNumberFormat="1" applyFont="1" applyBorder="1" applyAlignment="1">
      <alignment horizontal="center" vertical="center"/>
    </xf>
    <xf numFmtId="165" fontId="37" fillId="0" borderId="10" xfId="0" applyNumberFormat="1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/>
    </xf>
    <xf numFmtId="0" fontId="37" fillId="0" borderId="33" xfId="0" applyFont="1" applyFill="1" applyBorder="1" applyAlignment="1">
      <alignment horizontal="center" vertical="center"/>
    </xf>
    <xf numFmtId="165" fontId="37" fillId="0" borderId="32" xfId="0" applyNumberFormat="1" applyFont="1" applyBorder="1" applyAlignment="1">
      <alignment horizontal="center" vertical="center"/>
    </xf>
    <xf numFmtId="165" fontId="37" fillId="0" borderId="5" xfId="0" applyNumberFormat="1" applyFont="1" applyBorder="1" applyAlignment="1">
      <alignment horizontal="center" vertical="center"/>
    </xf>
    <xf numFmtId="165" fontId="37" fillId="0" borderId="38" xfId="0" applyNumberFormat="1" applyFont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165" fontId="37" fillId="0" borderId="7" xfId="0" applyNumberFormat="1" applyFont="1" applyBorder="1" applyAlignment="1">
      <alignment horizontal="center" vertical="center"/>
    </xf>
    <xf numFmtId="165" fontId="37" fillId="0" borderId="4" xfId="0" applyNumberFormat="1" applyFont="1" applyBorder="1" applyAlignment="1">
      <alignment horizontal="center" vertical="center"/>
    </xf>
    <xf numFmtId="165" fontId="37" fillId="0" borderId="13" xfId="0" applyNumberFormat="1" applyFont="1" applyBorder="1" applyAlignment="1">
      <alignment horizontal="center" vertical="center"/>
    </xf>
    <xf numFmtId="165" fontId="37" fillId="0" borderId="4" xfId="0" applyNumberFormat="1" applyFont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2" fontId="36" fillId="0" borderId="4" xfId="0" applyNumberFormat="1" applyFont="1" applyFill="1" applyBorder="1" applyAlignment="1">
      <alignment horizontal="center" vertical="center"/>
    </xf>
    <xf numFmtId="2" fontId="36" fillId="0" borderId="13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wrapText="1"/>
    </xf>
    <xf numFmtId="0" fontId="36" fillId="0" borderId="6" xfId="0" applyFont="1" applyBorder="1" applyAlignment="1">
      <alignment vertical="center"/>
    </xf>
    <xf numFmtId="0" fontId="36" fillId="0" borderId="4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5" xfId="0" applyFont="1" applyFill="1" applyBorder="1" applyAlignment="1">
      <alignment vertical="center"/>
    </xf>
    <xf numFmtId="0" fontId="37" fillId="0" borderId="4" xfId="0" applyFont="1" applyFill="1" applyBorder="1" applyAlignment="1">
      <alignment vertical="center"/>
    </xf>
    <xf numFmtId="0" fontId="36" fillId="0" borderId="4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left" vertical="center" indent="1"/>
    </xf>
    <xf numFmtId="0" fontId="10" fillId="0" borderId="0" xfId="0" applyFont="1"/>
    <xf numFmtId="165" fontId="10" fillId="0" borderId="0" xfId="0" applyNumberFormat="1" applyFont="1"/>
    <xf numFmtId="165" fontId="36" fillId="0" borderId="7" xfId="0" applyNumberFormat="1" applyFont="1" applyBorder="1" applyAlignment="1">
      <alignment horizontal="center" vertical="center"/>
    </xf>
    <xf numFmtId="165" fontId="36" fillId="0" borderId="4" xfId="0" applyNumberFormat="1" applyFont="1" applyBorder="1" applyAlignment="1">
      <alignment horizontal="center" vertical="center"/>
    </xf>
    <xf numFmtId="165" fontId="36" fillId="0" borderId="13" xfId="0" applyNumberFormat="1" applyFont="1" applyBorder="1" applyAlignment="1">
      <alignment horizontal="center" vertical="center"/>
    </xf>
    <xf numFmtId="165" fontId="36" fillId="0" borderId="4" xfId="0" applyNumberFormat="1" applyFont="1" applyFill="1" applyBorder="1" applyAlignment="1">
      <alignment horizontal="center" vertical="center"/>
    </xf>
    <xf numFmtId="165" fontId="36" fillId="0" borderId="13" xfId="0" applyNumberFormat="1" applyFont="1" applyFill="1" applyBorder="1" applyAlignment="1">
      <alignment horizontal="center" vertical="center"/>
    </xf>
    <xf numFmtId="0" fontId="38" fillId="0" borderId="49" xfId="0" applyFont="1" applyFill="1" applyBorder="1"/>
    <xf numFmtId="0" fontId="38" fillId="0" borderId="49" xfId="0" applyFont="1" applyFill="1" applyBorder="1" applyAlignment="1">
      <alignment horizontal="center"/>
    </xf>
    <xf numFmtId="0" fontId="38" fillId="0" borderId="0" xfId="0" applyFont="1"/>
    <xf numFmtId="2" fontId="38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5" fontId="38" fillId="0" borderId="0" xfId="0" applyNumberFormat="1" applyFont="1" applyFill="1" applyBorder="1" applyAlignment="1">
      <alignment horizontal="center" vertical="center"/>
    </xf>
    <xf numFmtId="0" fontId="38" fillId="11" borderId="2" xfId="0" applyFont="1" applyFill="1" applyBorder="1"/>
    <xf numFmtId="165" fontId="38" fillId="11" borderId="2" xfId="0" applyNumberFormat="1" applyFont="1" applyFill="1" applyBorder="1" applyAlignment="1">
      <alignment horizontal="center" vertical="center"/>
    </xf>
    <xf numFmtId="0" fontId="10" fillId="0" borderId="2" xfId="0" applyFont="1" applyBorder="1"/>
    <xf numFmtId="165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165" fontId="39" fillId="0" borderId="0" xfId="0" applyNumberFormat="1" applyFont="1" applyAlignment="1">
      <alignment horizontal="center" vertical="center"/>
    </xf>
    <xf numFmtId="0" fontId="38" fillId="0" borderId="2" xfId="0" applyFont="1" applyBorder="1"/>
    <xf numFmtId="165" fontId="39" fillId="0" borderId="2" xfId="0" applyNumberFormat="1" applyFont="1" applyBorder="1" applyAlignment="1">
      <alignment horizontal="center" vertical="center"/>
    </xf>
    <xf numFmtId="0" fontId="10" fillId="0" borderId="49" xfId="0" applyFont="1" applyFill="1" applyBorder="1"/>
    <xf numFmtId="0" fontId="38" fillId="0" borderId="49" xfId="0" applyFont="1" applyFill="1" applyBorder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horizontal="center" vertical="center" wrapText="1"/>
    </xf>
    <xf numFmtId="3" fontId="38" fillId="0" borderId="0" xfId="0" applyNumberFormat="1" applyFont="1" applyFill="1" applyBorder="1" applyAlignment="1">
      <alignment vertical="center"/>
    </xf>
    <xf numFmtId="0" fontId="37" fillId="0" borderId="0" xfId="0" applyFont="1" applyAlignment="1">
      <alignment vertical="center"/>
    </xf>
    <xf numFmtId="3" fontId="37" fillId="0" borderId="0" xfId="0" applyNumberFormat="1" applyFont="1" applyFill="1" applyAlignment="1">
      <alignment vertical="center"/>
    </xf>
    <xf numFmtId="0" fontId="37" fillId="0" borderId="0" xfId="0" applyFont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 wrapText="1"/>
    </xf>
    <xf numFmtId="0" fontId="40" fillId="0" borderId="0" xfId="0" applyFont="1" applyFill="1" applyAlignment="1">
      <alignment vertical="center" wrapText="1"/>
    </xf>
    <xf numFmtId="0" fontId="37" fillId="0" borderId="0" xfId="0" applyFont="1" applyAlignment="1">
      <alignment vertical="center" wrapText="1"/>
    </xf>
    <xf numFmtId="0" fontId="37" fillId="0" borderId="0" xfId="0" applyFont="1" applyFill="1" applyAlignment="1">
      <alignment vertical="center"/>
    </xf>
    <xf numFmtId="0" fontId="36" fillId="0" borderId="28" xfId="0" applyFont="1" applyBorder="1" applyAlignment="1">
      <alignment vertical="center" wrapText="1"/>
    </xf>
    <xf numFmtId="0" fontId="37" fillId="0" borderId="28" xfId="0" applyFont="1" applyBorder="1" applyAlignment="1">
      <alignment horizontal="center" vertical="center" wrapText="1"/>
    </xf>
    <xf numFmtId="3" fontId="36" fillId="0" borderId="28" xfId="0" applyNumberFormat="1" applyFont="1" applyFill="1" applyBorder="1" applyAlignment="1">
      <alignment vertical="center"/>
    </xf>
    <xf numFmtId="0" fontId="37" fillId="0" borderId="50" xfId="0" applyFont="1" applyBorder="1" applyAlignment="1">
      <alignment vertical="center" wrapText="1"/>
    </xf>
    <xf numFmtId="0" fontId="37" fillId="0" borderId="50" xfId="0" applyFont="1" applyBorder="1" applyAlignment="1">
      <alignment horizontal="center" vertical="center" wrapText="1"/>
    </xf>
    <xf numFmtId="3" fontId="37" fillId="0" borderId="50" xfId="0" applyNumberFormat="1" applyFont="1" applyFill="1" applyBorder="1" applyAlignment="1">
      <alignment vertical="center"/>
    </xf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5" fontId="37" fillId="0" borderId="27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165" fontId="37" fillId="0" borderId="0" xfId="0" applyNumberFormat="1" applyFont="1" applyFill="1" applyBorder="1" applyAlignment="1">
      <alignment vertical="center"/>
    </xf>
    <xf numFmtId="0" fontId="37" fillId="0" borderId="3" xfId="0" applyFont="1" applyBorder="1" applyAlignment="1">
      <alignment vertical="center" wrapText="1"/>
    </xf>
    <xf numFmtId="0" fontId="37" fillId="0" borderId="3" xfId="0" applyFont="1" applyBorder="1" applyAlignment="1">
      <alignment horizontal="center" vertical="center" wrapText="1"/>
    </xf>
    <xf numFmtId="165" fontId="37" fillId="0" borderId="3" xfId="0" applyNumberFormat="1" applyFont="1" applyFill="1" applyBorder="1" applyAlignment="1">
      <alignment vertical="center"/>
    </xf>
    <xf numFmtId="0" fontId="37" fillId="0" borderId="2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vertical="center" wrapText="1"/>
    </xf>
    <xf numFmtId="0" fontId="36" fillId="0" borderId="3" xfId="0" applyFont="1" applyFill="1" applyBorder="1" applyAlignment="1">
      <alignment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vertical="center" wrapText="1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165" fontId="42" fillId="0" borderId="0" xfId="0" applyNumberFormat="1" applyFont="1" applyFill="1" applyBorder="1" applyAlignment="1">
      <alignment vertical="center"/>
    </xf>
    <xf numFmtId="0" fontId="10" fillId="0" borderId="0" xfId="0" applyFont="1" applyFill="1"/>
    <xf numFmtId="165" fontId="10" fillId="0" borderId="0" xfId="0" applyNumberFormat="1" applyFont="1" applyFill="1"/>
    <xf numFmtId="0" fontId="38" fillId="0" borderId="2" xfId="0" applyFont="1" applyFill="1" applyBorder="1" applyAlignment="1">
      <alignment horizontal="center"/>
    </xf>
    <xf numFmtId="2" fontId="10" fillId="0" borderId="0" xfId="0" applyNumberFormat="1" applyFont="1" applyFill="1" applyAlignment="1">
      <alignment horizontal="center" vertical="center"/>
    </xf>
    <xf numFmtId="0" fontId="10" fillId="0" borderId="51" xfId="0" applyFont="1" applyBorder="1"/>
    <xf numFmtId="3" fontId="38" fillId="0" borderId="51" xfId="0" applyNumberFormat="1" applyFont="1" applyBorder="1" applyAlignment="1">
      <alignment horizontal="center" vertical="center"/>
    </xf>
    <xf numFmtId="0" fontId="44" fillId="0" borderId="54" xfId="0" applyFont="1" applyFill="1" applyBorder="1" applyAlignment="1">
      <alignment horizontal="center"/>
    </xf>
    <xf numFmtId="3" fontId="38" fillId="0" borderId="0" xfId="0" applyNumberFormat="1" applyFont="1" applyAlignment="1">
      <alignment horizontal="center"/>
    </xf>
    <xf numFmtId="0" fontId="45" fillId="0" borderId="54" xfId="0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0" fontId="42" fillId="0" borderId="0" xfId="0" applyFont="1" applyAlignment="1">
      <alignment horizontal="left" indent="1"/>
    </xf>
    <xf numFmtId="0" fontId="46" fillId="0" borderId="54" xfId="0" applyFont="1" applyFill="1" applyBorder="1" applyAlignment="1">
      <alignment horizontal="center"/>
    </xf>
    <xf numFmtId="3" fontId="42" fillId="0" borderId="0" xfId="0" applyNumberFormat="1" applyFont="1" applyAlignment="1">
      <alignment horizontal="center"/>
    </xf>
    <xf numFmtId="0" fontId="42" fillId="0" borderId="2" xfId="0" applyFont="1" applyBorder="1" applyAlignment="1">
      <alignment horizontal="left" indent="1"/>
    </xf>
    <xf numFmtId="0" fontId="46" fillId="0" borderId="55" xfId="0" applyFont="1" applyFill="1" applyBorder="1" applyAlignment="1">
      <alignment horizontal="center"/>
    </xf>
    <xf numFmtId="3" fontId="42" fillId="0" borderId="2" xfId="0" applyNumberFormat="1" applyFont="1" applyBorder="1" applyAlignment="1">
      <alignment horizontal="center"/>
    </xf>
    <xf numFmtId="3" fontId="38" fillId="0" borderId="2" xfId="0" applyNumberFormat="1" applyFont="1" applyBorder="1" applyAlignment="1">
      <alignment horizontal="center"/>
    </xf>
    <xf numFmtId="0" fontId="38" fillId="0" borderId="51" xfId="0" applyFont="1" applyBorder="1"/>
    <xf numFmtId="3" fontId="38" fillId="0" borderId="51" xfId="0" applyNumberFormat="1" applyFont="1" applyBorder="1" applyAlignment="1">
      <alignment horizontal="center"/>
    </xf>
    <xf numFmtId="3" fontId="10" fillId="0" borderId="51" xfId="0" applyNumberFormat="1" applyFont="1" applyBorder="1" applyAlignment="1">
      <alignment horizontal="center"/>
    </xf>
    <xf numFmtId="0" fontId="10" fillId="0" borderId="4" xfId="0" applyFont="1" applyBorder="1"/>
    <xf numFmtId="0" fontId="36" fillId="0" borderId="4" xfId="0" applyFont="1" applyBorder="1" applyAlignment="1">
      <alignment horizontal="right" vertical="center"/>
    </xf>
    <xf numFmtId="0" fontId="37" fillId="0" borderId="4" xfId="0" applyFont="1" applyBorder="1" applyAlignment="1">
      <alignment vertical="center"/>
    </xf>
    <xf numFmtId="0" fontId="37" fillId="0" borderId="0" xfId="0" applyFont="1" applyAlignment="1">
      <alignment horizontal="right" vertical="center"/>
    </xf>
    <xf numFmtId="0" fontId="37" fillId="0" borderId="4" xfId="0" applyFont="1" applyBorder="1" applyAlignment="1">
      <alignment horizontal="right" vertical="center"/>
    </xf>
    <xf numFmtId="0" fontId="10" fillId="0" borderId="3" xfId="66" applyFont="1" applyBorder="1"/>
    <xf numFmtId="0" fontId="10" fillId="0" borderId="0" xfId="66" applyFont="1"/>
    <xf numFmtId="0" fontId="34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right" vertical="center" wrapText="1"/>
    </xf>
    <xf numFmtId="0" fontId="34" fillId="0" borderId="0" xfId="0" applyFont="1"/>
    <xf numFmtId="0" fontId="34" fillId="0" borderId="0" xfId="0" applyFont="1" applyAlignment="1">
      <alignment horizontal="left" vertical="center" wrapText="1" indent="1"/>
    </xf>
    <xf numFmtId="0" fontId="36" fillId="0" borderId="4" xfId="0" applyFont="1" applyFill="1" applyBorder="1" applyAlignment="1">
      <alignment horizontal="center"/>
    </xf>
    <xf numFmtId="0" fontId="36" fillId="0" borderId="4" xfId="0" applyFont="1" applyFill="1" applyBorder="1" applyAlignment="1">
      <alignment horizontal="center" wrapText="1"/>
    </xf>
    <xf numFmtId="0" fontId="48" fillId="15" borderId="18" xfId="69" applyFont="1" applyFill="1" applyBorder="1" applyAlignment="1">
      <alignment vertical="center"/>
    </xf>
    <xf numFmtId="0" fontId="48" fillId="15" borderId="18" xfId="69" applyFont="1" applyFill="1" applyBorder="1" applyAlignment="1">
      <alignment horizontal="center"/>
    </xf>
    <xf numFmtId="0" fontId="48" fillId="15" borderId="54" xfId="69" applyFont="1" applyFill="1" applyBorder="1" applyAlignment="1">
      <alignment vertical="center"/>
    </xf>
    <xf numFmtId="0" fontId="45" fillId="14" borderId="18" xfId="69" applyFont="1" applyFill="1" applyBorder="1" applyAlignment="1">
      <alignment vertical="center"/>
    </xf>
    <xf numFmtId="0" fontId="45" fillId="14" borderId="19" xfId="69" applyFont="1" applyFill="1" applyBorder="1" applyAlignment="1">
      <alignment vertical="center"/>
    </xf>
    <xf numFmtId="0" fontId="49" fillId="14" borderId="21" xfId="5" applyFont="1" applyFill="1" applyBorder="1" applyAlignment="1" applyProtection="1">
      <alignment horizontal="left" vertical="center"/>
      <protection locked="0"/>
    </xf>
    <xf numFmtId="0" fontId="49" fillId="14" borderId="21" xfId="5" applyFont="1" applyFill="1" applyBorder="1" applyAlignment="1" applyProtection="1">
      <alignment horizontal="center" vertical="center"/>
      <protection locked="0"/>
    </xf>
    <xf numFmtId="0" fontId="49" fillId="14" borderId="19" xfId="5" applyFont="1" applyFill="1" applyBorder="1" applyAlignment="1" applyProtection="1">
      <alignment horizontal="left" vertical="center"/>
      <protection locked="0"/>
    </xf>
    <xf numFmtId="0" fontId="49" fillId="14" borderId="19" xfId="5" applyFont="1" applyFill="1" applyBorder="1" applyAlignment="1" applyProtection="1">
      <alignment horizontal="center" vertical="center"/>
      <protection locked="0"/>
    </xf>
    <xf numFmtId="0" fontId="49" fillId="14" borderId="19" xfId="5" applyFont="1" applyFill="1" applyBorder="1" applyAlignment="1" applyProtection="1">
      <alignment horizontal="center"/>
      <protection locked="0"/>
    </xf>
    <xf numFmtId="168" fontId="49" fillId="14" borderId="55" xfId="25" applyNumberFormat="1" applyFont="1" applyFill="1" applyBorder="1" applyAlignment="1" applyProtection="1">
      <alignment horizontal="right" vertical="center"/>
      <protection locked="0"/>
    </xf>
    <xf numFmtId="0" fontId="44" fillId="13" borderId="18" xfId="69" applyFont="1" applyFill="1" applyBorder="1" applyAlignment="1">
      <alignment vertical="center"/>
    </xf>
    <xf numFmtId="0" fontId="49" fillId="13" borderId="18" xfId="5" applyFont="1" applyFill="1" applyBorder="1" applyAlignment="1" applyProtection="1">
      <alignment horizontal="center" vertical="center"/>
      <protection locked="0"/>
    </xf>
    <xf numFmtId="0" fontId="49" fillId="13" borderId="18" xfId="5" applyFont="1" applyFill="1" applyBorder="1" applyAlignment="1" applyProtection="1">
      <alignment horizontal="center"/>
      <protection locked="0"/>
    </xf>
    <xf numFmtId="0" fontId="45" fillId="0" borderId="54" xfId="2" applyFont="1" applyFill="1" applyBorder="1" applyAlignment="1">
      <alignment horizontal="left" indent="2"/>
    </xf>
    <xf numFmtId="0" fontId="40" fillId="0" borderId="18" xfId="5" applyFont="1" applyFill="1" applyBorder="1" applyAlignment="1" applyProtection="1">
      <alignment horizontal="center" vertical="center"/>
      <protection locked="0"/>
    </xf>
    <xf numFmtId="0" fontId="45" fillId="0" borderId="54" xfId="71" applyFont="1" applyFill="1" applyBorder="1" applyAlignment="1">
      <alignment horizontal="center"/>
    </xf>
    <xf numFmtId="0" fontId="45" fillId="0" borderId="54" xfId="2" applyFont="1" applyFill="1" applyBorder="1" applyAlignment="1">
      <alignment horizontal="left" wrapText="1" indent="3"/>
    </xf>
    <xf numFmtId="0" fontId="40" fillId="0" borderId="18" xfId="57" applyFont="1" applyFill="1" applyBorder="1" applyAlignment="1">
      <alignment horizontal="center" vertical="center" wrapText="1"/>
    </xf>
    <xf numFmtId="0" fontId="45" fillId="0" borderId="54" xfId="71" applyFont="1" applyFill="1" applyBorder="1" applyAlignment="1">
      <alignment horizontal="center" wrapText="1"/>
    </xf>
    <xf numFmtId="0" fontId="45" fillId="0" borderId="54" xfId="2" applyFont="1" applyBorder="1" applyAlignment="1">
      <alignment horizontal="left" wrapText="1" indent="3"/>
    </xf>
    <xf numFmtId="0" fontId="45" fillId="0" borderId="54" xfId="2" applyFont="1" applyBorder="1" applyAlignment="1">
      <alignment horizontal="left" wrapText="1" indent="2"/>
    </xf>
    <xf numFmtId="0" fontId="45" fillId="0" borderId="54" xfId="71" applyFont="1" applyBorder="1" applyAlignment="1">
      <alignment horizontal="center" wrapText="1"/>
    </xf>
    <xf numFmtId="0" fontId="45" fillId="0" borderId="54" xfId="2" applyFont="1" applyFill="1" applyBorder="1" applyAlignment="1">
      <alignment horizontal="left" indent="7"/>
    </xf>
    <xf numFmtId="0" fontId="40" fillId="0" borderId="54" xfId="71" applyFont="1" applyFill="1" applyBorder="1" applyAlignment="1">
      <alignment horizontal="center" wrapText="1"/>
    </xf>
    <xf numFmtId="0" fontId="45" fillId="0" borderId="54" xfId="2" applyFont="1" applyBorder="1" applyAlignment="1">
      <alignment horizontal="left" indent="3"/>
    </xf>
    <xf numFmtId="0" fontId="45" fillId="0" borderId="54" xfId="2" applyFont="1" applyFill="1" applyBorder="1" applyAlignment="1">
      <alignment horizontal="left" indent="3"/>
    </xf>
    <xf numFmtId="0" fontId="45" fillId="0" borderId="54" xfId="2" applyFont="1" applyBorder="1" applyAlignment="1">
      <alignment horizontal="left" indent="2"/>
    </xf>
    <xf numFmtId="0" fontId="44" fillId="13" borderId="54" xfId="2" applyFont="1" applyFill="1" applyBorder="1" applyAlignment="1">
      <alignment horizontal="left"/>
    </xf>
    <xf numFmtId="0" fontId="45" fillId="13" borderId="54" xfId="71" applyFont="1" applyFill="1" applyBorder="1" applyAlignment="1">
      <alignment horizontal="center" wrapText="1"/>
    </xf>
    <xf numFmtId="0" fontId="45" fillId="13" borderId="54" xfId="71" applyFont="1" applyFill="1" applyBorder="1" applyAlignment="1">
      <alignment horizontal="center"/>
    </xf>
    <xf numFmtId="0" fontId="44" fillId="13" borderId="18" xfId="69" applyFont="1" applyFill="1" applyBorder="1" applyAlignment="1">
      <alignment horizontal="left" vertical="center"/>
    </xf>
    <xf numFmtId="0" fontId="44" fillId="13" borderId="54" xfId="71" applyFont="1" applyFill="1" applyBorder="1" applyAlignment="1">
      <alignment horizontal="center"/>
    </xf>
    <xf numFmtId="0" fontId="45" fillId="0" borderId="54" xfId="71" applyFont="1" applyBorder="1" applyAlignment="1">
      <alignment horizontal="center"/>
    </xf>
    <xf numFmtId="0" fontId="45" fillId="0" borderId="18" xfId="2" applyFont="1" applyFill="1" applyBorder="1" applyAlignment="1">
      <alignment horizontal="center"/>
    </xf>
    <xf numFmtId="0" fontId="44" fillId="0" borderId="54" xfId="2" applyFont="1" applyBorder="1" applyAlignment="1">
      <alignment horizontal="left" indent="2"/>
    </xf>
    <xf numFmtId="0" fontId="44" fillId="0" borderId="18" xfId="2" applyFont="1" applyBorder="1" applyAlignment="1">
      <alignment horizontal="center"/>
    </xf>
    <xf numFmtId="0" fontId="49" fillId="0" borderId="54" xfId="71" applyFont="1" applyFill="1" applyBorder="1" applyAlignment="1">
      <alignment horizontal="center"/>
    </xf>
    <xf numFmtId="0" fontId="45" fillId="0" borderId="55" xfId="2" applyFont="1" applyFill="1" applyBorder="1" applyAlignment="1">
      <alignment horizontal="left" indent="2"/>
    </xf>
    <xf numFmtId="0" fontId="40" fillId="0" borderId="19" xfId="5" applyFont="1" applyFill="1" applyBorder="1" applyAlignment="1" applyProtection="1">
      <alignment horizontal="center" vertical="center"/>
      <protection locked="0"/>
    </xf>
    <xf numFmtId="4" fontId="49" fillId="14" borderId="21" xfId="5" applyNumberFormat="1" applyFont="1" applyFill="1" applyBorder="1" applyAlignment="1" applyProtection="1">
      <alignment horizontal="center" vertical="center"/>
      <protection locked="0"/>
    </xf>
    <xf numFmtId="172" fontId="49" fillId="14" borderId="21" xfId="5" applyNumberFormat="1" applyFont="1" applyFill="1" applyBorder="1" applyAlignment="1" applyProtection="1">
      <alignment horizontal="center" vertical="center"/>
      <protection locked="0"/>
    </xf>
    <xf numFmtId="0" fontId="44" fillId="16" borderId="19" xfId="71" applyFont="1" applyFill="1" applyBorder="1" applyAlignment="1">
      <alignment horizontal="center"/>
    </xf>
    <xf numFmtId="10" fontId="49" fillId="14" borderId="19" xfId="25" applyNumberFormat="1" applyFont="1" applyFill="1" applyBorder="1" applyAlignment="1" applyProtection="1">
      <alignment horizontal="center" vertical="center"/>
      <protection locked="0"/>
    </xf>
    <xf numFmtId="0" fontId="44" fillId="13" borderId="54" xfId="2" applyFont="1" applyFill="1" applyBorder="1" applyAlignment="1">
      <alignment horizontal="left" indent="1"/>
    </xf>
    <xf numFmtId="0" fontId="44" fillId="0" borderId="54" xfId="2" applyFont="1" applyFill="1" applyBorder="1" applyAlignment="1">
      <alignment horizontal="left" indent="2"/>
    </xf>
    <xf numFmtId="0" fontId="49" fillId="0" borderId="18" xfId="5" applyFont="1" applyFill="1" applyBorder="1" applyAlignment="1" applyProtection="1">
      <alignment horizontal="center" vertical="center"/>
      <protection locked="0"/>
    </xf>
    <xf numFmtId="0" fontId="45" fillId="0" borderId="18" xfId="72" applyFont="1" applyFill="1" applyBorder="1" applyAlignment="1">
      <alignment horizontal="left" vertical="center" indent="3"/>
    </xf>
    <xf numFmtId="0" fontId="45" fillId="0" borderId="54" xfId="2" applyFont="1" applyBorder="1" applyAlignment="1">
      <alignment horizontal="left" indent="5"/>
    </xf>
    <xf numFmtId="0" fontId="45" fillId="0" borderId="54" xfId="2" applyFont="1" applyBorder="1" applyAlignment="1">
      <alignment horizontal="left" indent="7"/>
    </xf>
    <xf numFmtId="0" fontId="44" fillId="0" borderId="54" xfId="71" applyFont="1" applyFill="1" applyBorder="1" applyAlignment="1">
      <alignment horizontal="center"/>
    </xf>
    <xf numFmtId="0" fontId="40" fillId="0" borderId="55" xfId="5" applyFont="1" applyFill="1" applyBorder="1" applyAlignment="1" applyProtection="1">
      <alignment horizontal="center" vertical="center"/>
      <protection locked="0"/>
    </xf>
    <xf numFmtId="0" fontId="45" fillId="0" borderId="55" xfId="71" applyFont="1" applyFill="1" applyBorder="1" applyAlignment="1">
      <alignment horizontal="center"/>
    </xf>
    <xf numFmtId="0" fontId="49" fillId="14" borderId="59" xfId="5" applyFont="1" applyFill="1" applyBorder="1" applyAlignment="1" applyProtection="1">
      <alignment horizontal="center" vertical="center"/>
      <protection locked="0"/>
    </xf>
    <xf numFmtId="0" fontId="49" fillId="14" borderId="59" xfId="5" applyFont="1" applyFill="1" applyBorder="1" applyAlignment="1" applyProtection="1">
      <alignment horizontal="center"/>
      <protection locked="0"/>
    </xf>
    <xf numFmtId="4" fontId="49" fillId="17" borderId="59" xfId="5" applyNumberFormat="1" applyFont="1" applyFill="1" applyBorder="1" applyAlignment="1" applyProtection="1">
      <protection locked="0"/>
    </xf>
    <xf numFmtId="180" fontId="49" fillId="17" borderId="59" xfId="5" applyNumberFormat="1" applyFont="1" applyFill="1" applyBorder="1" applyAlignment="1" applyProtection="1">
      <protection locked="0"/>
    </xf>
    <xf numFmtId="0" fontId="49" fillId="14" borderId="18" xfId="5" applyFont="1" applyFill="1" applyBorder="1" applyAlignment="1" applyProtection="1">
      <alignment horizontal="left" vertical="center"/>
      <protection locked="0"/>
    </xf>
    <xf numFmtId="0" fontId="49" fillId="14" borderId="54" xfId="5" applyFont="1" applyFill="1" applyBorder="1" applyAlignment="1" applyProtection="1">
      <alignment horizontal="center" vertical="center"/>
      <protection locked="0"/>
    </xf>
    <xf numFmtId="0" fontId="49" fillId="14" borderId="54" xfId="5" applyFont="1" applyFill="1" applyBorder="1" applyAlignment="1" applyProtection="1">
      <alignment horizontal="center"/>
      <protection locked="0"/>
    </xf>
    <xf numFmtId="10" fontId="49" fillId="14" borderId="54" xfId="25" applyNumberFormat="1" applyFont="1" applyFill="1" applyBorder="1" applyAlignment="1" applyProtection="1">
      <protection locked="0"/>
    </xf>
    <xf numFmtId="10" fontId="49" fillId="17" borderId="54" xfId="25" applyNumberFormat="1" applyFont="1" applyFill="1" applyBorder="1" applyAlignment="1" applyProtection="1">
      <protection locked="0"/>
    </xf>
    <xf numFmtId="0" fontId="45" fillId="0" borderId="53" xfId="70" applyFont="1" applyFill="1" applyBorder="1"/>
    <xf numFmtId="0" fontId="45" fillId="0" borderId="53" xfId="69" applyNumberFormat="1" applyFont="1" applyFill="1" applyBorder="1" applyAlignment="1" applyProtection="1"/>
    <xf numFmtId="0" fontId="45" fillId="0" borderId="53" xfId="69" applyNumberFormat="1" applyFont="1" applyFill="1" applyBorder="1" applyAlignment="1" applyProtection="1">
      <alignment horizontal="center"/>
    </xf>
    <xf numFmtId="0" fontId="37" fillId="0" borderId="2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2" xfId="0" applyFont="1" applyFill="1" applyBorder="1" applyAlignment="1">
      <alignment vertical="center"/>
    </xf>
    <xf numFmtId="0" fontId="36" fillId="0" borderId="49" xfId="0" applyFont="1" applyFill="1" applyBorder="1" applyAlignment="1">
      <alignment vertical="center"/>
    </xf>
    <xf numFmtId="0" fontId="34" fillId="0" borderId="4" xfId="0" applyFont="1" applyBorder="1" applyAlignment="1">
      <alignment vertical="center"/>
    </xf>
    <xf numFmtId="0" fontId="36" fillId="0" borderId="8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 wrapText="1"/>
    </xf>
    <xf numFmtId="0" fontId="53" fillId="0" borderId="0" xfId="0" applyFont="1"/>
    <xf numFmtId="0" fontId="38" fillId="0" borderId="4" xfId="0" applyFont="1" applyBorder="1"/>
    <xf numFmtId="0" fontId="54" fillId="0" borderId="4" xfId="0" applyFont="1" applyBorder="1"/>
    <xf numFmtId="0" fontId="54" fillId="0" borderId="0" xfId="0" applyFont="1"/>
    <xf numFmtId="0" fontId="38" fillId="0" borderId="0" xfId="0" applyFont="1" applyBorder="1"/>
    <xf numFmtId="0" fontId="49" fillId="0" borderId="2" xfId="0" applyFont="1" applyBorder="1"/>
    <xf numFmtId="2" fontId="10" fillId="0" borderId="0" xfId="0" applyNumberFormat="1" applyFont="1"/>
    <xf numFmtId="1" fontId="10" fillId="0" borderId="0" xfId="0" applyNumberFormat="1" applyFont="1"/>
    <xf numFmtId="0" fontId="38" fillId="0" borderId="2" xfId="0" applyFont="1" applyFill="1" applyBorder="1"/>
    <xf numFmtId="14" fontId="38" fillId="0" borderId="2" xfId="8" applyNumberFormat="1" applyFont="1" applyFill="1" applyBorder="1" applyAlignment="1">
      <alignment horizontal="right"/>
    </xf>
    <xf numFmtId="0" fontId="40" fillId="0" borderId="0" xfId="0" applyFont="1"/>
    <xf numFmtId="0" fontId="10" fillId="0" borderId="0" xfId="0" applyFont="1" applyBorder="1"/>
    <xf numFmtId="14" fontId="10" fillId="0" borderId="0" xfId="0" applyNumberFormat="1" applyFont="1"/>
    <xf numFmtId="0" fontId="38" fillId="0" borderId="2" xfId="0" applyFont="1" applyBorder="1" applyAlignment="1">
      <alignment horizontal="right"/>
    </xf>
    <xf numFmtId="164" fontId="37" fillId="0" borderId="2" xfId="6" applyFont="1" applyFill="1" applyBorder="1"/>
    <xf numFmtId="1" fontId="36" fillId="0" borderId="2" xfId="6" applyNumberFormat="1" applyFont="1" applyFill="1" applyBorder="1" applyAlignment="1">
      <alignment horizontal="center"/>
    </xf>
    <xf numFmtId="164" fontId="36" fillId="0" borderId="0" xfId="6" applyFont="1" applyFill="1" applyBorder="1" applyAlignment="1"/>
    <xf numFmtId="165" fontId="37" fillId="0" borderId="0" xfId="7" applyNumberFormat="1" applyFont="1" applyFill="1" applyBorder="1" applyAlignment="1">
      <alignment horizontal="center"/>
    </xf>
    <xf numFmtId="2" fontId="37" fillId="0" borderId="0" xfId="7" applyNumberFormat="1" applyFont="1" applyFill="1" applyBorder="1" applyAlignment="1">
      <alignment horizontal="center"/>
    </xf>
    <xf numFmtId="165" fontId="37" fillId="0" borderId="0" xfId="6" applyNumberFormat="1" applyFont="1" applyFill="1" applyBorder="1" applyAlignment="1">
      <alignment horizontal="center"/>
    </xf>
    <xf numFmtId="2" fontId="37" fillId="0" borderId="0" xfId="6" applyNumberFormat="1" applyFont="1" applyFill="1" applyBorder="1" applyAlignment="1">
      <alignment horizontal="center"/>
    </xf>
    <xf numFmtId="164" fontId="37" fillId="0" borderId="0" xfId="6" applyFont="1" applyFill="1" applyBorder="1" applyAlignment="1"/>
    <xf numFmtId="0" fontId="38" fillId="0" borderId="2" xfId="0" applyFont="1" applyBorder="1" applyAlignment="1">
      <alignment horizontal="center"/>
    </xf>
    <xf numFmtId="0" fontId="55" fillId="0" borderId="0" xfId="0" applyFont="1"/>
    <xf numFmtId="165" fontId="10" fillId="0" borderId="0" xfId="0" applyNumberFormat="1" applyFont="1" applyBorder="1" applyAlignment="1">
      <alignment horizontal="center"/>
    </xf>
    <xf numFmtId="165" fontId="10" fillId="0" borderId="18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174" fontId="10" fillId="0" borderId="0" xfId="0" applyNumberFormat="1" applyFont="1"/>
    <xf numFmtId="0" fontId="53" fillId="0" borderId="2" xfId="0" applyFont="1" applyBorder="1"/>
    <xf numFmtId="0" fontId="10" fillId="0" borderId="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165" fontId="36" fillId="0" borderId="4" xfId="0" applyNumberFormat="1" applyFont="1" applyBorder="1" applyAlignment="1">
      <alignment horizontal="center" vertical="center" wrapText="1"/>
    </xf>
    <xf numFmtId="0" fontId="10" fillId="0" borderId="0" xfId="18" applyFont="1"/>
    <xf numFmtId="0" fontId="38" fillId="0" borderId="4" xfId="18" applyFont="1" applyBorder="1"/>
    <xf numFmtId="0" fontId="10" fillId="0" borderId="4" xfId="18" applyFont="1" applyBorder="1"/>
    <xf numFmtId="0" fontId="10" fillId="0" borderId="0" xfId="18" applyFont="1" applyFill="1" applyBorder="1"/>
    <xf numFmtId="3" fontId="10" fillId="0" borderId="0" xfId="18" applyNumberFormat="1" applyFont="1" applyAlignment="1">
      <alignment horizontal="center" vertical="center"/>
    </xf>
    <xf numFmtId="0" fontId="10" fillId="0" borderId="0" xfId="18" applyFont="1" applyFill="1"/>
    <xf numFmtId="166" fontId="10" fillId="0" borderId="0" xfId="18" applyNumberFormat="1" applyFont="1"/>
    <xf numFmtId="0" fontId="40" fillId="0" borderId="0" xfId="20" applyFont="1"/>
    <xf numFmtId="0" fontId="40" fillId="0" borderId="0" xfId="20" applyFont="1" applyFill="1"/>
    <xf numFmtId="3" fontId="40" fillId="0" borderId="0" xfId="20" applyNumberFormat="1" applyFont="1" applyFill="1"/>
    <xf numFmtId="0" fontId="40" fillId="0" borderId="0" xfId="65" applyFont="1"/>
    <xf numFmtId="3" fontId="40" fillId="0" borderId="0" xfId="0" applyNumberFormat="1" applyFont="1"/>
    <xf numFmtId="0" fontId="40" fillId="0" borderId="0" xfId="20" applyFont="1" applyBorder="1"/>
    <xf numFmtId="0" fontId="34" fillId="0" borderId="30" xfId="20" applyFont="1" applyBorder="1" applyAlignment="1"/>
    <xf numFmtId="0" fontId="34" fillId="0" borderId="31" xfId="20" applyFont="1" applyBorder="1" applyAlignment="1"/>
    <xf numFmtId="0" fontId="34" fillId="0" borderId="29" xfId="20" applyFont="1" applyBorder="1" applyAlignment="1"/>
    <xf numFmtId="0" fontId="49" fillId="0" borderId="56" xfId="20" applyFont="1" applyBorder="1"/>
    <xf numFmtId="1" fontId="49" fillId="0" borderId="22" xfId="20" applyNumberFormat="1" applyFont="1" applyBorder="1" applyAlignment="1">
      <alignment horizontal="center"/>
    </xf>
    <xf numFmtId="0" fontId="49" fillId="0" borderId="3" xfId="20" applyFont="1" applyBorder="1" applyAlignment="1">
      <alignment horizontal="center"/>
    </xf>
    <xf numFmtId="0" fontId="49" fillId="0" borderId="22" xfId="20" applyFont="1" applyBorder="1" applyAlignment="1">
      <alignment horizontal="center"/>
    </xf>
    <xf numFmtId="0" fontId="49" fillId="0" borderId="21" xfId="20" applyFont="1" applyBorder="1" applyAlignment="1">
      <alignment horizontal="center"/>
    </xf>
    <xf numFmtId="0" fontId="49" fillId="0" borderId="55" xfId="20" applyFont="1" applyBorder="1"/>
    <xf numFmtId="0" fontId="49" fillId="0" borderId="20" xfId="20" applyFont="1" applyBorder="1" applyAlignment="1"/>
    <xf numFmtId="0" fontId="49" fillId="0" borderId="2" xfId="20" applyFont="1" applyBorder="1" applyAlignment="1"/>
    <xf numFmtId="0" fontId="40" fillId="0" borderId="54" xfId="20" applyFont="1" applyBorder="1"/>
    <xf numFmtId="3" fontId="40" fillId="0" borderId="39" xfId="20" applyNumberFormat="1" applyFont="1" applyBorder="1"/>
    <xf numFmtId="3" fontId="40" fillId="0" borderId="0" xfId="20" applyNumberFormat="1" applyFont="1" applyBorder="1"/>
    <xf numFmtId="3" fontId="10" fillId="0" borderId="39" xfId="20" applyNumberFormat="1" applyFont="1" applyBorder="1"/>
    <xf numFmtId="3" fontId="10" fillId="0" borderId="0" xfId="20" applyNumberFormat="1" applyFont="1" applyBorder="1"/>
    <xf numFmtId="3" fontId="10" fillId="0" borderId="18" xfId="20" applyNumberFormat="1" applyFont="1" applyBorder="1"/>
    <xf numFmtId="3" fontId="40" fillId="0" borderId="0" xfId="20" applyNumberFormat="1" applyFont="1" applyFill="1" applyBorder="1"/>
    <xf numFmtId="9" fontId="10" fillId="0" borderId="0" xfId="21" applyFont="1" applyFill="1" applyBorder="1"/>
    <xf numFmtId="0" fontId="40" fillId="0" borderId="54" xfId="20" applyFont="1" applyBorder="1" applyAlignment="1">
      <alignment horizontal="left" indent="2"/>
    </xf>
    <xf numFmtId="0" fontId="49" fillId="13" borderId="53" xfId="20" applyFont="1" applyFill="1" applyBorder="1"/>
    <xf numFmtId="3" fontId="49" fillId="13" borderId="30" xfId="0" applyNumberFormat="1" applyFont="1" applyFill="1" applyBorder="1"/>
    <xf numFmtId="3" fontId="49" fillId="13" borderId="1" xfId="20" applyNumberFormat="1" applyFont="1" applyFill="1" applyBorder="1"/>
    <xf numFmtId="3" fontId="49" fillId="13" borderId="30" xfId="20" applyNumberFormat="1" applyFont="1" applyFill="1" applyBorder="1"/>
    <xf numFmtId="3" fontId="49" fillId="13" borderId="48" xfId="20" applyNumberFormat="1" applyFont="1" applyFill="1" applyBorder="1"/>
    <xf numFmtId="0" fontId="49" fillId="13" borderId="55" xfId="20" applyFont="1" applyFill="1" applyBorder="1" applyAlignment="1">
      <alignment vertical="center"/>
    </xf>
    <xf numFmtId="4" fontId="49" fillId="0" borderId="0" xfId="20" applyNumberFormat="1" applyFont="1" applyFill="1" applyBorder="1"/>
    <xf numFmtId="0" fontId="49" fillId="0" borderId="2" xfId="20" applyFont="1" applyFill="1" applyBorder="1"/>
    <xf numFmtId="3" fontId="49" fillId="0" borderId="2" xfId="20" applyNumberFormat="1" applyFont="1" applyFill="1" applyBorder="1"/>
    <xf numFmtId="3" fontId="49" fillId="0" borderId="19" xfId="20" applyNumberFormat="1" applyFont="1" applyFill="1" applyBorder="1"/>
    <xf numFmtId="3" fontId="49" fillId="13" borderId="20" xfId="0" applyNumberFormat="1" applyFont="1" applyFill="1" applyBorder="1"/>
    <xf numFmtId="3" fontId="49" fillId="13" borderId="2" xfId="20" applyNumberFormat="1" applyFont="1" applyFill="1" applyBorder="1"/>
    <xf numFmtId="3" fontId="49" fillId="13" borderId="20" xfId="20" applyNumberFormat="1" applyFont="1" applyFill="1" applyBorder="1"/>
    <xf numFmtId="3" fontId="49" fillId="13" borderId="19" xfId="20" applyNumberFormat="1" applyFont="1" applyFill="1" applyBorder="1"/>
    <xf numFmtId="0" fontId="40" fillId="0" borderId="2" xfId="65" applyFont="1" applyBorder="1"/>
    <xf numFmtId="3" fontId="40" fillId="0" borderId="2" xfId="0" applyNumberFormat="1" applyFont="1" applyBorder="1"/>
    <xf numFmtId="0" fontId="40" fillId="0" borderId="2" xfId="0" applyFont="1" applyBorder="1"/>
    <xf numFmtId="0" fontId="49" fillId="0" borderId="0" xfId="65" applyFont="1"/>
    <xf numFmtId="3" fontId="49" fillId="0" borderId="0" xfId="0" applyNumberFormat="1" applyFont="1"/>
    <xf numFmtId="0" fontId="37" fillId="0" borderId="4" xfId="0" applyFont="1" applyBorder="1" applyAlignment="1">
      <alignment horizontal="center" vertical="center" wrapText="1"/>
    </xf>
    <xf numFmtId="0" fontId="37" fillId="0" borderId="0" xfId="0" applyFont="1" applyAlignment="1">
      <alignment horizontal="justify" vertical="center"/>
    </xf>
    <xf numFmtId="0" fontId="40" fillId="0" borderId="0" xfId="19" applyFont="1" applyBorder="1"/>
    <xf numFmtId="165" fontId="40" fillId="0" borderId="0" xfId="19" applyNumberFormat="1" applyFont="1" applyBorder="1" applyAlignment="1">
      <alignment horizontal="center"/>
    </xf>
    <xf numFmtId="165" fontId="40" fillId="0" borderId="0" xfId="19" applyNumberFormat="1" applyFont="1" applyFill="1" applyBorder="1" applyAlignment="1">
      <alignment horizontal="center"/>
    </xf>
    <xf numFmtId="2" fontId="40" fillId="0" borderId="0" xfId="19" applyNumberFormat="1" applyFont="1" applyFill="1" applyBorder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10" fillId="0" borderId="0" xfId="30" applyFont="1"/>
    <xf numFmtId="0" fontId="38" fillId="0" borderId="4" xfId="30" applyFont="1" applyFill="1" applyBorder="1"/>
    <xf numFmtId="0" fontId="10" fillId="0" borderId="4" xfId="30" applyFont="1" applyFill="1" applyBorder="1"/>
    <xf numFmtId="0" fontId="10" fillId="0" borderId="0" xfId="30" applyFont="1" applyFill="1"/>
    <xf numFmtId="0" fontId="10" fillId="0" borderId="0" xfId="30" applyFont="1" applyFill="1" applyBorder="1"/>
    <xf numFmtId="0" fontId="38" fillId="0" borderId="0" xfId="30" applyFont="1" applyFill="1" applyBorder="1"/>
    <xf numFmtId="0" fontId="38" fillId="0" borderId="0" xfId="30" applyFont="1" applyFill="1"/>
    <xf numFmtId="2" fontId="10" fillId="0" borderId="0" xfId="30" applyNumberFormat="1" applyFont="1" applyFill="1" applyBorder="1"/>
    <xf numFmtId="166" fontId="10" fillId="0" borderId="0" xfId="30" applyNumberFormat="1" applyFont="1" applyFill="1" applyBorder="1"/>
    <xf numFmtId="0" fontId="40" fillId="0" borderId="0" xfId="30" applyFont="1" applyFill="1" applyBorder="1"/>
    <xf numFmtId="166" fontId="40" fillId="0" borderId="0" xfId="30" applyNumberFormat="1" applyFont="1" applyFill="1" applyBorder="1"/>
    <xf numFmtId="0" fontId="40" fillId="0" borderId="0" xfId="30" applyFont="1" applyFill="1"/>
    <xf numFmtId="165" fontId="10" fillId="0" borderId="0" xfId="30" applyNumberFormat="1" applyFont="1" applyFill="1" applyBorder="1"/>
    <xf numFmtId="165" fontId="40" fillId="0" borderId="0" xfId="3" applyNumberFormat="1" applyFont="1" applyFill="1" applyBorder="1" applyAlignment="1">
      <alignment vertical="center"/>
    </xf>
    <xf numFmtId="1" fontId="10" fillId="0" borderId="0" xfId="30" applyNumberFormat="1" applyFont="1" applyBorder="1"/>
    <xf numFmtId="0" fontId="10" fillId="0" borderId="0" xfId="30" applyFont="1" applyBorder="1"/>
    <xf numFmtId="0" fontId="10" fillId="0" borderId="0" xfId="30" applyFont="1" applyFill="1" applyBorder="1" applyAlignment="1">
      <alignment horizontal="right"/>
    </xf>
    <xf numFmtId="166" fontId="10" fillId="0" borderId="0" xfId="30" applyNumberFormat="1" applyFont="1" applyBorder="1"/>
    <xf numFmtId="172" fontId="45" fillId="0" borderId="0" xfId="29" applyNumberFormat="1" applyFont="1" applyFill="1" applyBorder="1" applyAlignment="1">
      <alignment horizontal="right" wrapText="1"/>
    </xf>
    <xf numFmtId="0" fontId="38" fillId="0" borderId="4" xfId="0" applyFont="1" applyBorder="1" applyAlignment="1">
      <alignment vertical="center"/>
    </xf>
    <xf numFmtId="0" fontId="10" fillId="0" borderId="4" xfId="30" applyFont="1" applyBorder="1"/>
    <xf numFmtId="0" fontId="36" fillId="0" borderId="4" xfId="0" applyFont="1" applyBorder="1" applyAlignment="1">
      <alignment horizontal="center" vertical="center"/>
    </xf>
    <xf numFmtId="0" fontId="41" fillId="0" borderId="5" xfId="0" applyFont="1" applyFill="1" applyBorder="1" applyAlignment="1">
      <alignment vertical="center"/>
    </xf>
    <xf numFmtId="2" fontId="10" fillId="0" borderId="0" xfId="30" applyNumberFormat="1" applyFont="1"/>
    <xf numFmtId="0" fontId="38" fillId="0" borderId="0" xfId="3" applyFont="1" applyFill="1" applyBorder="1" applyAlignment="1">
      <alignment vertical="center"/>
    </xf>
    <xf numFmtId="0" fontId="10" fillId="3" borderId="0" xfId="0" applyFont="1" applyFill="1"/>
    <xf numFmtId="0" fontId="38" fillId="0" borderId="0" xfId="0" applyFont="1" applyBorder="1" applyAlignment="1">
      <alignment vertical="center"/>
    </xf>
    <xf numFmtId="166" fontId="38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vertical="center" wrapText="1"/>
    </xf>
    <xf numFmtId="0" fontId="36" fillId="0" borderId="3" xfId="0" applyFont="1" applyBorder="1" applyAlignment="1">
      <alignment horizontal="center" vertical="center" wrapText="1"/>
    </xf>
    <xf numFmtId="165" fontId="36" fillId="0" borderId="3" xfId="0" applyNumberFormat="1" applyFont="1" applyFill="1" applyBorder="1" applyAlignment="1">
      <alignment vertical="center"/>
    </xf>
    <xf numFmtId="3" fontId="36" fillId="0" borderId="0" xfId="0" applyNumberFormat="1" applyFont="1" applyFill="1" applyBorder="1" applyAlignment="1">
      <alignment vertical="center"/>
    </xf>
    <xf numFmtId="168" fontId="37" fillId="0" borderId="0" xfId="12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2" fontId="49" fillId="0" borderId="0" xfId="0" applyNumberFormat="1" applyFont="1" applyFill="1" applyBorder="1" applyAlignment="1">
      <alignment vertical="center" wrapText="1"/>
    </xf>
    <xf numFmtId="2" fontId="38" fillId="0" borderId="0" xfId="0" applyNumberFormat="1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0" fontId="53" fillId="0" borderId="0" xfId="0" applyFont="1" applyFill="1"/>
    <xf numFmtId="3" fontId="10" fillId="0" borderId="2" xfId="0" applyNumberFormat="1" applyFont="1" applyBorder="1"/>
    <xf numFmtId="0" fontId="41" fillId="0" borderId="0" xfId="0" applyFont="1"/>
    <xf numFmtId="1" fontId="10" fillId="0" borderId="2" xfId="0" applyNumberFormat="1" applyFont="1" applyBorder="1"/>
    <xf numFmtId="3" fontId="38" fillId="0" borderId="2" xfId="0" applyNumberFormat="1" applyFont="1" applyBorder="1"/>
    <xf numFmtId="3" fontId="10" fillId="0" borderId="0" xfId="0" applyNumberFormat="1" applyFont="1"/>
    <xf numFmtId="165" fontId="38" fillId="0" borderId="0" xfId="0" applyNumberFormat="1" applyFont="1"/>
    <xf numFmtId="0" fontId="38" fillId="12" borderId="2" xfId="9" applyFont="1" applyFill="1" applyBorder="1" applyAlignment="1">
      <alignment vertical="top" wrapText="1"/>
    </xf>
    <xf numFmtId="0" fontId="38" fillId="12" borderId="2" xfId="9" applyFont="1" applyFill="1" applyBorder="1" applyAlignment="1">
      <alignment horizontal="right" vertical="top" wrapText="1"/>
    </xf>
    <xf numFmtId="0" fontId="49" fillId="0" borderId="0" xfId="9" applyFont="1" applyFill="1" applyBorder="1"/>
    <xf numFmtId="3" fontId="49" fillId="0" borderId="0" xfId="9" applyNumberFormat="1" applyFont="1" applyFill="1" applyBorder="1"/>
    <xf numFmtId="3" fontId="57" fillId="12" borderId="0" xfId="9" applyNumberFormat="1" applyFont="1" applyFill="1" applyBorder="1" applyProtection="1">
      <protection locked="0"/>
    </xf>
    <xf numFmtId="3" fontId="40" fillId="12" borderId="0" xfId="9" applyNumberFormat="1" applyFont="1" applyFill="1" applyBorder="1" applyProtection="1">
      <protection locked="0"/>
    </xf>
    <xf numFmtId="0" fontId="40" fillId="0" borderId="0" xfId="9" applyFont="1" applyFill="1" applyBorder="1"/>
    <xf numFmtId="1" fontId="40" fillId="0" borderId="0" xfId="9" applyNumberFormat="1" applyFont="1" applyFill="1" applyBorder="1"/>
    <xf numFmtId="0" fontId="49" fillId="0" borderId="51" xfId="9" applyFont="1" applyFill="1" applyBorder="1"/>
    <xf numFmtId="3" fontId="49" fillId="0" borderId="51" xfId="9" applyNumberFormat="1" applyFont="1" applyFill="1" applyBorder="1"/>
    <xf numFmtId="3" fontId="57" fillId="0" borderId="51" xfId="9" applyNumberFormat="1" applyFont="1" applyFill="1" applyBorder="1"/>
    <xf numFmtId="167" fontId="40" fillId="0" borderId="51" xfId="9" applyNumberFormat="1" applyFont="1" applyFill="1" applyBorder="1"/>
    <xf numFmtId="0" fontId="34" fillId="0" borderId="0" xfId="0" applyFont="1" applyAlignment="1">
      <alignment vertical="center"/>
    </xf>
    <xf numFmtId="0" fontId="52" fillId="0" borderId="23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38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165" fontId="38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2"/>
    </xf>
    <xf numFmtId="0" fontId="10" fillId="0" borderId="24" xfId="0" applyFont="1" applyBorder="1" applyAlignment="1">
      <alignment horizontal="left" vertical="center" wrapText="1" indent="2"/>
    </xf>
    <xf numFmtId="0" fontId="10" fillId="0" borderId="26" xfId="0" applyFont="1" applyBorder="1" applyAlignment="1">
      <alignment vertical="center" wrapText="1"/>
    </xf>
    <xf numFmtId="0" fontId="38" fillId="0" borderId="26" xfId="0" applyFont="1" applyBorder="1" applyAlignment="1">
      <alignment horizontal="center" vertical="center" wrapText="1"/>
    </xf>
    <xf numFmtId="3" fontId="38" fillId="0" borderId="0" xfId="0" applyNumberFormat="1" applyFont="1" applyAlignment="1">
      <alignment horizontal="center" vertical="center" wrapText="1"/>
    </xf>
    <xf numFmtId="0" fontId="38" fillId="0" borderId="24" xfId="0" applyFont="1" applyBorder="1" applyAlignment="1">
      <alignment vertical="center" wrapText="1"/>
    </xf>
    <xf numFmtId="3" fontId="38" fillId="0" borderId="24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0" fontId="38" fillId="0" borderId="25" xfId="0" applyFont="1" applyBorder="1" applyAlignment="1">
      <alignment vertical="center" wrapText="1"/>
    </xf>
    <xf numFmtId="3" fontId="36" fillId="0" borderId="25" xfId="0" applyNumberFormat="1" applyFont="1" applyBorder="1" applyAlignment="1">
      <alignment horizontal="center" vertical="center" wrapText="1"/>
    </xf>
    <xf numFmtId="165" fontId="38" fillId="0" borderId="24" xfId="0" applyNumberFormat="1" applyFont="1" applyBorder="1" applyAlignment="1">
      <alignment horizontal="center" vertical="center" wrapText="1"/>
    </xf>
    <xf numFmtId="0" fontId="42" fillId="0" borderId="4" xfId="0" applyFont="1" applyBorder="1" applyAlignment="1">
      <alignment vertical="center" wrapText="1"/>
    </xf>
    <xf numFmtId="165" fontId="42" fillId="0" borderId="4" xfId="0" applyNumberFormat="1" applyFont="1" applyBorder="1" applyAlignment="1">
      <alignment horizontal="center" vertical="center" wrapText="1"/>
    </xf>
    <xf numFmtId="3" fontId="10" fillId="0" borderId="0" xfId="0" applyNumberFormat="1" applyFont="1" applyFill="1" applyAlignment="1">
      <alignment horizontal="center" vertical="center"/>
    </xf>
    <xf numFmtId="0" fontId="58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59" fillId="0" borderId="0" xfId="0" applyFont="1" applyAlignment="1">
      <alignment vertical="center"/>
    </xf>
    <xf numFmtId="165" fontId="10" fillId="0" borderId="2" xfId="0" applyNumberFormat="1" applyFont="1" applyBorder="1"/>
    <xf numFmtId="0" fontId="38" fillId="0" borderId="49" xfId="0" applyFont="1" applyBorder="1"/>
    <xf numFmtId="165" fontId="10" fillId="0" borderId="49" xfId="0" applyNumberFormat="1" applyFont="1" applyBorder="1"/>
    <xf numFmtId="0" fontId="10" fillId="0" borderId="0" xfId="19" applyFont="1"/>
    <xf numFmtId="0" fontId="10" fillId="0" borderId="0" xfId="19" applyFont="1" applyBorder="1"/>
    <xf numFmtId="0" fontId="38" fillId="0" borderId="4" xfId="19" applyFont="1" applyBorder="1"/>
    <xf numFmtId="0" fontId="10" fillId="0" borderId="4" xfId="19" applyFont="1" applyBorder="1"/>
    <xf numFmtId="0" fontId="38" fillId="0" borderId="0" xfId="19" applyFont="1"/>
    <xf numFmtId="0" fontId="38" fillId="10" borderId="0" xfId="19" applyFont="1" applyFill="1" applyBorder="1" applyAlignment="1">
      <alignment horizontal="center" vertical="center"/>
    </xf>
    <xf numFmtId="0" fontId="38" fillId="0" borderId="0" xfId="19" applyFont="1" applyBorder="1" applyAlignment="1">
      <alignment horizontal="center" vertical="center"/>
    </xf>
    <xf numFmtId="0" fontId="10" fillId="10" borderId="0" xfId="19" applyFont="1" applyFill="1" applyBorder="1" applyAlignment="1">
      <alignment horizontal="center" vertical="center"/>
    </xf>
    <xf numFmtId="0" fontId="10" fillId="0" borderId="0" xfId="19" applyFont="1" applyBorder="1" applyAlignment="1">
      <alignment horizontal="center" vertical="center"/>
    </xf>
    <xf numFmtId="165" fontId="40" fillId="10" borderId="0" xfId="19" applyNumberFormat="1" applyFont="1" applyFill="1" applyBorder="1" applyAlignment="1">
      <alignment horizontal="center"/>
    </xf>
    <xf numFmtId="0" fontId="60" fillId="0" borderId="0" xfId="19" applyFont="1" applyBorder="1"/>
    <xf numFmtId="165" fontId="60" fillId="10" borderId="0" xfId="19" applyNumberFormat="1" applyFont="1" applyFill="1" applyBorder="1" applyAlignment="1">
      <alignment horizontal="center"/>
    </xf>
    <xf numFmtId="165" fontId="60" fillId="0" borderId="0" xfId="19" applyNumberFormat="1" applyFont="1" applyFill="1" applyBorder="1" applyAlignment="1">
      <alignment horizontal="center"/>
    </xf>
    <xf numFmtId="165" fontId="10" fillId="10" borderId="0" xfId="19" applyNumberFormat="1" applyFont="1" applyFill="1" applyBorder="1" applyAlignment="1">
      <alignment horizontal="center"/>
    </xf>
    <xf numFmtId="0" fontId="40" fillId="0" borderId="0" xfId="19" applyFont="1" applyBorder="1" applyAlignment="1">
      <alignment horizontal="left" indent="1"/>
    </xf>
    <xf numFmtId="1" fontId="38" fillId="0" borderId="0" xfId="19" applyNumberFormat="1" applyFont="1" applyBorder="1" applyAlignment="1">
      <alignment horizontal="center"/>
    </xf>
    <xf numFmtId="165" fontId="10" fillId="10" borderId="0" xfId="19" applyNumberFormat="1" applyFont="1" applyFill="1"/>
    <xf numFmtId="165" fontId="10" fillId="0" borderId="0" xfId="19" applyNumberFormat="1" applyFont="1"/>
    <xf numFmtId="0" fontId="38" fillId="0" borderId="0" xfId="19" applyFont="1" applyBorder="1" applyAlignment="1">
      <alignment horizontal="left"/>
    </xf>
    <xf numFmtId="0" fontId="38" fillId="0" borderId="0" xfId="19" applyFont="1" applyAlignment="1">
      <alignment horizontal="center"/>
    </xf>
    <xf numFmtId="165" fontId="38" fillId="10" borderId="0" xfId="19" applyNumberFormat="1" applyFont="1" applyFill="1" applyBorder="1" applyAlignment="1">
      <alignment horizontal="center"/>
    </xf>
    <xf numFmtId="165" fontId="38" fillId="0" borderId="0" xfId="19" applyNumberFormat="1" applyFont="1" applyFill="1" applyBorder="1" applyAlignment="1">
      <alignment horizontal="center"/>
    </xf>
    <xf numFmtId="165" fontId="38" fillId="0" borderId="0" xfId="19" applyNumberFormat="1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10" fillId="0" borderId="5" xfId="0" applyFont="1" applyBorder="1" applyAlignment="1">
      <alignment vertical="center"/>
    </xf>
    <xf numFmtId="165" fontId="10" fillId="0" borderId="5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38" fillId="0" borderId="6" xfId="0" applyFont="1" applyBorder="1" applyAlignment="1">
      <alignment vertical="center"/>
    </xf>
    <xf numFmtId="165" fontId="38" fillId="0" borderId="6" xfId="0" applyNumberFormat="1" applyFont="1" applyBorder="1" applyAlignment="1">
      <alignment horizontal="center"/>
    </xf>
    <xf numFmtId="0" fontId="41" fillId="0" borderId="6" xfId="0" applyFont="1" applyBorder="1" applyAlignment="1">
      <alignment vertical="center"/>
    </xf>
    <xf numFmtId="165" fontId="42" fillId="0" borderId="6" xfId="0" applyNumberFormat="1" applyFont="1" applyBorder="1" applyAlignment="1">
      <alignment horizontal="center"/>
    </xf>
    <xf numFmtId="0" fontId="41" fillId="0" borderId="5" xfId="0" applyFont="1" applyBorder="1" applyAlignment="1">
      <alignment vertical="center"/>
    </xf>
    <xf numFmtId="0" fontId="42" fillId="0" borderId="5" xfId="0" applyFont="1" applyBorder="1" applyAlignment="1">
      <alignment vertical="center"/>
    </xf>
    <xf numFmtId="0" fontId="42" fillId="0" borderId="5" xfId="0" applyFont="1" applyBorder="1" applyAlignment="1">
      <alignment horizontal="right" vertical="center"/>
    </xf>
    <xf numFmtId="0" fontId="42" fillId="0" borderId="0" xfId="0" applyFont="1" applyBorder="1" applyAlignment="1">
      <alignment horizontal="center" vertical="center"/>
    </xf>
    <xf numFmtId="0" fontId="40" fillId="0" borderId="0" xfId="22" applyFont="1"/>
    <xf numFmtId="0" fontId="49" fillId="0" borderId="0" xfId="22" applyFont="1"/>
    <xf numFmtId="0" fontId="49" fillId="0" borderId="4" xfId="22" applyFont="1" applyBorder="1"/>
    <xf numFmtId="0" fontId="40" fillId="0" borderId="4" xfId="22" applyFont="1" applyBorder="1"/>
    <xf numFmtId="0" fontId="53" fillId="0" borderId="2" xfId="52" applyFont="1" applyBorder="1" applyAlignment="1">
      <alignment horizontal="left"/>
    </xf>
    <xf numFmtId="0" fontId="53" fillId="0" borderId="0" xfId="52" applyFont="1" applyBorder="1" applyAlignment="1">
      <alignment horizontal="left"/>
    </xf>
    <xf numFmtId="166" fontId="53" fillId="0" borderId="0" xfId="52" applyNumberFormat="1" applyFont="1" applyBorder="1" applyAlignment="1">
      <alignment horizontal="left"/>
    </xf>
    <xf numFmtId="0" fontId="10" fillId="0" borderId="2" xfId="52" applyFont="1" applyBorder="1"/>
    <xf numFmtId="0" fontId="10" fillId="0" borderId="49" xfId="52" applyFont="1" applyBorder="1" applyAlignment="1">
      <alignment horizontal="right"/>
    </xf>
    <xf numFmtId="0" fontId="10" fillId="0" borderId="0" xfId="52" applyFont="1" applyBorder="1"/>
    <xf numFmtId="3" fontId="10" fillId="0" borderId="3" xfId="52" applyNumberFormat="1" applyFont="1" applyBorder="1" applyAlignment="1"/>
    <xf numFmtId="3" fontId="10" fillId="0" borderId="3" xfId="52" applyNumberFormat="1" applyFont="1" applyFill="1" applyBorder="1" applyAlignment="1"/>
    <xf numFmtId="3" fontId="10" fillId="0" borderId="0" xfId="52" applyNumberFormat="1" applyFont="1" applyFill="1" applyBorder="1" applyAlignment="1"/>
    <xf numFmtId="3" fontId="10" fillId="0" borderId="0" xfId="52" applyNumberFormat="1" applyFont="1" applyBorder="1" applyAlignment="1"/>
    <xf numFmtId="0" fontId="10" fillId="0" borderId="0" xfId="52" applyFont="1"/>
    <xf numFmtId="166" fontId="10" fillId="0" borderId="0" xfId="52" applyNumberFormat="1" applyFont="1" applyBorder="1"/>
    <xf numFmtId="166" fontId="40" fillId="0" borderId="0" xfId="59" applyNumberFormat="1" applyFont="1" applyFill="1" applyBorder="1" applyAlignment="1"/>
    <xf numFmtId="166" fontId="10" fillId="0" borderId="0" xfId="52" applyNumberFormat="1" applyFont="1" applyFill="1" applyBorder="1"/>
    <xf numFmtId="0" fontId="10" fillId="0" borderId="0" xfId="52" applyFont="1" applyAlignment="1">
      <alignment horizontal="left" indent="1"/>
    </xf>
    <xf numFmtId="0" fontId="10" fillId="0" borderId="2" xfId="52" applyFont="1" applyBorder="1" applyAlignment="1">
      <alignment horizontal="left" indent="1"/>
    </xf>
    <xf numFmtId="166" fontId="10" fillId="0" borderId="2" xfId="52" applyNumberFormat="1" applyFont="1" applyBorder="1"/>
    <xf numFmtId="166" fontId="10" fillId="0" borderId="2" xfId="52" applyNumberFormat="1" applyFont="1" applyFill="1" applyBorder="1"/>
    <xf numFmtId="4" fontId="45" fillId="0" borderId="0" xfId="60" applyNumberFormat="1" applyFont="1"/>
    <xf numFmtId="0" fontId="53" fillId="0" borderId="4" xfId="60" applyFont="1" applyBorder="1" applyAlignment="1"/>
    <xf numFmtId="0" fontId="53" fillId="0" borderId="0" xfId="60" applyFont="1" applyBorder="1" applyAlignment="1"/>
    <xf numFmtId="0" fontId="45" fillId="0" borderId="0" xfId="60" applyFont="1"/>
    <xf numFmtId="172" fontId="45" fillId="0" borderId="0" xfId="61" applyNumberFormat="1" applyFont="1" applyAlignment="1">
      <alignment horizontal="left"/>
    </xf>
    <xf numFmtId="0" fontId="45" fillId="0" borderId="2" xfId="60" applyFont="1" applyBorder="1"/>
    <xf numFmtId="0" fontId="45" fillId="0" borderId="2" xfId="60" applyFont="1" applyBorder="1" applyAlignment="1">
      <alignment horizontal="center"/>
    </xf>
    <xf numFmtId="172" fontId="45" fillId="0" borderId="0" xfId="61" applyNumberFormat="1" applyFont="1" applyAlignment="1">
      <alignment horizontal="center"/>
    </xf>
    <xf numFmtId="172" fontId="45" fillId="0" borderId="2" xfId="61" applyNumberFormat="1" applyFont="1" applyBorder="1" applyAlignment="1">
      <alignment horizontal="center"/>
    </xf>
    <xf numFmtId="0" fontId="45" fillId="0" borderId="3" xfId="60" applyFont="1" applyFill="1" applyBorder="1" applyAlignment="1">
      <alignment horizontal="left"/>
    </xf>
    <xf numFmtId="2" fontId="45" fillId="0" borderId="0" xfId="60" applyNumberFormat="1" applyFont="1" applyAlignment="1">
      <alignment horizontal="center"/>
    </xf>
    <xf numFmtId="9" fontId="45" fillId="0" borderId="0" xfId="12" applyNumberFormat="1" applyFont="1" applyAlignment="1">
      <alignment horizontal="center"/>
    </xf>
    <xf numFmtId="0" fontId="45" fillId="0" borderId="0" xfId="60" applyFont="1" applyFill="1" applyBorder="1" applyAlignment="1">
      <alignment horizontal="left" wrapText="1"/>
    </xf>
    <xf numFmtId="2" fontId="45" fillId="0" borderId="0" xfId="60" applyNumberFormat="1" applyFont="1" applyFill="1" applyAlignment="1">
      <alignment horizontal="center"/>
    </xf>
    <xf numFmtId="172" fontId="45" fillId="0" borderId="2" xfId="61" applyNumberFormat="1" applyFont="1" applyBorder="1" applyAlignment="1">
      <alignment horizontal="left"/>
    </xf>
    <xf numFmtId="9" fontId="45" fillId="0" borderId="2" xfId="12" applyNumberFormat="1" applyFont="1" applyBorder="1" applyAlignment="1">
      <alignment horizontal="center"/>
    </xf>
    <xf numFmtId="0" fontId="45" fillId="0" borderId="0" xfId="60" applyFont="1" applyBorder="1"/>
    <xf numFmtId="0" fontId="45" fillId="0" borderId="0" xfId="60" applyFont="1" applyFill="1" applyBorder="1" applyAlignment="1">
      <alignment horizontal="left"/>
    </xf>
    <xf numFmtId="0" fontId="45" fillId="10" borderId="49" xfId="60" applyFont="1" applyFill="1" applyBorder="1"/>
    <xf numFmtId="165" fontId="45" fillId="10" borderId="49" xfId="60" applyNumberFormat="1" applyFont="1" applyFill="1" applyBorder="1" applyAlignment="1">
      <alignment horizontal="center"/>
    </xf>
    <xf numFmtId="0" fontId="45" fillId="0" borderId="0" xfId="60" applyFont="1" applyFill="1"/>
    <xf numFmtId="3" fontId="45" fillId="0" borderId="0" xfId="60" applyNumberFormat="1" applyFont="1" applyFill="1" applyAlignment="1">
      <alignment horizontal="center" vertical="center"/>
    </xf>
    <xf numFmtId="10" fontId="45" fillId="0" borderId="0" xfId="60" applyNumberFormat="1" applyFont="1" applyAlignment="1">
      <alignment horizontal="center"/>
    </xf>
    <xf numFmtId="166" fontId="45" fillId="0" borderId="0" xfId="60" applyNumberFormat="1" applyFont="1"/>
    <xf numFmtId="165" fontId="45" fillId="0" borderId="0" xfId="60" applyNumberFormat="1" applyFont="1"/>
    <xf numFmtId="0" fontId="10" fillId="0" borderId="0" xfId="62" applyFont="1"/>
    <xf numFmtId="170" fontId="10" fillId="0" borderId="0" xfId="63" applyNumberFormat="1" applyFont="1"/>
    <xf numFmtId="0" fontId="10" fillId="0" borderId="0" xfId="62" applyFont="1" applyFill="1"/>
    <xf numFmtId="165" fontId="10" fillId="0" borderId="0" xfId="62" applyNumberFormat="1" applyFont="1" applyFill="1"/>
    <xf numFmtId="165" fontId="61" fillId="0" borderId="0" xfId="62" applyNumberFormat="1" applyFont="1"/>
    <xf numFmtId="0" fontId="10" fillId="0" borderId="2" xfId="62" applyFont="1" applyBorder="1"/>
    <xf numFmtId="0" fontId="10" fillId="0" borderId="2" xfId="62" applyFont="1" applyFill="1" applyBorder="1" applyAlignment="1">
      <alignment horizontal="center"/>
    </xf>
    <xf numFmtId="170" fontId="10" fillId="0" borderId="2" xfId="63" applyNumberFormat="1" applyFont="1" applyBorder="1"/>
    <xf numFmtId="0" fontId="53" fillId="0" borderId="4" xfId="0" applyFont="1" applyBorder="1" applyAlignment="1"/>
    <xf numFmtId="0" fontId="53" fillId="0" borderId="0" xfId="0" applyFont="1" applyBorder="1" applyAlignment="1"/>
    <xf numFmtId="0" fontId="10" fillId="0" borderId="52" xfId="0" applyFont="1" applyFill="1" applyBorder="1"/>
    <xf numFmtId="0" fontId="10" fillId="0" borderId="52" xfId="0" applyFont="1" applyFill="1" applyBorder="1" applyAlignment="1">
      <alignment horizontal="center"/>
    </xf>
    <xf numFmtId="0" fontId="10" fillId="0" borderId="52" xfId="0" applyFont="1" applyBorder="1"/>
    <xf numFmtId="0" fontId="10" fillId="0" borderId="5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49" xfId="0" applyNumberFormat="1" applyFont="1" applyFill="1" applyBorder="1" applyAlignment="1">
      <alignment horizontal="center"/>
    </xf>
    <xf numFmtId="0" fontId="10" fillId="0" borderId="3" xfId="0" applyFont="1" applyBorder="1"/>
    <xf numFmtId="165" fontId="10" fillId="0" borderId="3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0" fontId="53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165" fontId="10" fillId="0" borderId="49" xfId="0" applyNumberFormat="1" applyFont="1" applyBorder="1" applyAlignment="1">
      <alignment horizontal="center"/>
    </xf>
    <xf numFmtId="0" fontId="49" fillId="0" borderId="0" xfId="22" applyNumberFormat="1" applyFont="1" applyFill="1" applyBorder="1" applyAlignment="1"/>
    <xf numFmtId="0" fontId="40" fillId="0" borderId="0" xfId="22" applyNumberFormat="1" applyFont="1" applyFill="1" applyBorder="1" applyAlignment="1"/>
    <xf numFmtId="0" fontId="38" fillId="0" borderId="0" xfId="22" applyNumberFormat="1" applyFont="1" applyFill="1" applyBorder="1" applyAlignment="1"/>
    <xf numFmtId="0" fontId="10" fillId="0" borderId="0" xfId="22" applyFont="1" applyFill="1"/>
    <xf numFmtId="0" fontId="40" fillId="0" borderId="2" xfId="22" applyNumberFormat="1" applyFont="1" applyFill="1" applyBorder="1" applyAlignment="1"/>
    <xf numFmtId="0" fontId="40" fillId="0" borderId="2" xfId="22" applyNumberFormat="1" applyFont="1" applyFill="1" applyBorder="1" applyAlignment="1">
      <alignment horizontal="left"/>
    </xf>
    <xf numFmtId="165" fontId="40" fillId="0" borderId="0" xfId="22" applyNumberFormat="1" applyFont="1" applyFill="1" applyBorder="1" applyAlignment="1"/>
    <xf numFmtId="166" fontId="40" fillId="0" borderId="0" xfId="22" applyNumberFormat="1" applyFont="1" applyFill="1" applyBorder="1" applyAlignment="1"/>
    <xf numFmtId="0" fontId="40" fillId="0" borderId="0" xfId="22" applyFont="1" applyFill="1" applyBorder="1"/>
    <xf numFmtId="165" fontId="40" fillId="0" borderId="0" xfId="22" applyNumberFormat="1" applyFont="1" applyFill="1" applyBorder="1"/>
    <xf numFmtId="0" fontId="10" fillId="0" borderId="0" xfId="22" applyFont="1" applyFill="1" applyBorder="1"/>
    <xf numFmtId="0" fontId="10" fillId="0" borderId="0" xfId="2" applyFont="1"/>
    <xf numFmtId="0" fontId="38" fillId="0" borderId="4" xfId="2" applyFont="1" applyBorder="1"/>
    <xf numFmtId="0" fontId="10" fillId="0" borderId="4" xfId="2" applyFont="1" applyBorder="1"/>
    <xf numFmtId="0" fontId="10" fillId="0" borderId="0" xfId="2" applyFont="1" applyFill="1"/>
    <xf numFmtId="0" fontId="10" fillId="0" borderId="0" xfId="2" applyFont="1" applyFill="1" applyBorder="1"/>
    <xf numFmtId="165" fontId="45" fillId="0" borderId="0" xfId="29" applyNumberFormat="1" applyFont="1" applyFill="1" applyBorder="1" applyAlignment="1">
      <alignment horizontal="right" vertical="center" wrapText="1"/>
    </xf>
    <xf numFmtId="0" fontId="62" fillId="0" borderId="4" xfId="2" applyFont="1" applyBorder="1" applyAlignment="1">
      <alignment vertical="center"/>
    </xf>
    <xf numFmtId="0" fontId="62" fillId="0" borderId="0" xfId="2" applyFont="1" applyBorder="1" applyAlignment="1">
      <alignment vertical="center"/>
    </xf>
    <xf numFmtId="0" fontId="36" fillId="0" borderId="4" xfId="2" applyFont="1" applyFill="1" applyBorder="1" applyAlignment="1">
      <alignment vertical="center"/>
    </xf>
    <xf numFmtId="0" fontId="36" fillId="0" borderId="4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vertical="center" wrapText="1"/>
    </xf>
    <xf numFmtId="168" fontId="10" fillId="0" borderId="0" xfId="25" applyNumberFormat="1" applyFont="1" applyFill="1" applyBorder="1"/>
    <xf numFmtId="165" fontId="10" fillId="0" borderId="0" xfId="2" applyNumberFormat="1" applyFont="1" applyFill="1" applyBorder="1"/>
    <xf numFmtId="0" fontId="37" fillId="0" borderId="4" xfId="2" applyFont="1" applyFill="1" applyBorder="1" applyAlignment="1">
      <alignment horizontal="center" vertical="center"/>
    </xf>
    <xf numFmtId="0" fontId="37" fillId="0" borderId="4" xfId="2" applyFont="1" applyFill="1" applyBorder="1" applyAlignment="1">
      <alignment horizontal="center" vertical="center" wrapText="1"/>
    </xf>
    <xf numFmtId="0" fontId="37" fillId="0" borderId="42" xfId="2" applyFont="1" applyFill="1" applyBorder="1" applyAlignment="1">
      <alignment horizontal="center" vertical="center"/>
    </xf>
    <xf numFmtId="0" fontId="37" fillId="0" borderId="43" xfId="2" applyFont="1" applyFill="1" applyBorder="1" applyAlignment="1">
      <alignment horizontal="center" vertical="center"/>
    </xf>
    <xf numFmtId="0" fontId="37" fillId="0" borderId="0" xfId="2" applyFont="1" applyFill="1" applyAlignment="1">
      <alignment vertical="center"/>
    </xf>
    <xf numFmtId="0" fontId="37" fillId="0" borderId="0" xfId="2" applyFont="1" applyFill="1" applyAlignment="1">
      <alignment horizontal="center" vertical="center" wrapText="1"/>
    </xf>
    <xf numFmtId="165" fontId="37" fillId="0" borderId="39" xfId="2" applyNumberFormat="1" applyFont="1" applyFill="1" applyBorder="1" applyAlignment="1">
      <alignment horizontal="center" vertical="center"/>
    </xf>
    <xf numFmtId="165" fontId="37" fillId="0" borderId="18" xfId="2" applyNumberFormat="1" applyFont="1" applyFill="1" applyBorder="1" applyAlignment="1">
      <alignment horizontal="center" vertical="center"/>
    </xf>
    <xf numFmtId="165" fontId="37" fillId="0" borderId="44" xfId="2" applyNumberFormat="1" applyFont="1" applyFill="1" applyBorder="1" applyAlignment="1">
      <alignment horizontal="center" vertical="center"/>
    </xf>
    <xf numFmtId="165" fontId="37" fillId="0" borderId="45" xfId="2" applyNumberFormat="1" applyFont="1" applyFill="1" applyBorder="1" applyAlignment="1">
      <alignment horizontal="center" vertical="center"/>
    </xf>
    <xf numFmtId="0" fontId="45" fillId="0" borderId="0" xfId="2" applyFont="1" applyFill="1" applyBorder="1" applyAlignment="1">
      <alignment horizontal="left" vertical="center" wrapText="1"/>
    </xf>
    <xf numFmtId="0" fontId="37" fillId="0" borderId="4" xfId="2" applyFont="1" applyFill="1" applyBorder="1" applyAlignment="1">
      <alignment vertical="center"/>
    </xf>
    <xf numFmtId="165" fontId="37" fillId="0" borderId="42" xfId="2" applyNumberFormat="1" applyFont="1" applyFill="1" applyBorder="1" applyAlignment="1">
      <alignment horizontal="center" vertical="center"/>
    </xf>
    <xf numFmtId="165" fontId="37" fillId="0" borderId="43" xfId="2" applyNumberFormat="1" applyFont="1" applyFill="1" applyBorder="1" applyAlignment="1">
      <alignment horizontal="center" vertical="center"/>
    </xf>
    <xf numFmtId="165" fontId="36" fillId="0" borderId="20" xfId="2" applyNumberFormat="1" applyFont="1" applyFill="1" applyBorder="1" applyAlignment="1">
      <alignment horizontal="center" vertical="center"/>
    </xf>
    <xf numFmtId="165" fontId="36" fillId="0" borderId="19" xfId="2" applyNumberFormat="1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vertical="top"/>
    </xf>
    <xf numFmtId="0" fontId="37" fillId="0" borderId="0" xfId="2" applyFont="1" applyFill="1" applyBorder="1" applyAlignment="1">
      <alignment vertical="center" wrapText="1"/>
    </xf>
    <xf numFmtId="170" fontId="10" fillId="0" borderId="0" xfId="2" applyNumberFormat="1" applyFont="1"/>
    <xf numFmtId="0" fontId="44" fillId="0" borderId="0" xfId="2" applyFont="1" applyFill="1" applyBorder="1" applyAlignment="1"/>
    <xf numFmtId="0" fontId="10" fillId="0" borderId="0" xfId="0" applyFont="1" applyFill="1" applyBorder="1"/>
    <xf numFmtId="0" fontId="36" fillId="0" borderId="0" xfId="2" applyFont="1" applyFill="1" applyBorder="1" applyAlignment="1">
      <alignment vertical="center"/>
    </xf>
    <xf numFmtId="165" fontId="37" fillId="0" borderId="0" xfId="2" applyNumberFormat="1" applyFont="1" applyFill="1" applyBorder="1" applyAlignment="1">
      <alignment horizontal="center" vertical="center"/>
    </xf>
    <xf numFmtId="0" fontId="10" fillId="0" borderId="0" xfId="2" applyFont="1" applyBorder="1"/>
    <xf numFmtId="0" fontId="45" fillId="0" borderId="0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right" vertical="center" wrapText="1"/>
    </xf>
    <xf numFmtId="166" fontId="45" fillId="0" borderId="0" xfId="29" applyNumberFormat="1" applyFont="1" applyFill="1" applyBorder="1" applyAlignment="1">
      <alignment horizontal="right" vertical="center" wrapText="1"/>
    </xf>
    <xf numFmtId="0" fontId="44" fillId="0" borderId="0" xfId="2" applyFont="1" applyFill="1" applyBorder="1" applyAlignment="1">
      <alignment horizontal="left" vertical="center" wrapText="1"/>
    </xf>
    <xf numFmtId="0" fontId="45" fillId="0" borderId="0" xfId="2" applyFont="1" applyFill="1" applyBorder="1" applyAlignment="1">
      <alignment horizontal="left" vertical="center"/>
    </xf>
    <xf numFmtId="0" fontId="37" fillId="0" borderId="0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vertical="center"/>
    </xf>
    <xf numFmtId="2" fontId="36" fillId="0" borderId="0" xfId="28" applyNumberFormat="1" applyFont="1" applyFill="1" applyBorder="1" applyAlignment="1">
      <alignment vertical="center"/>
    </xf>
    <xf numFmtId="2" fontId="10" fillId="0" borderId="0" xfId="2" applyNumberFormat="1" applyFont="1" applyFill="1" applyBorder="1"/>
    <xf numFmtId="43" fontId="36" fillId="0" borderId="0" xfId="2" applyNumberFormat="1" applyFont="1" applyFill="1" applyBorder="1" applyAlignment="1">
      <alignment vertical="center"/>
    </xf>
    <xf numFmtId="0" fontId="36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/>
    </xf>
    <xf numFmtId="43" fontId="10" fillId="0" borderId="0" xfId="2" applyNumberFormat="1" applyFont="1" applyFill="1" applyBorder="1"/>
    <xf numFmtId="0" fontId="45" fillId="0" borderId="2" xfId="2" applyFont="1" applyFill="1" applyBorder="1" applyAlignment="1">
      <alignment horizontal="left" vertical="center" wrapText="1"/>
    </xf>
    <xf numFmtId="0" fontId="45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/>
    <xf numFmtId="166" fontId="45" fillId="0" borderId="2" xfId="29" applyNumberFormat="1" applyFont="1" applyFill="1" applyBorder="1" applyAlignment="1">
      <alignment horizontal="right" vertical="center" wrapText="1"/>
    </xf>
    <xf numFmtId="168" fontId="10" fillId="0" borderId="2" xfId="25" applyNumberFormat="1" applyFont="1" applyFill="1" applyBorder="1"/>
    <xf numFmtId="0" fontId="37" fillId="0" borderId="2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>
      <alignment vertical="center"/>
    </xf>
    <xf numFmtId="2" fontId="36" fillId="0" borderId="2" xfId="28" applyNumberFormat="1" applyFont="1" applyFill="1" applyBorder="1" applyAlignment="1">
      <alignment vertical="center"/>
    </xf>
    <xf numFmtId="2" fontId="10" fillId="0" borderId="2" xfId="2" applyNumberFormat="1" applyFont="1" applyFill="1" applyBorder="1"/>
    <xf numFmtId="43" fontId="36" fillId="0" borderId="2" xfId="2" applyNumberFormat="1" applyFont="1" applyFill="1" applyBorder="1" applyAlignment="1">
      <alignment vertical="center"/>
    </xf>
    <xf numFmtId="0" fontId="38" fillId="0" borderId="2" xfId="2" applyFont="1" applyFill="1" applyBorder="1"/>
    <xf numFmtId="0" fontId="37" fillId="0" borderId="2" xfId="2" applyFont="1" applyFill="1" applyBorder="1" applyAlignment="1">
      <alignment horizontal="center" vertical="center"/>
    </xf>
    <xf numFmtId="2" fontId="38" fillId="0" borderId="2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justify" vertical="center"/>
    </xf>
    <xf numFmtId="0" fontId="38" fillId="0" borderId="4" xfId="0" applyFont="1" applyFill="1" applyBorder="1" applyAlignment="1">
      <alignment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vertical="center" wrapText="1"/>
    </xf>
    <xf numFmtId="0" fontId="36" fillId="0" borderId="0" xfId="0" applyFont="1" applyFill="1" applyAlignment="1">
      <alignment vertical="center" wrapText="1"/>
    </xf>
    <xf numFmtId="0" fontId="36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2" fontId="36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" vertical="center" wrapText="1"/>
    </xf>
    <xf numFmtId="2" fontId="37" fillId="0" borderId="0" xfId="0" applyNumberFormat="1" applyFont="1" applyFill="1" applyAlignment="1">
      <alignment horizontal="center" vertical="center" wrapText="1"/>
    </xf>
    <xf numFmtId="0" fontId="37" fillId="0" borderId="24" xfId="0" applyFont="1" applyFill="1" applyBorder="1" applyAlignment="1">
      <alignment vertical="center" wrapText="1"/>
    </xf>
    <xf numFmtId="0" fontId="37" fillId="0" borderId="24" xfId="0" applyFont="1" applyFill="1" applyBorder="1" applyAlignment="1">
      <alignment horizontal="center" vertical="center" wrapText="1"/>
    </xf>
    <xf numFmtId="2" fontId="37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vertical="center" wrapText="1"/>
    </xf>
    <xf numFmtId="2" fontId="36" fillId="0" borderId="2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 indent="1"/>
    </xf>
    <xf numFmtId="0" fontId="10" fillId="0" borderId="5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vertical="center" wrapText="1"/>
    </xf>
    <xf numFmtId="0" fontId="36" fillId="0" borderId="2" xfId="0" applyFont="1" applyBorder="1" applyAlignment="1">
      <alignment horizontal="center" vertical="center" wrapText="1"/>
    </xf>
    <xf numFmtId="2" fontId="36" fillId="0" borderId="2" xfId="0" applyNumberFormat="1" applyFont="1" applyBorder="1" applyAlignment="1">
      <alignment horizontal="center" vertical="center" wrapText="1"/>
    </xf>
    <xf numFmtId="0" fontId="36" fillId="0" borderId="31" xfId="0" applyFont="1" applyBorder="1" applyAlignment="1">
      <alignment vertical="center" wrapText="1"/>
    </xf>
    <xf numFmtId="0" fontId="36" fillId="0" borderId="31" xfId="0" applyFont="1" applyBorder="1" applyAlignment="1">
      <alignment horizontal="center" vertical="center" wrapText="1"/>
    </xf>
    <xf numFmtId="2" fontId="36" fillId="0" borderId="31" xfId="0" applyNumberFormat="1" applyFont="1" applyBorder="1" applyAlignment="1">
      <alignment horizontal="center" vertical="center" wrapText="1"/>
    </xf>
    <xf numFmtId="2" fontId="37" fillId="0" borderId="0" xfId="0" applyNumberFormat="1" applyFont="1" applyAlignment="1">
      <alignment horizontal="center" vertical="center" wrapText="1"/>
    </xf>
    <xf numFmtId="2" fontId="44" fillId="0" borderId="31" xfId="0" applyNumberFormat="1" applyFont="1" applyBorder="1" applyAlignment="1">
      <alignment horizontal="center" vertical="center" wrapText="1"/>
    </xf>
    <xf numFmtId="165" fontId="38" fillId="0" borderId="0" xfId="0" applyNumberFormat="1" applyFont="1" applyFill="1" applyBorder="1" applyAlignment="1">
      <alignment horizontal="center" vertical="center" wrapText="1"/>
    </xf>
    <xf numFmtId="2" fontId="45" fillId="0" borderId="0" xfId="0" applyNumberFormat="1" applyFont="1" applyAlignment="1">
      <alignment horizontal="center" vertical="center" wrapText="1"/>
    </xf>
    <xf numFmtId="2" fontId="45" fillId="0" borderId="0" xfId="0" applyNumberFormat="1" applyFont="1" applyFill="1" applyAlignment="1">
      <alignment horizontal="center" vertical="center" wrapText="1"/>
    </xf>
    <xf numFmtId="0" fontId="36" fillId="0" borderId="49" xfId="0" applyFont="1" applyFill="1" applyBorder="1" applyAlignment="1">
      <alignment vertical="center" wrapText="1"/>
    </xf>
    <xf numFmtId="0" fontId="36" fillId="0" borderId="49" xfId="0" applyFont="1" applyBorder="1" applyAlignment="1">
      <alignment horizontal="center" vertical="center" wrapText="1"/>
    </xf>
    <xf numFmtId="2" fontId="36" fillId="0" borderId="49" xfId="0" applyNumberFormat="1" applyFont="1" applyBorder="1" applyAlignment="1">
      <alignment horizontal="center" vertical="center" wrapText="1"/>
    </xf>
    <xf numFmtId="2" fontId="44" fillId="0" borderId="49" xfId="0" applyNumberFormat="1" applyFont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vertical="center" wrapText="1"/>
    </xf>
    <xf numFmtId="0" fontId="37" fillId="0" borderId="51" xfId="0" applyFont="1" applyFill="1" applyBorder="1" applyAlignment="1">
      <alignment horizontal="center" vertical="center" wrapText="1"/>
    </xf>
    <xf numFmtId="2" fontId="37" fillId="0" borderId="51" xfId="0" applyNumberFormat="1" applyFont="1" applyFill="1" applyBorder="1" applyAlignment="1">
      <alignment horizontal="center" vertical="center" wrapText="1"/>
    </xf>
    <xf numFmtId="0" fontId="45" fillId="0" borderId="2" xfId="0" applyFont="1" applyBorder="1"/>
    <xf numFmtId="2" fontId="37" fillId="0" borderId="2" xfId="0" applyNumberFormat="1" applyFont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2" fontId="45" fillId="0" borderId="0" xfId="0" applyNumberFormat="1" applyFont="1" applyAlignment="1">
      <alignment vertical="center" wrapText="1"/>
    </xf>
    <xf numFmtId="2" fontId="45" fillId="0" borderId="3" xfId="0" applyNumberFormat="1" applyFont="1" applyBorder="1" applyAlignment="1">
      <alignment vertical="center" wrapText="1"/>
    </xf>
    <xf numFmtId="0" fontId="41" fillId="0" borderId="3" xfId="0" applyFont="1" applyBorder="1" applyAlignment="1">
      <alignment horizontal="right" vertical="top" wrapText="1"/>
    </xf>
    <xf numFmtId="0" fontId="41" fillId="0" borderId="0" xfId="0" applyFont="1" applyBorder="1" applyAlignment="1">
      <alignment horizontal="right" vertical="top" wrapText="1"/>
    </xf>
    <xf numFmtId="0" fontId="34" fillId="0" borderId="4" xfId="0" applyFont="1" applyFill="1" applyBorder="1"/>
    <xf numFmtId="0" fontId="37" fillId="3" borderId="4" xfId="0" applyFont="1" applyFill="1" applyBorder="1" applyAlignment="1">
      <alignment vertical="center"/>
    </xf>
    <xf numFmtId="0" fontId="36" fillId="3" borderId="13" xfId="0" applyFont="1" applyFill="1" applyBorder="1" applyAlignment="1">
      <alignment horizontal="center" vertical="center"/>
    </xf>
    <xf numFmtId="0" fontId="36" fillId="3" borderId="4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left" vertical="center" indent="1"/>
    </xf>
    <xf numFmtId="0" fontId="37" fillId="3" borderId="10" xfId="0" applyFont="1" applyFill="1" applyBorder="1" applyAlignment="1">
      <alignment horizontal="center" vertical="center"/>
    </xf>
    <xf numFmtId="1" fontId="37" fillId="3" borderId="0" xfId="8" applyNumberFormat="1" applyFont="1" applyFill="1" applyBorder="1" applyAlignment="1">
      <alignment horizontal="center" vertical="center" wrapText="1"/>
    </xf>
    <xf numFmtId="2" fontId="37" fillId="3" borderId="0" xfId="0" applyNumberFormat="1" applyFont="1" applyFill="1" applyBorder="1" applyAlignment="1">
      <alignment horizontal="center" wrapText="1"/>
    </xf>
    <xf numFmtId="0" fontId="36" fillId="3" borderId="0" xfId="0" applyFont="1" applyFill="1" applyAlignment="1">
      <alignment horizontal="left" vertical="center" indent="2"/>
    </xf>
    <xf numFmtId="1" fontId="37" fillId="3" borderId="0" xfId="8" applyNumberFormat="1" applyFont="1" applyFill="1" applyAlignment="1">
      <alignment horizontal="center" vertical="center" wrapText="1"/>
    </xf>
    <xf numFmtId="0" fontId="38" fillId="3" borderId="0" xfId="0" applyFont="1" applyFill="1" applyAlignment="1">
      <alignment horizontal="left" indent="2"/>
    </xf>
    <xf numFmtId="0" fontId="10" fillId="3" borderId="10" xfId="0" applyFont="1" applyFill="1" applyBorder="1" applyAlignment="1">
      <alignment horizontal="center"/>
    </xf>
    <xf numFmtId="1" fontId="10" fillId="3" borderId="0" xfId="8" applyNumberFormat="1" applyFont="1" applyFill="1" applyAlignment="1">
      <alignment horizontal="center"/>
    </xf>
    <xf numFmtId="0" fontId="36" fillId="3" borderId="4" xfId="0" applyFont="1" applyFill="1" applyBorder="1" applyAlignment="1">
      <alignment horizontal="left" vertical="center" indent="2"/>
    </xf>
    <xf numFmtId="0" fontId="37" fillId="3" borderId="13" xfId="0" applyFont="1" applyFill="1" applyBorder="1" applyAlignment="1">
      <alignment horizontal="center" vertical="center"/>
    </xf>
    <xf numFmtId="1" fontId="37" fillId="3" borderId="4" xfId="8" applyNumberFormat="1" applyFont="1" applyFill="1" applyBorder="1" applyAlignment="1">
      <alignment horizontal="center" vertical="center" wrapText="1"/>
    </xf>
    <xf numFmtId="2" fontId="37" fillId="3" borderId="4" xfId="0" applyNumberFormat="1" applyFont="1" applyFill="1" applyBorder="1" applyAlignment="1">
      <alignment horizontal="center" wrapText="1"/>
    </xf>
    <xf numFmtId="0" fontId="36" fillId="3" borderId="6" xfId="0" applyFont="1" applyFill="1" applyBorder="1" applyAlignment="1">
      <alignment horizontal="left" vertical="center" indent="2"/>
    </xf>
    <xf numFmtId="0" fontId="37" fillId="3" borderId="17" xfId="0" applyFont="1" applyFill="1" applyBorder="1" applyAlignment="1">
      <alignment horizontal="center" vertical="center"/>
    </xf>
    <xf numFmtId="1" fontId="36" fillId="3" borderId="6" xfId="8" applyNumberFormat="1" applyFont="1" applyFill="1" applyBorder="1" applyAlignment="1">
      <alignment horizontal="center" vertical="center" wrapText="1"/>
    </xf>
    <xf numFmtId="2" fontId="36" fillId="3" borderId="6" xfId="0" applyNumberFormat="1" applyFont="1" applyFill="1" applyBorder="1" applyAlignment="1">
      <alignment horizontal="center" wrapText="1"/>
    </xf>
    <xf numFmtId="0" fontId="36" fillId="0" borderId="0" xfId="0" applyFont="1" applyAlignment="1">
      <alignment vertical="center"/>
    </xf>
    <xf numFmtId="175" fontId="10" fillId="0" borderId="0" xfId="0" applyNumberFormat="1" applyFont="1"/>
    <xf numFmtId="0" fontId="34" fillId="2" borderId="0" xfId="0" applyFont="1" applyFill="1" applyBorder="1" applyAlignment="1">
      <alignment vertical="center"/>
    </xf>
    <xf numFmtId="0" fontId="37" fillId="2" borderId="4" xfId="0" applyFont="1" applyFill="1" applyBorder="1" applyAlignment="1">
      <alignment vertical="center"/>
    </xf>
    <xf numFmtId="0" fontId="36" fillId="2" borderId="4" xfId="0" applyFont="1" applyFill="1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4" fontId="37" fillId="2" borderId="0" xfId="0" applyNumberFormat="1" applyFont="1" applyFill="1" applyAlignment="1">
      <alignment horizontal="center" vertical="center"/>
    </xf>
    <xf numFmtId="4" fontId="37" fillId="0" borderId="4" xfId="0" applyNumberFormat="1" applyFont="1" applyFill="1" applyBorder="1" applyAlignment="1">
      <alignment horizontal="center" vertical="center"/>
    </xf>
    <xf numFmtId="4" fontId="37" fillId="0" borderId="0" xfId="0" applyNumberFormat="1" applyFont="1" applyFill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36" fillId="2" borderId="0" xfId="0" applyFont="1" applyFill="1" applyAlignment="1">
      <alignment horizontal="center" vertical="center"/>
    </xf>
    <xf numFmtId="0" fontId="38" fillId="0" borderId="31" xfId="0" applyFont="1" applyBorder="1" applyAlignment="1">
      <alignment vertical="center"/>
    </xf>
    <xf numFmtId="0" fontId="38" fillId="0" borderId="31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38" fillId="0" borderId="31" xfId="0" applyFont="1" applyBorder="1" applyAlignment="1">
      <alignment horizontal="left" vertical="center"/>
    </xf>
    <xf numFmtId="0" fontId="38" fillId="0" borderId="31" xfId="0" applyFont="1" applyBorder="1" applyAlignment="1">
      <alignment horizontal="center" vertical="center"/>
    </xf>
    <xf numFmtId="2" fontId="10" fillId="0" borderId="2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37" fillId="0" borderId="2" xfId="0" applyNumberFormat="1" applyFont="1" applyFill="1" applyBorder="1" applyAlignment="1">
      <alignment horizontal="center"/>
    </xf>
    <xf numFmtId="9" fontId="36" fillId="0" borderId="2" xfId="12" applyFont="1" applyFill="1" applyBorder="1" applyAlignment="1">
      <alignment horizontal="center"/>
    </xf>
    <xf numFmtId="165" fontId="37" fillId="0" borderId="49" xfId="0" applyNumberFormat="1" applyFont="1" applyFill="1" applyBorder="1" applyAlignment="1">
      <alignment horizontal="center"/>
    </xf>
    <xf numFmtId="165" fontId="10" fillId="0" borderId="0" xfId="0" applyNumberFormat="1" applyFont="1" applyFill="1" applyBorder="1"/>
    <xf numFmtId="0" fontId="53" fillId="0" borderId="2" xfId="0" applyFont="1" applyFill="1" applyBorder="1" applyAlignment="1">
      <alignment vertical="center"/>
    </xf>
    <xf numFmtId="179" fontId="10" fillId="0" borderId="0" xfId="0" applyNumberFormat="1" applyFont="1"/>
    <xf numFmtId="168" fontId="10" fillId="0" borderId="0" xfId="0" applyNumberFormat="1" applyFont="1"/>
    <xf numFmtId="10" fontId="10" fillId="0" borderId="0" xfId="0" applyNumberFormat="1" applyFont="1"/>
    <xf numFmtId="0" fontId="38" fillId="0" borderId="3" xfId="0" applyFont="1" applyBorder="1"/>
    <xf numFmtId="179" fontId="10" fillId="0" borderId="3" xfId="0" applyNumberFormat="1" applyFont="1" applyBorder="1"/>
    <xf numFmtId="168" fontId="10" fillId="0" borderId="0" xfId="67" applyNumberFormat="1" applyFont="1"/>
    <xf numFmtId="168" fontId="10" fillId="0" borderId="3" xfId="67" applyNumberFormat="1" applyFont="1" applyBorder="1"/>
    <xf numFmtId="0" fontId="42" fillId="0" borderId="0" xfId="0" applyFont="1"/>
    <xf numFmtId="0" fontId="38" fillId="0" borderId="3" xfId="66" applyFont="1" applyBorder="1"/>
    <xf numFmtId="0" fontId="37" fillId="0" borderId="4" xfId="0" applyFont="1" applyBorder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0" fontId="36" fillId="0" borderId="4" xfId="0" applyFont="1" applyBorder="1" applyAlignment="1">
      <alignment vertical="center" wrapText="1"/>
    </xf>
    <xf numFmtId="0" fontId="34" fillId="0" borderId="0" xfId="0" applyFont="1" applyBorder="1" applyAlignment="1">
      <alignment vertical="center"/>
    </xf>
    <xf numFmtId="0" fontId="36" fillId="0" borderId="5" xfId="0" applyFont="1" applyBorder="1" applyAlignment="1">
      <alignment vertical="center"/>
    </xf>
    <xf numFmtId="0" fontId="36" fillId="0" borderId="4" xfId="0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49" fillId="0" borderId="49" xfId="26" applyNumberFormat="1" applyFont="1" applyFill="1" applyBorder="1" applyAlignment="1">
      <alignment horizontal="center"/>
    </xf>
    <xf numFmtId="0" fontId="40" fillId="0" borderId="0" xfId="26" applyNumberFormat="1" applyFont="1" applyFill="1" applyBorder="1" applyAlignment="1"/>
    <xf numFmtId="166" fontId="40" fillId="0" borderId="0" xfId="26" applyNumberFormat="1" applyFont="1" applyFill="1" applyBorder="1" applyAlignment="1"/>
    <xf numFmtId="176" fontId="40" fillId="0" borderId="0" xfId="16" applyNumberFormat="1" applyFont="1" applyFill="1" applyBorder="1" applyAlignment="1"/>
    <xf numFmtId="0" fontId="40" fillId="0" borderId="0" xfId="26" applyFont="1" applyFill="1" applyBorder="1"/>
    <xf numFmtId="176" fontId="40" fillId="0" borderId="0" xfId="16" applyNumberFormat="1" applyFont="1" applyFill="1" applyBorder="1"/>
    <xf numFmtId="165" fontId="40" fillId="0" borderId="0" xfId="26" applyNumberFormat="1" applyFont="1" applyFill="1" applyBorder="1"/>
    <xf numFmtId="0" fontId="40" fillId="0" borderId="2" xfId="26" applyNumberFormat="1" applyFont="1" applyFill="1" applyBorder="1" applyAlignment="1"/>
    <xf numFmtId="166" fontId="40" fillId="0" borderId="2" xfId="26" applyNumberFormat="1" applyFont="1" applyFill="1" applyBorder="1"/>
    <xf numFmtId="0" fontId="40" fillId="0" borderId="2" xfId="26" applyFont="1" applyFill="1" applyBorder="1"/>
    <xf numFmtId="0" fontId="49" fillId="0" borderId="49" xfId="68" applyNumberFormat="1" applyFont="1" applyFill="1" applyBorder="1" applyAlignment="1">
      <alignment horizontal="center"/>
    </xf>
    <xf numFmtId="0" fontId="40" fillId="0" borderId="0" xfId="68" applyNumberFormat="1" applyFont="1" applyFill="1" applyBorder="1" applyAlignment="1"/>
    <xf numFmtId="166" fontId="40" fillId="0" borderId="0" xfId="68" applyNumberFormat="1" applyFont="1" applyFill="1" applyBorder="1" applyAlignment="1"/>
    <xf numFmtId="165" fontId="40" fillId="0" borderId="0" xfId="27" applyNumberFormat="1" applyFont="1" applyFill="1" applyBorder="1" applyAlignment="1"/>
    <xf numFmtId="0" fontId="10" fillId="0" borderId="57" xfId="0" applyFont="1" applyFill="1" applyBorder="1"/>
    <xf numFmtId="0" fontId="38" fillId="0" borderId="57" xfId="0" applyFont="1" applyFill="1" applyBorder="1" applyAlignment="1">
      <alignment horizontal="center"/>
    </xf>
    <xf numFmtId="9" fontId="10" fillId="0" borderId="0" xfId="0" applyNumberFormat="1" applyFont="1" applyFill="1" applyAlignment="1">
      <alignment horizontal="right"/>
    </xf>
    <xf numFmtId="0" fontId="42" fillId="0" borderId="0" xfId="0" applyFont="1" applyAlignment="1">
      <alignment horizontal="right"/>
    </xf>
    <xf numFmtId="0" fontId="10" fillId="0" borderId="58" xfId="0" applyFont="1" applyFill="1" applyBorder="1"/>
    <xf numFmtId="9" fontId="10" fillId="0" borderId="58" xfId="0" applyNumberFormat="1" applyFont="1" applyFill="1" applyBorder="1" applyAlignment="1">
      <alignment horizontal="right"/>
    </xf>
    <xf numFmtId="0" fontId="34" fillId="0" borderId="0" xfId="0" applyFont="1" applyAlignment="1">
      <alignment vertical="center" wrapText="1"/>
    </xf>
    <xf numFmtId="0" fontId="41" fillId="0" borderId="6" xfId="0" applyFont="1" applyBorder="1" applyAlignment="1">
      <alignment vertical="center" wrapText="1"/>
    </xf>
    <xf numFmtId="0" fontId="41" fillId="0" borderId="6" xfId="0" applyFont="1" applyBorder="1" applyAlignment="1">
      <alignment horizontal="center" vertical="center" wrapText="1"/>
    </xf>
    <xf numFmtId="0" fontId="37" fillId="0" borderId="4" xfId="0" applyFont="1" applyBorder="1" applyAlignment="1">
      <alignment vertical="center" wrapText="1"/>
    </xf>
    <xf numFmtId="176" fontId="10" fillId="0" borderId="0" xfId="8" applyNumberFormat="1" applyFont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6" fillId="0" borderId="49" xfId="0" applyFont="1" applyFill="1" applyBorder="1"/>
    <xf numFmtId="0" fontId="36" fillId="0" borderId="49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left"/>
    </xf>
    <xf numFmtId="168" fontId="37" fillId="0" borderId="0" xfId="12" applyNumberFormat="1" applyFont="1" applyFill="1" applyBorder="1" applyAlignment="1">
      <alignment horizontal="center" vertical="center"/>
    </xf>
    <xf numFmtId="177" fontId="37" fillId="0" borderId="0" xfId="0" applyNumberFormat="1" applyFont="1" applyFill="1" applyBorder="1" applyAlignment="1">
      <alignment horizontal="right" vertical="center"/>
    </xf>
    <xf numFmtId="0" fontId="37" fillId="0" borderId="2" xfId="0" applyFont="1" applyFill="1" applyBorder="1" applyAlignment="1">
      <alignment horizontal="left"/>
    </xf>
    <xf numFmtId="168" fontId="37" fillId="0" borderId="2" xfId="12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left"/>
    </xf>
    <xf numFmtId="168" fontId="36" fillId="0" borderId="2" xfId="12" applyNumberFormat="1" applyFont="1" applyFill="1" applyBorder="1" applyAlignment="1">
      <alignment horizontal="center" vertical="center"/>
    </xf>
    <xf numFmtId="178" fontId="36" fillId="0" borderId="49" xfId="0" applyNumberFormat="1" applyFont="1" applyFill="1" applyBorder="1" applyAlignment="1">
      <alignment horizontal="right" vertical="center"/>
    </xf>
    <xf numFmtId="168" fontId="40" fillId="0" borderId="0" xfId="12" applyNumberFormat="1" applyFont="1" applyAlignment="1">
      <alignment horizontal="center"/>
    </xf>
    <xf numFmtId="168" fontId="40" fillId="0" borderId="2" xfId="12" applyNumberFormat="1" applyFont="1" applyBorder="1" applyAlignment="1">
      <alignment horizontal="center"/>
    </xf>
    <xf numFmtId="0" fontId="40" fillId="0" borderId="2" xfId="2" applyFont="1" applyBorder="1" applyAlignment="1">
      <alignment wrapText="1"/>
    </xf>
    <xf numFmtId="0" fontId="40" fillId="0" borderId="2" xfId="2" applyFont="1" applyBorder="1"/>
    <xf numFmtId="0" fontId="38" fillId="0" borderId="2" xfId="0" applyNumberFormat="1" applyFont="1" applyBorder="1" applyAlignment="1">
      <alignment horizontal="center"/>
    </xf>
    <xf numFmtId="0" fontId="40" fillId="0" borderId="0" xfId="2" applyNumberFormat="1" applyFont="1" applyFill="1" applyBorder="1" applyAlignment="1"/>
    <xf numFmtId="170" fontId="40" fillId="0" borderId="0" xfId="8" applyNumberFormat="1" applyFont="1" applyFill="1" applyBorder="1" applyAlignment="1">
      <alignment horizontal="center"/>
    </xf>
    <xf numFmtId="0" fontId="40" fillId="0" borderId="2" xfId="2" applyNumberFormat="1" applyFont="1" applyFill="1" applyBorder="1" applyAlignment="1"/>
    <xf numFmtId="170" fontId="40" fillId="0" borderId="2" xfId="8" applyNumberFormat="1" applyFont="1" applyFill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9" fillId="0" borderId="49" xfId="34" applyFont="1" applyFill="1" applyBorder="1" applyAlignment="1">
      <alignment horizontal="center" vertical="top" wrapText="1"/>
    </xf>
    <xf numFmtId="0" fontId="3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37" fillId="0" borderId="49" xfId="0" applyFont="1" applyBorder="1" applyAlignment="1">
      <alignment horizontal="left" vertical="center"/>
    </xf>
    <xf numFmtId="0" fontId="38" fillId="0" borderId="49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/>
    </xf>
    <xf numFmtId="0" fontId="37" fillId="0" borderId="3" xfId="0" applyFont="1" applyBorder="1" applyAlignment="1">
      <alignment horizontal="left" vertical="center"/>
    </xf>
    <xf numFmtId="0" fontId="40" fillId="0" borderId="49" xfId="0" applyNumberFormat="1" applyFont="1" applyFill="1" applyBorder="1" applyAlignment="1"/>
    <xf numFmtId="0" fontId="10" fillId="0" borderId="49" xfId="0" applyFont="1" applyBorder="1" applyAlignment="1">
      <alignment horizontal="right" wrapText="1"/>
    </xf>
    <xf numFmtId="0" fontId="40" fillId="0" borderId="0" xfId="0" applyNumberFormat="1" applyFont="1" applyFill="1" applyBorder="1" applyAlignment="1"/>
    <xf numFmtId="0" fontId="10" fillId="0" borderId="3" xfId="0" applyFont="1" applyBorder="1" applyAlignment="1">
      <alignment horizontal="right"/>
    </xf>
    <xf numFmtId="0" fontId="10" fillId="0" borderId="0" xfId="0" applyFont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36" fillId="0" borderId="17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165" fontId="37" fillId="0" borderId="0" xfId="0" applyNumberFormat="1" applyFont="1" applyFill="1" applyAlignment="1">
      <alignment horizontal="center" vertical="center"/>
    </xf>
    <xf numFmtId="165" fontId="37" fillId="0" borderId="0" xfId="0" applyNumberFormat="1" applyFont="1" applyFill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indent="1"/>
    </xf>
    <xf numFmtId="2" fontId="37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2" fontId="36" fillId="0" borderId="0" xfId="0" applyNumberFormat="1" applyFont="1" applyAlignment="1">
      <alignment horizontal="center" vertical="center"/>
    </xf>
    <xf numFmtId="0" fontId="37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36" fillId="0" borderId="4" xfId="0" applyFont="1" applyBorder="1" applyAlignment="1">
      <alignment horizontal="left" vertical="center" indent="1"/>
    </xf>
    <xf numFmtId="4" fontId="36" fillId="0" borderId="4" xfId="0" applyNumberFormat="1" applyFont="1" applyBorder="1" applyAlignment="1">
      <alignment horizontal="center" vertical="center"/>
    </xf>
    <xf numFmtId="0" fontId="10" fillId="0" borderId="0" xfId="51" applyFont="1"/>
    <xf numFmtId="0" fontId="10" fillId="0" borderId="0" xfId="54" applyFont="1"/>
    <xf numFmtId="0" fontId="38" fillId="0" borderId="4" xfId="54" applyFont="1" applyBorder="1"/>
    <xf numFmtId="0" fontId="10" fillId="0" borderId="4" xfId="51" applyFont="1" applyBorder="1"/>
    <xf numFmtId="0" fontId="38" fillId="0" borderId="0" xfId="51" applyFont="1"/>
    <xf numFmtId="165" fontId="10" fillId="0" borderId="0" xfId="51" applyNumberFormat="1" applyFont="1"/>
    <xf numFmtId="2" fontId="10" fillId="0" borderId="0" xfId="51" applyNumberFormat="1" applyFont="1"/>
    <xf numFmtId="0" fontId="10" fillId="0" borderId="0" xfId="51" applyFont="1" applyAlignment="1">
      <alignment horizontal="left" indent="1"/>
    </xf>
    <xf numFmtId="0" fontId="10" fillId="0" borderId="8" xfId="51" applyFont="1" applyBorder="1"/>
    <xf numFmtId="165" fontId="10" fillId="0" borderId="6" xfId="51" applyNumberFormat="1" applyFont="1" applyBorder="1"/>
    <xf numFmtId="165" fontId="10" fillId="0" borderId="17" xfId="51" applyNumberFormat="1" applyFont="1" applyBorder="1"/>
    <xf numFmtId="0" fontId="38" fillId="0" borderId="0" xfId="51" applyFont="1" applyAlignment="1">
      <alignment horizontal="left" indent="1"/>
    </xf>
    <xf numFmtId="0" fontId="38" fillId="0" borderId="4" xfId="0" applyFont="1" applyBorder="1" applyAlignment="1">
      <alignment wrapText="1"/>
    </xf>
    <xf numFmtId="0" fontId="38" fillId="0" borderId="0" xfId="0" applyFont="1" applyBorder="1" applyAlignment="1">
      <alignment wrapText="1"/>
    </xf>
    <xf numFmtId="0" fontId="64" fillId="8" borderId="36" xfId="0" applyFont="1" applyFill="1" applyBorder="1" applyAlignment="1">
      <alignment horizontal="center" vertical="center"/>
    </xf>
    <xf numFmtId="0" fontId="34" fillId="0" borderId="0" xfId="4" applyFont="1"/>
    <xf numFmtId="0" fontId="64" fillId="9" borderId="37" xfId="0" applyFont="1" applyFill="1" applyBorder="1" applyAlignment="1">
      <alignment horizontal="center" vertical="center"/>
    </xf>
    <xf numFmtId="0" fontId="10" fillId="0" borderId="0" xfId="4" applyFont="1"/>
    <xf numFmtId="0" fontId="10" fillId="0" borderId="0" xfId="4" applyFont="1" applyFill="1"/>
    <xf numFmtId="0" fontId="40" fillId="8" borderId="37" xfId="0" applyFont="1" applyFill="1" applyBorder="1" applyAlignment="1">
      <alignment horizontal="center" vertical="center"/>
    </xf>
    <xf numFmtId="0" fontId="34" fillId="0" borderId="0" xfId="4" applyFont="1" applyFill="1"/>
    <xf numFmtId="0" fontId="64" fillId="9" borderId="0" xfId="0" applyFont="1" applyFill="1" applyBorder="1" applyAlignment="1">
      <alignment horizontal="center" vertical="center"/>
    </xf>
    <xf numFmtId="0" fontId="45" fillId="0" borderId="0" xfId="69" applyNumberFormat="1" applyFont="1" applyFill="1" applyBorder="1" applyAlignment="1" applyProtection="1"/>
    <xf numFmtId="181" fontId="45" fillId="0" borderId="0" xfId="8" applyNumberFormat="1" applyFont="1" applyFill="1" applyBorder="1" applyAlignment="1" applyProtection="1"/>
    <xf numFmtId="0" fontId="44" fillId="0" borderId="0" xfId="69" applyNumberFormat="1" applyFont="1" applyFill="1" applyBorder="1" applyAlignment="1" applyProtection="1"/>
    <xf numFmtId="168" fontId="45" fillId="0" borderId="0" xfId="12" applyNumberFormat="1" applyFont="1" applyFill="1" applyBorder="1" applyAlignment="1" applyProtection="1"/>
    <xf numFmtId="165" fontId="45" fillId="0" borderId="0" xfId="69" applyNumberFormat="1" applyFont="1" applyFill="1" applyBorder="1" applyAlignment="1" applyProtection="1"/>
    <xf numFmtId="0" fontId="45" fillId="0" borderId="0" xfId="69" applyNumberFormat="1" applyFont="1" applyFill="1" applyBorder="1" applyAlignment="1" applyProtection="1">
      <alignment horizontal="center"/>
    </xf>
    <xf numFmtId="0" fontId="44" fillId="14" borderId="54" xfId="69" applyFont="1" applyFill="1" applyBorder="1" applyAlignment="1">
      <alignment horizontal="center" vertical="center"/>
    </xf>
    <xf numFmtId="0" fontId="44" fillId="14" borderId="54" xfId="70" applyFont="1" applyFill="1" applyBorder="1" applyAlignment="1">
      <alignment horizontal="center" vertical="center"/>
    </xf>
    <xf numFmtId="0" fontId="49" fillId="14" borderId="54" xfId="70" applyFont="1" applyFill="1" applyBorder="1" applyAlignment="1">
      <alignment horizontal="center" vertical="center"/>
    </xf>
    <xf numFmtId="0" fontId="44" fillId="14" borderId="55" xfId="69" applyFont="1" applyFill="1" applyBorder="1" applyAlignment="1">
      <alignment horizontal="center" vertical="center"/>
    </xf>
    <xf numFmtId="0" fontId="44" fillId="14" borderId="55" xfId="70" applyFont="1" applyFill="1" applyBorder="1" applyAlignment="1">
      <alignment horizontal="center" vertical="center"/>
    </xf>
    <xf numFmtId="4" fontId="49" fillId="14" borderId="59" xfId="5" applyNumberFormat="1" applyFont="1" applyFill="1" applyBorder="1" applyAlignment="1" applyProtection="1">
      <alignment horizontal="right" vertical="center"/>
      <protection locked="0"/>
    </xf>
    <xf numFmtId="4" fontId="44" fillId="13" borderId="54" xfId="69" applyNumberFormat="1" applyFont="1" applyFill="1" applyBorder="1" applyAlignment="1" applyProtection="1"/>
    <xf numFmtId="4" fontId="45" fillId="0" borderId="0" xfId="69" applyNumberFormat="1" applyFont="1" applyFill="1" applyBorder="1" applyAlignment="1" applyProtection="1"/>
    <xf numFmtId="4" fontId="40" fillId="0" borderId="54" xfId="69" applyNumberFormat="1" applyFont="1" applyFill="1" applyBorder="1" applyAlignment="1" applyProtection="1"/>
    <xf numFmtId="4" fontId="45" fillId="0" borderId="54" xfId="69" applyNumberFormat="1" applyFont="1" applyFill="1" applyBorder="1" applyAlignment="1" applyProtection="1"/>
    <xf numFmtId="0" fontId="45" fillId="0" borderId="0" xfId="69" applyFont="1" applyFill="1"/>
    <xf numFmtId="1" fontId="46" fillId="0" borderId="0" xfId="69" applyNumberFormat="1" applyFont="1" applyFill="1"/>
    <xf numFmtId="4" fontId="40" fillId="0" borderId="54" xfId="69" applyNumberFormat="1" applyFont="1" applyFill="1" applyBorder="1"/>
    <xf numFmtId="4" fontId="45" fillId="0" borderId="54" xfId="69" applyNumberFormat="1" applyFont="1" applyFill="1" applyBorder="1"/>
    <xf numFmtId="0" fontId="44" fillId="0" borderId="0" xfId="69" applyFont="1" applyFill="1"/>
    <xf numFmtId="3" fontId="44" fillId="0" borderId="0" xfId="69" applyNumberFormat="1" applyFont="1" applyFill="1" applyBorder="1" applyAlignment="1" applyProtection="1"/>
    <xf numFmtId="4" fontId="49" fillId="14" borderId="21" xfId="5" applyNumberFormat="1" applyFont="1" applyFill="1" applyBorder="1" applyAlignment="1" applyProtection="1">
      <alignment horizontal="right" vertical="center"/>
      <protection locked="0"/>
    </xf>
    <xf numFmtId="4" fontId="49" fillId="13" borderId="54" xfId="69" applyNumberFormat="1" applyFont="1" applyFill="1" applyBorder="1" applyAlignment="1" applyProtection="1"/>
    <xf numFmtId="4" fontId="49" fillId="14" borderId="59" xfId="5" applyNumberFormat="1" applyFont="1" applyFill="1" applyBorder="1" applyAlignment="1" applyProtection="1">
      <protection locked="0"/>
    </xf>
    <xf numFmtId="0" fontId="15" fillId="0" borderId="0" xfId="4"/>
    <xf numFmtId="0" fontId="38" fillId="0" borderId="4" xfId="0" applyFont="1" applyBorder="1" applyAlignment="1">
      <alignment horizontal="left" wrapText="1"/>
    </xf>
    <xf numFmtId="0" fontId="44" fillId="14" borderId="18" xfId="69" applyFont="1" applyFill="1" applyBorder="1" applyAlignment="1">
      <alignment horizontal="center" vertical="center"/>
    </xf>
    <xf numFmtId="0" fontId="44" fillId="14" borderId="19" xfId="69" applyFont="1" applyFill="1" applyBorder="1" applyAlignment="1">
      <alignment horizontal="center" vertical="center"/>
    </xf>
    <xf numFmtId="0" fontId="53" fillId="0" borderId="4" xfId="18" applyFont="1" applyBorder="1" applyAlignment="1">
      <alignment horizontal="left"/>
    </xf>
    <xf numFmtId="0" fontId="49" fillId="0" borderId="20" xfId="20" applyFont="1" applyBorder="1" applyAlignment="1">
      <alignment horizontal="center"/>
    </xf>
    <xf numFmtId="0" fontId="49" fillId="0" borderId="2" xfId="20" applyFont="1" applyBorder="1" applyAlignment="1">
      <alignment horizontal="center"/>
    </xf>
    <xf numFmtId="0" fontId="49" fillId="0" borderId="19" xfId="20" applyFont="1" applyBorder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1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right" vertical="center" wrapText="1"/>
    </xf>
    <xf numFmtId="0" fontId="42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53" fillId="0" borderId="4" xfId="60" applyFont="1" applyBorder="1" applyAlignment="1">
      <alignment horizontal="left"/>
    </xf>
    <xf numFmtId="172" fontId="53" fillId="0" borderId="4" xfId="61" applyNumberFormat="1" applyFont="1" applyBorder="1" applyAlignment="1">
      <alignment horizontal="left"/>
    </xf>
    <xf numFmtId="0" fontId="10" fillId="0" borderId="3" xfId="62" applyFont="1" applyBorder="1" applyAlignment="1">
      <alignment horizontal="center" vertical="center" wrapText="1"/>
    </xf>
    <xf numFmtId="0" fontId="10" fillId="0" borderId="0" xfId="62" applyFont="1" applyAlignment="1">
      <alignment horizontal="center" vertical="center" wrapText="1"/>
    </xf>
    <xf numFmtId="0" fontId="10" fillId="0" borderId="2" xfId="62" applyFont="1" applyBorder="1" applyAlignment="1">
      <alignment horizontal="center" vertical="center" wrapText="1"/>
    </xf>
    <xf numFmtId="0" fontId="53" fillId="0" borderId="4" xfId="0" applyFont="1" applyBorder="1" applyAlignment="1">
      <alignment horizontal="left"/>
    </xf>
    <xf numFmtId="0" fontId="53" fillId="0" borderId="4" xfId="62" applyFont="1" applyBorder="1" applyAlignment="1">
      <alignment horizontal="left"/>
    </xf>
    <xf numFmtId="0" fontId="37" fillId="0" borderId="0" xfId="2" applyFont="1" applyFill="1" applyBorder="1" applyAlignment="1">
      <alignment horizontal="left" vertical="top" wrapText="1"/>
    </xf>
    <xf numFmtId="0" fontId="36" fillId="0" borderId="0" xfId="2" applyFont="1" applyFill="1" applyBorder="1" applyAlignment="1">
      <alignment horizontal="center" vertical="center" wrapText="1"/>
    </xf>
    <xf numFmtId="0" fontId="36" fillId="0" borderId="46" xfId="2" applyFont="1" applyFill="1" applyBorder="1" applyAlignment="1">
      <alignment horizontal="center" vertical="center"/>
    </xf>
    <xf numFmtId="0" fontId="36" fillId="0" borderId="47" xfId="2" applyFont="1" applyFill="1" applyBorder="1" applyAlignment="1">
      <alignment horizontal="center" vertical="center"/>
    </xf>
    <xf numFmtId="0" fontId="36" fillId="0" borderId="40" xfId="2" applyFont="1" applyFill="1" applyBorder="1" applyAlignment="1">
      <alignment horizontal="center" vertical="center"/>
    </xf>
    <xf numFmtId="0" fontId="36" fillId="0" borderId="41" xfId="2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top" wrapText="1"/>
    </xf>
    <xf numFmtId="0" fontId="34" fillId="0" borderId="4" xfId="0" applyFont="1" applyBorder="1" applyAlignment="1">
      <alignment vertical="center"/>
    </xf>
    <xf numFmtId="0" fontId="36" fillId="0" borderId="8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top" wrapText="1"/>
    </xf>
    <xf numFmtId="0" fontId="34" fillId="0" borderId="4" xfId="0" applyFont="1" applyFill="1" applyBorder="1" applyAlignment="1">
      <alignment vertical="center" wrapText="1"/>
    </xf>
    <xf numFmtId="0" fontId="41" fillId="3" borderId="0" xfId="0" applyFont="1" applyFill="1" applyBorder="1" applyAlignment="1">
      <alignment horizontal="right" vertical="center" wrapText="1"/>
    </xf>
    <xf numFmtId="0" fontId="41" fillId="3" borderId="5" xfId="0" applyFont="1" applyFill="1" applyBorder="1" applyAlignment="1">
      <alignment horizontal="left" vertical="top" wrapText="1"/>
    </xf>
    <xf numFmtId="0" fontId="41" fillId="2" borderId="5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horizontal="center" vertical="center"/>
    </xf>
    <xf numFmtId="0" fontId="52" fillId="10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5" xfId="0" applyFont="1" applyBorder="1" applyAlignment="1">
      <alignment vertical="center" wrapText="1"/>
    </xf>
    <xf numFmtId="0" fontId="41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0" fontId="40" fillId="0" borderId="3" xfId="2" applyFont="1" applyBorder="1" applyAlignment="1">
      <alignment horizontal="center" vertical="center" wrapText="1"/>
    </xf>
    <xf numFmtId="0" fontId="40" fillId="0" borderId="0" xfId="2" applyFont="1" applyBorder="1" applyAlignment="1">
      <alignment horizontal="center" vertical="center" wrapText="1"/>
    </xf>
    <xf numFmtId="0" fontId="40" fillId="0" borderId="2" xfId="2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42" fillId="0" borderId="0" xfId="0" applyFont="1" applyAlignment="1">
      <alignment horizontal="right"/>
    </xf>
    <xf numFmtId="0" fontId="38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6" fillId="0" borderId="16" xfId="0" applyFont="1" applyBorder="1" applyAlignment="1">
      <alignment horizontal="center" vertical="center"/>
    </xf>
    <xf numFmtId="0" fontId="34" fillId="0" borderId="4" xfId="0" applyFont="1" applyBorder="1" applyAlignment="1">
      <alignment vertical="center" wrapText="1"/>
    </xf>
    <xf numFmtId="0" fontId="34" fillId="0" borderId="0" xfId="0" applyFont="1" applyBorder="1" applyAlignment="1">
      <alignment vertical="center" wrapText="1"/>
    </xf>
  </cellXfs>
  <cellStyles count="73">
    <cellStyle name="Accent5" xfId="41"/>
    <cellStyle name="Accent6" xfId="42"/>
    <cellStyle name="Čiarka" xfId="8" builtinId="3"/>
    <cellStyle name="Čiarka 2" xfId="16"/>
    <cellStyle name="Čiarka 2 2" xfId="36"/>
    <cellStyle name="Čiarka 2 2 2" xfId="61"/>
    <cellStyle name="Čiarka 3" xfId="28"/>
    <cellStyle name="Čiarka 3 2" xfId="29"/>
    <cellStyle name="Čiarka 4" xfId="33"/>
    <cellStyle name="Čiarka 5" xfId="63"/>
    <cellStyle name="Excel Built-in Normal" xfId="10"/>
    <cellStyle name="Hypertextové prepojenie" xfId="4" builtinId="8"/>
    <cellStyle name="Hypertextové prepojenie 2" xfId="43"/>
    <cellStyle name="Hypertextové prepojenie 3" xfId="48"/>
    <cellStyle name="Kontrolná bunka 2" xfId="40"/>
    <cellStyle name="Nadpis 1 2" xfId="38"/>
    <cellStyle name="Normal 2" xfId="1"/>
    <cellStyle name="Normal 45" xfId="56"/>
    <cellStyle name="Normal 45 2" xfId="71"/>
    <cellStyle name="Normal_TAB2 2" xfId="57"/>
    <cellStyle name="Normálna 11" xfId="3"/>
    <cellStyle name="Normálna 2" xfId="44"/>
    <cellStyle name="Normálna 2 2" xfId="5"/>
    <cellStyle name="Normálna 2 4" xfId="65"/>
    <cellStyle name="Normálna 3" xfId="17"/>
    <cellStyle name="Normálna 3 2" xfId="70"/>
    <cellStyle name="Normálna 4" xfId="14"/>
    <cellStyle name="Normálna 4 2" xfId="46"/>
    <cellStyle name="Normálna 4 3" xfId="45"/>
    <cellStyle name="Normálna 6" xfId="6"/>
    <cellStyle name="Normálne" xfId="0" builtinId="0"/>
    <cellStyle name="Normálne 10" xfId="55"/>
    <cellStyle name="normálne 10 2" xfId="69"/>
    <cellStyle name="Normálne 11" xfId="66"/>
    <cellStyle name="Normálne 14" xfId="9"/>
    <cellStyle name="Normálne 14 2" xfId="11"/>
    <cellStyle name="Normálne 14 2 2" xfId="19"/>
    <cellStyle name="Normálne 14 3" xfId="18"/>
    <cellStyle name="Normálne 2" xfId="2"/>
    <cellStyle name="Normálne 2 2" xfId="20"/>
    <cellStyle name="Normálne 2 3" xfId="34"/>
    <cellStyle name="Normálne 2 4" xfId="51"/>
    <cellStyle name="Normálne 3" xfId="13"/>
    <cellStyle name="Normálne 3 2" xfId="26"/>
    <cellStyle name="Normálne 3 3" xfId="35"/>
    <cellStyle name="Normálne 3 3 2" xfId="60"/>
    <cellStyle name="Normálne 3 4" xfId="53"/>
    <cellStyle name="Normálne 4" xfId="22"/>
    <cellStyle name="Normálne 4 2" xfId="59"/>
    <cellStyle name="normálne 4 3" xfId="64"/>
    <cellStyle name="Normálne 5" xfId="23"/>
    <cellStyle name="Normálne 50 2" xfId="30"/>
    <cellStyle name="Normálne 6" xfId="31"/>
    <cellStyle name="Normálne 6 2" xfId="68"/>
    <cellStyle name="Normálne 7" xfId="32"/>
    <cellStyle name="Normálne 8" xfId="52"/>
    <cellStyle name="Normálne 9" xfId="54"/>
    <cellStyle name="Normálne 9 2" xfId="62"/>
    <cellStyle name="normálne 9_Tabulky IFP_casove rady-request_20111102_" xfId="72"/>
    <cellStyle name="Percentá" xfId="12" builtinId="5"/>
    <cellStyle name="Percentá 2" xfId="15"/>
    <cellStyle name="percentá 2 10" xfId="7"/>
    <cellStyle name="Percentá 2 2" xfId="21"/>
    <cellStyle name="Percentá 2 3" xfId="25"/>
    <cellStyle name="Percentá 2 4" xfId="37"/>
    <cellStyle name="Percentá 2 5" xfId="49"/>
    <cellStyle name="Percentá 2 6" xfId="50"/>
    <cellStyle name="Percentá 3" xfId="24"/>
    <cellStyle name="Percentá 3 2" xfId="27"/>
    <cellStyle name="Percentá 4" xfId="58"/>
    <cellStyle name="Percentá 5" xfId="67"/>
    <cellStyle name="Použité hypertextové prepojenie 2" xfId="47"/>
    <cellStyle name="Zlá 2" xfId="39"/>
  </cellStyles>
  <dxfs count="18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2C9ADC"/>
      <color rgb="FFC6D9F1"/>
      <color rgb="FFD3BEDE"/>
      <color rgb="FFBFBFBF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68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4.xml"/><Relationship Id="rId68" Type="http://schemas.openxmlformats.org/officeDocument/2006/relationships/externalLink" Target="externalLinks/externalLink19.xml"/><Relationship Id="rId84" Type="http://schemas.openxmlformats.org/officeDocument/2006/relationships/externalLink" Target="externalLinks/externalLink35.xml"/><Relationship Id="rId89" Type="http://schemas.openxmlformats.org/officeDocument/2006/relationships/externalLink" Target="externalLinks/externalLink40.xml"/><Relationship Id="rId112" Type="http://schemas.openxmlformats.org/officeDocument/2006/relationships/externalLink" Target="externalLinks/externalLink63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58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4.xml"/><Relationship Id="rId58" Type="http://schemas.openxmlformats.org/officeDocument/2006/relationships/externalLink" Target="externalLinks/externalLink9.xml"/><Relationship Id="rId74" Type="http://schemas.openxmlformats.org/officeDocument/2006/relationships/externalLink" Target="externalLinks/externalLink25.xml"/><Relationship Id="rId79" Type="http://schemas.openxmlformats.org/officeDocument/2006/relationships/externalLink" Target="externalLinks/externalLink30.xml"/><Relationship Id="rId102" Type="http://schemas.openxmlformats.org/officeDocument/2006/relationships/externalLink" Target="externalLinks/externalLink53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2.xml"/><Relationship Id="rId82" Type="http://schemas.openxmlformats.org/officeDocument/2006/relationships/externalLink" Target="externalLinks/externalLink33.xml"/><Relationship Id="rId90" Type="http://schemas.openxmlformats.org/officeDocument/2006/relationships/externalLink" Target="externalLinks/externalLink41.xml"/><Relationship Id="rId95" Type="http://schemas.openxmlformats.org/officeDocument/2006/relationships/externalLink" Target="externalLinks/externalLink4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7.xml"/><Relationship Id="rId64" Type="http://schemas.openxmlformats.org/officeDocument/2006/relationships/externalLink" Target="externalLinks/externalLink15.xml"/><Relationship Id="rId69" Type="http://schemas.openxmlformats.org/officeDocument/2006/relationships/externalLink" Target="externalLinks/externalLink20.xml"/><Relationship Id="rId77" Type="http://schemas.openxmlformats.org/officeDocument/2006/relationships/externalLink" Target="externalLinks/externalLink28.xml"/><Relationship Id="rId100" Type="http://schemas.openxmlformats.org/officeDocument/2006/relationships/externalLink" Target="externalLinks/externalLink51.xml"/><Relationship Id="rId105" Type="http://schemas.openxmlformats.org/officeDocument/2006/relationships/externalLink" Target="externalLinks/externalLink56.xml"/><Relationship Id="rId113" Type="http://schemas.openxmlformats.org/officeDocument/2006/relationships/externalLink" Target="externalLinks/externalLink64.xml"/><Relationship Id="rId118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72" Type="http://schemas.openxmlformats.org/officeDocument/2006/relationships/externalLink" Target="externalLinks/externalLink23.xml"/><Relationship Id="rId80" Type="http://schemas.openxmlformats.org/officeDocument/2006/relationships/externalLink" Target="externalLinks/externalLink31.xml"/><Relationship Id="rId85" Type="http://schemas.openxmlformats.org/officeDocument/2006/relationships/externalLink" Target="externalLinks/externalLink36.xml"/><Relationship Id="rId93" Type="http://schemas.openxmlformats.org/officeDocument/2006/relationships/externalLink" Target="externalLinks/externalLink44.xml"/><Relationship Id="rId98" Type="http://schemas.openxmlformats.org/officeDocument/2006/relationships/externalLink" Target="externalLinks/externalLink49.xml"/><Relationship Id="rId121" Type="http://schemas.openxmlformats.org/officeDocument/2006/relationships/externalLink" Target="externalLinks/externalLink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0.xml"/><Relationship Id="rId67" Type="http://schemas.openxmlformats.org/officeDocument/2006/relationships/externalLink" Target="externalLinks/externalLink18.xml"/><Relationship Id="rId103" Type="http://schemas.openxmlformats.org/officeDocument/2006/relationships/externalLink" Target="externalLinks/externalLink54.xml"/><Relationship Id="rId108" Type="http://schemas.openxmlformats.org/officeDocument/2006/relationships/externalLink" Target="externalLinks/externalLink59.xml"/><Relationship Id="rId116" Type="http://schemas.openxmlformats.org/officeDocument/2006/relationships/externalLink" Target="externalLinks/externalLink67.xml"/><Relationship Id="rId124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5.xml"/><Relationship Id="rId62" Type="http://schemas.openxmlformats.org/officeDocument/2006/relationships/externalLink" Target="externalLinks/externalLink13.xml"/><Relationship Id="rId70" Type="http://schemas.openxmlformats.org/officeDocument/2006/relationships/externalLink" Target="externalLinks/externalLink21.xml"/><Relationship Id="rId75" Type="http://schemas.openxmlformats.org/officeDocument/2006/relationships/externalLink" Target="externalLinks/externalLink26.xml"/><Relationship Id="rId83" Type="http://schemas.openxmlformats.org/officeDocument/2006/relationships/externalLink" Target="externalLinks/externalLink34.xml"/><Relationship Id="rId88" Type="http://schemas.openxmlformats.org/officeDocument/2006/relationships/externalLink" Target="externalLinks/externalLink39.xml"/><Relationship Id="rId91" Type="http://schemas.openxmlformats.org/officeDocument/2006/relationships/externalLink" Target="externalLinks/externalLink42.xml"/><Relationship Id="rId96" Type="http://schemas.openxmlformats.org/officeDocument/2006/relationships/externalLink" Target="externalLinks/externalLink47.xml"/><Relationship Id="rId111" Type="http://schemas.openxmlformats.org/officeDocument/2006/relationships/externalLink" Target="externalLinks/externalLink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8.xml"/><Relationship Id="rId106" Type="http://schemas.openxmlformats.org/officeDocument/2006/relationships/externalLink" Target="externalLinks/externalLink57.xml"/><Relationship Id="rId114" Type="http://schemas.openxmlformats.org/officeDocument/2006/relationships/externalLink" Target="externalLinks/externalLink65.xml"/><Relationship Id="rId119" Type="http://schemas.openxmlformats.org/officeDocument/2006/relationships/externalLink" Target="externalLinks/externalLink70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3.xml"/><Relationship Id="rId60" Type="http://schemas.openxmlformats.org/officeDocument/2006/relationships/externalLink" Target="externalLinks/externalLink11.xml"/><Relationship Id="rId65" Type="http://schemas.openxmlformats.org/officeDocument/2006/relationships/externalLink" Target="externalLinks/externalLink16.xml"/><Relationship Id="rId73" Type="http://schemas.openxmlformats.org/officeDocument/2006/relationships/externalLink" Target="externalLinks/externalLink24.xml"/><Relationship Id="rId78" Type="http://schemas.openxmlformats.org/officeDocument/2006/relationships/externalLink" Target="externalLinks/externalLink29.xml"/><Relationship Id="rId81" Type="http://schemas.openxmlformats.org/officeDocument/2006/relationships/externalLink" Target="externalLinks/externalLink32.xml"/><Relationship Id="rId86" Type="http://schemas.openxmlformats.org/officeDocument/2006/relationships/externalLink" Target="externalLinks/externalLink37.xml"/><Relationship Id="rId94" Type="http://schemas.openxmlformats.org/officeDocument/2006/relationships/externalLink" Target="externalLinks/externalLink45.xml"/><Relationship Id="rId99" Type="http://schemas.openxmlformats.org/officeDocument/2006/relationships/externalLink" Target="externalLinks/externalLink50.xml"/><Relationship Id="rId101" Type="http://schemas.openxmlformats.org/officeDocument/2006/relationships/externalLink" Target="externalLinks/externalLink52.xml"/><Relationship Id="rId12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0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.xml"/><Relationship Id="rId55" Type="http://schemas.openxmlformats.org/officeDocument/2006/relationships/externalLink" Target="externalLinks/externalLink6.xml"/><Relationship Id="rId76" Type="http://schemas.openxmlformats.org/officeDocument/2006/relationships/externalLink" Target="externalLinks/externalLink27.xml"/><Relationship Id="rId97" Type="http://schemas.openxmlformats.org/officeDocument/2006/relationships/externalLink" Target="externalLinks/externalLink48.xml"/><Relationship Id="rId104" Type="http://schemas.openxmlformats.org/officeDocument/2006/relationships/externalLink" Target="externalLinks/externalLink55.xml"/><Relationship Id="rId120" Type="http://schemas.openxmlformats.org/officeDocument/2006/relationships/externalLink" Target="externalLinks/externalLink71.xml"/><Relationship Id="rId125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2.xml"/><Relationship Id="rId92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7.xml"/><Relationship Id="rId87" Type="http://schemas.openxmlformats.org/officeDocument/2006/relationships/externalLink" Target="externalLinks/externalLink38.xml"/><Relationship Id="rId110" Type="http://schemas.openxmlformats.org/officeDocument/2006/relationships/externalLink" Target="externalLinks/externalLink61.xml"/><Relationship Id="rId115" Type="http://schemas.openxmlformats.org/officeDocument/2006/relationships/externalLink" Target="externalLinks/externalLink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293708541418402E-2"/>
          <c:y val="0.2105723273864003"/>
          <c:w val="0.89153653846153846"/>
          <c:h val="0.6919454448038957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'Graf 1 + 2'!$E$10</c:f>
              <c:strCache>
                <c:ptCount val="1"/>
                <c:pt idx="0">
                  <c:v>Štrukturálne saldo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5"/>
              <c:layout>
                <c:manualLayout>
                  <c:x val="-7.8642023572792728E-3"/>
                  <c:y val="6.47855982125296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 + 2'!$F$9:$K$9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+ 2'!$F$10:$K$10</c:f>
              <c:numCache>
                <c:formatCode>0.0</c:formatCode>
                <c:ptCount val="6"/>
                <c:pt idx="0">
                  <c:v>-2.4474453061036785</c:v>
                </c:pt>
                <c:pt idx="1">
                  <c:v>-2.0651216795301686</c:v>
                </c:pt>
                <c:pt idx="2">
                  <c:v>-1.6864954172610547</c:v>
                </c:pt>
                <c:pt idx="3">
                  <c:v>-1.1308129031222216</c:v>
                </c:pt>
                <c:pt idx="4">
                  <c:v>-0.63012461205133019</c:v>
                </c:pt>
                <c:pt idx="5">
                  <c:v>-0.52742428767737259</c:v>
                </c:pt>
              </c:numCache>
            </c:numRef>
          </c:val>
        </c:ser>
        <c:ser>
          <c:idx val="0"/>
          <c:order val="2"/>
          <c:tx>
            <c:strRef>
              <c:f>'Graf 1 + 2'!$E$11</c:f>
              <c:strCache>
                <c:ptCount val="1"/>
                <c:pt idx="0">
                  <c:v>Nominálne saldo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5"/>
              <c:layout>
                <c:manualLayout>
                  <c:x val="8.7527352297592995E-3"/>
                  <c:y val="7.2180462523310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 + 2'!$F$9:$K$9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+ 2'!$F$11:$K$11</c:f>
              <c:numCache>
                <c:formatCode>0.00</c:formatCode>
                <c:ptCount val="6"/>
                <c:pt idx="0">
                  <c:v>-2.7445806862164637</c:v>
                </c:pt>
                <c:pt idx="1">
                  <c:v>-2.1911520941153646</c:v>
                </c:pt>
                <c:pt idx="2">
                  <c:v>-1.6259539031147603</c:v>
                </c:pt>
                <c:pt idx="3">
                  <c:v>-0.82999969762914805</c:v>
                </c:pt>
                <c:pt idx="4">
                  <c:v>-0.10000013791542728</c:v>
                </c:pt>
                <c:pt idx="5">
                  <c:v>0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03288"/>
        <c:axId val="297103680"/>
      </c:barChart>
      <c:lineChart>
        <c:grouping val="standard"/>
        <c:varyColors val="0"/>
        <c:ser>
          <c:idx val="4"/>
          <c:order val="0"/>
          <c:tx>
            <c:strRef>
              <c:f>'Graf 1 + 2'!$E$12</c:f>
              <c:strCache>
                <c:ptCount val="1"/>
                <c:pt idx="0">
                  <c:v>Konsolidačné úsilie</c:v>
                </c:pt>
              </c:strCache>
            </c:strRef>
          </c:tx>
          <c:spPr>
            <a:ln>
              <a:solidFill>
                <a:schemeClr val="tx1"/>
              </a:solidFill>
            </a:ln>
            <a:effectLst/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bubble3D val="0"/>
          </c:dPt>
          <c:dLbls>
            <c:dLbl>
              <c:idx val="3"/>
              <c:layout>
                <c:manualLayout>
                  <c:x val="-4.6727523132404268E-2"/>
                  <c:y val="-6.8681958233481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896479293199784E-2"/>
                  <c:y val="-6.497765298717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997260462792368E-2"/>
                  <c:y val="-7.441470991095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2700" cmpd="sng">
                <a:solidFill>
                  <a:schemeClr val="tx1"/>
                </a:solidFill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 + 2'!$F$9:$K$9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+ 2'!$F$12:$K$12</c:f>
              <c:numCache>
                <c:formatCode>0.0</c:formatCode>
                <c:ptCount val="6"/>
                <c:pt idx="0">
                  <c:v>-5.0813522331976113E-2</c:v>
                </c:pt>
                <c:pt idx="1">
                  <c:v>0.38232362657350993</c:v>
                </c:pt>
                <c:pt idx="2">
                  <c:v>0.37862626226911389</c:v>
                </c:pt>
                <c:pt idx="3">
                  <c:v>0.55568251413883307</c:v>
                </c:pt>
                <c:pt idx="4">
                  <c:v>0.50068829107089141</c:v>
                </c:pt>
                <c:pt idx="5">
                  <c:v>0.1027003243739576</c:v>
                </c:pt>
              </c:numCache>
            </c:numRef>
          </c:val>
          <c:smooth val="0"/>
          <c:extLst xmlns:c15="http://schemas.microsoft.com/office/drawing/2012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03288"/>
        <c:axId val="297103680"/>
        <c:extLst/>
      </c:lineChart>
      <c:catAx>
        <c:axId val="297103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 b="1"/>
            </a:pPr>
            <a:endParaRPr lang="en-US"/>
          </a:p>
        </c:txPr>
        <c:crossAx val="297103680"/>
        <c:crosses val="autoZero"/>
        <c:auto val="1"/>
        <c:lblAlgn val="ctr"/>
        <c:lblOffset val="100"/>
        <c:noMultiLvlLbl val="0"/>
      </c:catAx>
      <c:valAx>
        <c:axId val="297103680"/>
        <c:scaling>
          <c:orientation val="minMax"/>
          <c:max val="2"/>
          <c:min val="-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97103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5767820990539"/>
          <c:y val="5.7696663886006493E-2"/>
          <c:w val="0.77830706762233592"/>
          <c:h val="0.12822815639912238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06E-2"/>
          <c:y val="8.4437714516454598E-2"/>
          <c:w val="0.91819511922711805"/>
          <c:h val="0.79938104898816931"/>
        </c:manualLayout>
      </c:layout>
      <c:areaChart>
        <c:grouping val="stacked"/>
        <c:varyColors val="0"/>
        <c:ser>
          <c:idx val="3"/>
          <c:order val="0"/>
          <c:tx>
            <c:strRef>
              <c:f>'Graf 10'!$M$8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 w="28575">
              <a:noFill/>
              <a:prstDash val="solid"/>
            </a:ln>
          </c:spPr>
          <c:cat>
            <c:numRef>
              <c:f>'Graf 10'!$N$7:$S$7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10'!$N$8:$S$8</c:f>
              <c:numCache>
                <c:formatCode>0.0</c:formatCode>
                <c:ptCount val="6"/>
                <c:pt idx="0">
                  <c:v>3.8711103254450485</c:v>
                </c:pt>
                <c:pt idx="1">
                  <c:v>4.2858515933641455</c:v>
                </c:pt>
                <c:pt idx="2">
                  <c:v>4.6929959688043565</c:v>
                </c:pt>
                <c:pt idx="3">
                  <c:v>4.8417720318990414</c:v>
                </c:pt>
                <c:pt idx="4">
                  <c:v>4.9754385604037559</c:v>
                </c:pt>
                <c:pt idx="5">
                  <c:v>4.4779603140622317</c:v>
                </c:pt>
              </c:numCache>
            </c:numRef>
          </c:val>
        </c:ser>
        <c:ser>
          <c:idx val="5"/>
          <c:order val="1"/>
          <c:tx>
            <c:strRef>
              <c:f>'Graf 10'!$M$9</c:f>
              <c:strCache>
                <c:ptCount val="1"/>
                <c:pt idx="0">
                  <c:v>max-min</c:v>
                </c:pt>
              </c:strCache>
            </c:strRef>
          </c:tx>
          <c:spPr>
            <a:solidFill>
              <a:srgbClr val="2C9ADC"/>
            </a:solidFill>
            <a:ln w="28575">
              <a:noFill/>
            </a:ln>
          </c:spPr>
          <c:cat>
            <c:numRef>
              <c:f>'Graf 10'!$N$7:$S$7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10'!$N$9:$S$9</c:f>
              <c:numCache>
                <c:formatCode>0.0</c:formatCode>
                <c:ptCount val="6"/>
                <c:pt idx="0">
                  <c:v>6.2580129369340654E-3</c:v>
                </c:pt>
                <c:pt idx="1">
                  <c:v>0</c:v>
                </c:pt>
                <c:pt idx="2">
                  <c:v>0.85726381852507583</c:v>
                </c:pt>
                <c:pt idx="3">
                  <c:v>1.0604216829944253</c:v>
                </c:pt>
                <c:pt idx="4">
                  <c:v>0.84896604111774732</c:v>
                </c:pt>
                <c:pt idx="5">
                  <c:v>1.2263285931566719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132616"/>
        <c:axId val="300133008"/>
      </c:areaChart>
      <c:lineChart>
        <c:grouping val="standard"/>
        <c:varyColors val="0"/>
        <c:ser>
          <c:idx val="1"/>
          <c:order val="2"/>
          <c:tx>
            <c:strRef>
              <c:f>'Graf 10'!$M$10</c:f>
              <c:strCache>
                <c:ptCount val="1"/>
                <c:pt idx="0">
                  <c:v>prognóza MF SR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10'!$N$7:$S$7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10'!$N$10:$S$10</c:f>
              <c:numCache>
                <c:formatCode>0.0</c:formatCode>
                <c:ptCount val="6"/>
                <c:pt idx="0">
                  <c:v>3.8773683383819826</c:v>
                </c:pt>
                <c:pt idx="1">
                  <c:v>4.2858515933641455</c:v>
                </c:pt>
                <c:pt idx="2">
                  <c:v>5.0911648632428887</c:v>
                </c:pt>
                <c:pt idx="3">
                  <c:v>5.3298465812829754</c:v>
                </c:pt>
                <c:pt idx="4">
                  <c:v>5.3448342395595283</c:v>
                </c:pt>
                <c:pt idx="5">
                  <c:v>5.4946612629658942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'Graf 10'!$M$11</c:f>
              <c:strCache>
                <c:ptCount val="1"/>
                <c:pt idx="0">
                  <c:v>medián Výboru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10'!$N$7:$S$7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10'!$N$11:$S$11</c:f>
              <c:numCache>
                <c:formatCode>0.0</c:formatCode>
                <c:ptCount val="6"/>
                <c:pt idx="0">
                  <c:v>3.8773683383819826</c:v>
                </c:pt>
                <c:pt idx="1">
                  <c:v>4.2858515933641455</c:v>
                </c:pt>
                <c:pt idx="2">
                  <c:v>5.1965522597439753</c:v>
                </c:pt>
                <c:pt idx="3">
                  <c:v>5.3298465812829754</c:v>
                </c:pt>
                <c:pt idx="4">
                  <c:v>5.3226581387836962</c:v>
                </c:pt>
                <c:pt idx="5">
                  <c:v>5.2107882498605784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132616"/>
        <c:axId val="300133008"/>
      </c:lineChart>
      <c:catAx>
        <c:axId val="300132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0133008"/>
        <c:crosses val="autoZero"/>
        <c:auto val="1"/>
        <c:lblAlgn val="ctr"/>
        <c:lblOffset val="100"/>
        <c:noMultiLvlLbl val="0"/>
      </c:catAx>
      <c:valAx>
        <c:axId val="300133008"/>
        <c:scaling>
          <c:orientation val="minMax"/>
          <c:min val="3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0132616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7077260796945805E-2"/>
          <c:y val="9.2143117526975696E-2"/>
          <c:w val="0.33757112477728601"/>
          <c:h val="0.1114610673665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9C9BA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</c:dPt>
          <c:dPt>
            <c:idx val="9"/>
            <c:invertIfNegative val="0"/>
            <c:bubble3D val="0"/>
          </c:dPt>
          <c:cat>
            <c:strRef>
              <c:f>'Graf 11 '!$K$7:$K$21</c:f>
              <c:strCache>
                <c:ptCount val="15"/>
                <c:pt idx="0">
                  <c:v>Saldo VS - rozpočet</c:v>
                </c:pt>
                <c:pt idx="1">
                  <c:v>Vyššie odvody (D.61)</c:v>
                </c:pt>
                <c:pt idx="2">
                  <c:v>Nižšie ostatné bežné transfery (D.7P)</c:v>
                </c:pt>
                <c:pt idx="3">
                  <c:v>Nižšie dotácie (D.3P)</c:v>
                </c:pt>
                <c:pt idx="4">
                  <c:v>Nižšie kapitálové investície (P.5L=P.51G)</c:v>
                </c:pt>
                <c:pt idx="5">
                  <c:v>Úspora na úrokových nákladoch (D.41P)</c:v>
                </c:pt>
                <c:pt idx="6">
                  <c:v>Nižšie kapitálové transfery (D.9P)</c:v>
                </c:pt>
                <c:pt idx="7">
                  <c:v>Vyššia medzispotreba (P.2)</c:v>
                </c:pt>
                <c:pt idx="8">
                  <c:v>Nižšie granty a transfery (D.39+D.7R+D.9R)</c:v>
                </c:pt>
                <c:pt idx="9">
                  <c:v>Nižšie daňové príjmy (D.2+D.5+D.91)</c:v>
                </c:pt>
                <c:pt idx="10">
                  <c:v>Kompenzácie zamestnancov (D.1P)</c:v>
                </c:pt>
                <c:pt idx="11">
                  <c:v>Vyššie výdavky verejného zdravotného poistenia (D.632P)</c:v>
                </c:pt>
                <c:pt idx="12">
                  <c:v>Vyššie výdavky na sociálne dávky (D.62P)*</c:v>
                </c:pt>
                <c:pt idx="13">
                  <c:v>Nižšie nedaňové príjmy (P.11+P.12+P.131+D.4)</c:v>
                </c:pt>
                <c:pt idx="14">
                  <c:v>Saldo VS - očakávaná skutočnosť</c:v>
                </c:pt>
              </c:strCache>
            </c:strRef>
          </c:cat>
          <c:val>
            <c:numRef>
              <c:f>'Graf 11 '!$N$7:$N$21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-71.740999999995097</c:v>
                </c:pt>
                <c:pt idx="5">
                  <c:v>0</c:v>
                </c:pt>
                <c:pt idx="6">
                  <c:v>0</c:v>
                </c:pt>
                <c:pt idx="7">
                  <c:v>76.677000000005023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cat>
            <c:strRef>
              <c:f>'Graf 11 '!$K$7:$K$21</c:f>
              <c:strCache>
                <c:ptCount val="15"/>
                <c:pt idx="0">
                  <c:v>Saldo VS - rozpočet</c:v>
                </c:pt>
                <c:pt idx="1">
                  <c:v>Vyššie odvody (D.61)</c:v>
                </c:pt>
                <c:pt idx="2">
                  <c:v>Nižšie ostatné bežné transfery (D.7P)</c:v>
                </c:pt>
                <c:pt idx="3">
                  <c:v>Nižšie dotácie (D.3P)</c:v>
                </c:pt>
                <c:pt idx="4">
                  <c:v>Nižšie kapitálové investície (P.5L=P.51G)</c:v>
                </c:pt>
                <c:pt idx="5">
                  <c:v>Úspora na úrokových nákladoch (D.41P)</c:v>
                </c:pt>
                <c:pt idx="6">
                  <c:v>Nižšie kapitálové transfery (D.9P)</c:v>
                </c:pt>
                <c:pt idx="7">
                  <c:v>Vyššia medzispotreba (P.2)</c:v>
                </c:pt>
                <c:pt idx="8">
                  <c:v>Nižšie granty a transfery (D.39+D.7R+D.9R)</c:v>
                </c:pt>
                <c:pt idx="9">
                  <c:v>Nižšie daňové príjmy (D.2+D.5+D.91)</c:v>
                </c:pt>
                <c:pt idx="10">
                  <c:v>Kompenzácie zamestnancov (D.1P)</c:v>
                </c:pt>
                <c:pt idx="11">
                  <c:v>Vyššie výdavky verejného zdravotného poistenia (D.632P)</c:v>
                </c:pt>
                <c:pt idx="12">
                  <c:v>Vyššie výdavky na sociálne dávky (D.62P)*</c:v>
                </c:pt>
                <c:pt idx="13">
                  <c:v>Nižšie nedaňové príjmy (P.11+P.12+P.131+D.4)</c:v>
                </c:pt>
                <c:pt idx="14">
                  <c:v>Saldo VS - očakávaná skutočnosť</c:v>
                </c:pt>
              </c:strCache>
            </c:strRef>
          </c:cat>
          <c:val>
            <c:numRef>
              <c:f>'Graf 11 '!$O$7:$O$21</c:f>
              <c:numCache>
                <c:formatCode>#,##0</c:formatCode>
                <c:ptCount val="15"/>
                <c:pt idx="1">
                  <c:v>-615.35999999999513</c:v>
                </c:pt>
                <c:pt idx="2">
                  <c:v>-211.28699999999503</c:v>
                </c:pt>
                <c:pt idx="3">
                  <c:v>-71.740999999995097</c:v>
                </c:pt>
                <c:pt idx="4">
                  <c:v>0</c:v>
                </c:pt>
                <c:pt idx="5">
                  <c:v>56.866000000004874</c:v>
                </c:pt>
                <c:pt idx="6">
                  <c:v>73.973000000005072</c:v>
                </c:pt>
                <c:pt idx="7">
                  <c:v>0</c:v>
                </c:pt>
                <c:pt idx="8">
                  <c:v>-261.07378599999549</c:v>
                </c:pt>
                <c:pt idx="9">
                  <c:v>-567.26378599999578</c:v>
                </c:pt>
                <c:pt idx="10">
                  <c:v>-847.94178599999566</c:v>
                </c:pt>
                <c:pt idx="11">
                  <c:v>-1103.1607859999958</c:v>
                </c:pt>
                <c:pt idx="12">
                  <c:v>-1245.1197859999957</c:v>
                </c:pt>
                <c:pt idx="13">
                  <c:v>-1354.2549999999956</c:v>
                </c:pt>
              </c:numCache>
            </c:numRef>
          </c:val>
        </c:ser>
        <c:ser>
          <c:idx val="2"/>
          <c:order val="2"/>
          <c:spPr>
            <a:solidFill>
              <a:srgbClr val="ED7D31">
                <a:lumMod val="40000"/>
                <a:lumOff val="60000"/>
              </a:srgb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</c:dPt>
          <c:dPt>
            <c:idx val="1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</c:dPt>
          <c:dPt>
            <c:idx val="2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</c:dPt>
          <c:dPt>
            <c:idx val="3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</c:dPt>
          <c:dPt>
            <c:idx val="4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</c:dPt>
          <c:dPt>
            <c:idx val="5"/>
            <c:invertIfNegative val="0"/>
            <c:bubble3D val="0"/>
            <c:spPr>
              <a:solidFill>
                <a:srgbClr val="B0D6AF">
                  <a:lumMod val="60000"/>
                  <a:lumOff val="40000"/>
                </a:srgbClr>
              </a:solidFill>
            </c:spPr>
          </c:dPt>
          <c:dPt>
            <c:idx val="6"/>
            <c:invertIfNegative val="0"/>
            <c:bubble3D val="0"/>
            <c:spPr>
              <a:solidFill>
                <a:srgbClr val="70AD47">
                  <a:lumMod val="40000"/>
                  <a:lumOff val="60000"/>
                </a:srgbClr>
              </a:solidFill>
            </c:spPr>
          </c:dPt>
          <c:dPt>
            <c:idx val="7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8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9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9C9BA"/>
              </a:solidFill>
            </c:spPr>
          </c:dPt>
          <c:dPt>
            <c:idx val="14"/>
            <c:invertIfNegative val="0"/>
            <c:bubble3D val="0"/>
            <c:spPr>
              <a:solidFill>
                <a:srgbClr val="5B9BD5">
                  <a:lumMod val="40000"/>
                  <a:lumOff val="60000"/>
                </a:srgbClr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fld id="{52D889E1-55AA-421F-95AF-86DEC4958B51}" type="VALUE">
                      <a:rPr lang="en-US"/>
                      <a:pPr/>
                      <a:t>[HODNOTA]</a:t>
                    </a:fld>
                    <a:r>
                      <a:rPr lang="en-US"/>
                      <a:t> (-1,29 %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404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140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646482134558157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129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6693944640367313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-338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8548827378186052E-3"/>
                  <c:y val="-1.354247205728442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>
                        <a:solidFill>
                          <a:schemeClr val="tx1"/>
                        </a:solidFill>
                      </a:defRPr>
                    </a:pPr>
                    <a:fld id="{AD4C3236-C658-4B89-A29E-D3A755EAA195}" type="VALUE">
                      <a:rPr lang="en-US"/>
                      <a:pPr>
                        <a:defRPr>
                          <a:solidFill>
                            <a:schemeClr val="tx1"/>
                          </a:solidFill>
                        </a:defRPr>
                      </a:pPr>
                      <a:t>[HODNOTA]</a:t>
                    </a:fld>
                    <a:r>
                      <a:rPr lang="en-US"/>
                      <a:t> (-1,63 % HDP)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11 '!$K$7:$K$21</c:f>
              <c:strCache>
                <c:ptCount val="15"/>
                <c:pt idx="0">
                  <c:v>Saldo VS - rozpočet</c:v>
                </c:pt>
                <c:pt idx="1">
                  <c:v>Vyššie odvody (D.61)</c:v>
                </c:pt>
                <c:pt idx="2">
                  <c:v>Nižšie ostatné bežné transfery (D.7P)</c:v>
                </c:pt>
                <c:pt idx="3">
                  <c:v>Nižšie dotácie (D.3P)</c:v>
                </c:pt>
                <c:pt idx="4">
                  <c:v>Nižšie kapitálové investície (P.5L=P.51G)</c:v>
                </c:pt>
                <c:pt idx="5">
                  <c:v>Úspora na úrokových nákladoch (D.41P)</c:v>
                </c:pt>
                <c:pt idx="6">
                  <c:v>Nižšie kapitálové transfery (D.9P)</c:v>
                </c:pt>
                <c:pt idx="7">
                  <c:v>Vyššia medzispotreba (P.2)</c:v>
                </c:pt>
                <c:pt idx="8">
                  <c:v>Nižšie granty a transfery (D.39+D.7R+D.9R)</c:v>
                </c:pt>
                <c:pt idx="9">
                  <c:v>Nižšie daňové príjmy (D.2+D.5+D.91)</c:v>
                </c:pt>
                <c:pt idx="10">
                  <c:v>Kompenzácie zamestnancov (D.1P)</c:v>
                </c:pt>
                <c:pt idx="11">
                  <c:v>Vyššie výdavky verejného zdravotného poistenia (D.632P)</c:v>
                </c:pt>
                <c:pt idx="12">
                  <c:v>Vyššie výdavky na sociálne dávky (D.62P)*</c:v>
                </c:pt>
                <c:pt idx="13">
                  <c:v>Nižšie nedaňové príjmy (P.11+P.12+P.131+D.4)</c:v>
                </c:pt>
                <c:pt idx="14">
                  <c:v>Saldo VS - očakávaná skutočnosť</c:v>
                </c:pt>
              </c:strCache>
            </c:strRef>
          </c:cat>
          <c:val>
            <c:numRef>
              <c:f>'Graf 11 '!$P$7:$P$21</c:f>
              <c:numCache>
                <c:formatCode>#,##0</c:formatCode>
                <c:ptCount val="15"/>
                <c:pt idx="0">
                  <c:v>-1083.4889999999941</c:v>
                </c:pt>
                <c:pt idx="1">
                  <c:v>-468.128999999999</c:v>
                </c:pt>
                <c:pt idx="2">
                  <c:v>-404.07300000000009</c:v>
                </c:pt>
                <c:pt idx="3">
                  <c:v>-139.54599999999994</c:v>
                </c:pt>
                <c:pt idx="4">
                  <c:v>56.866000000004874</c:v>
                </c:pt>
                <c:pt idx="5">
                  <c:v>17.107000000000198</c:v>
                </c:pt>
                <c:pt idx="6">
                  <c:v>2.7039999999999509</c:v>
                </c:pt>
                <c:pt idx="7">
                  <c:v>-261.07378599999549</c:v>
                </c:pt>
                <c:pt idx="8">
                  <c:v>-306.19000000000028</c:v>
                </c:pt>
                <c:pt idx="9">
                  <c:v>-280.67799999999988</c:v>
                </c:pt>
                <c:pt idx="10">
                  <c:v>-255.21900000000005</c:v>
                </c:pt>
                <c:pt idx="11">
                  <c:v>-141.95899999999983</c:v>
                </c:pt>
                <c:pt idx="12">
                  <c:v>-109.13521399999991</c:v>
                </c:pt>
                <c:pt idx="13">
                  <c:v>-21.295000000000073</c:v>
                </c:pt>
                <c:pt idx="14">
                  <c:v>-1375.5499999999954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00133400"/>
        <c:axId val="300133792"/>
      </c:barChart>
      <c:catAx>
        <c:axId val="300133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300133792"/>
        <c:crosses val="autoZero"/>
        <c:auto val="1"/>
        <c:lblAlgn val="ctr"/>
        <c:lblOffset val="100"/>
        <c:noMultiLvlLbl val="0"/>
      </c:catAx>
      <c:valAx>
        <c:axId val="300133792"/>
        <c:scaling>
          <c:orientation val="minMax"/>
          <c:max val="200"/>
          <c:min val="-15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00133400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744094488188982E-2"/>
          <c:y val="1.8922371545662054E-2"/>
          <c:w val="0.91998427322090814"/>
          <c:h val="0.7677720078390227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12'!$C$6:$F$6</c:f>
              <c:strCache>
                <c:ptCount val="4"/>
                <c:pt idx="0">
                  <c:v>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7.61196955643702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6.097869345279208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99055330634179E-3"/>
                  <c:y val="6.03871884435498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12'!$C$21:$F$21</c:f>
              <c:numCache>
                <c:formatCode>#,##0</c:formatCode>
                <c:ptCount val="4"/>
                <c:pt idx="0">
                  <c:v>-233.50758899228688</c:v>
                </c:pt>
                <c:pt idx="1">
                  <c:v>-298.84681296263227</c:v>
                </c:pt>
                <c:pt idx="2">
                  <c:v>-243.24627046981729</c:v>
                </c:pt>
                <c:pt idx="3">
                  <c:v>-261.1547551241768</c:v>
                </c:pt>
              </c:numCache>
              <c:extLst/>
            </c:numRef>
          </c:val>
          <c:extLst/>
        </c:ser>
        <c:ser>
          <c:idx val="8"/>
          <c:order val="1"/>
          <c:tx>
            <c:strRef>
              <c:f>'Graf 12'!$K$6:$N$6</c:f>
              <c:strCache>
                <c:ptCount val="4"/>
                <c:pt idx="0">
                  <c:v>JEDNORAZOVÉ vplyvy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12'!$K$21:$N$21</c:f>
              <c:numCache>
                <c:formatCode>#,##0</c:formatCode>
                <c:ptCount val="4"/>
                <c:pt idx="0">
                  <c:v>-106.38763682000173</c:v>
                </c:pt>
                <c:pt idx="1">
                  <c:v>-7.2719954789148469</c:v>
                </c:pt>
                <c:pt idx="2">
                  <c:v>-30.587059868913769</c:v>
                </c:pt>
                <c:pt idx="3">
                  <c:v>-30.587059868913769</c:v>
                </c:pt>
              </c:numCache>
              <c:extLst/>
            </c:numRef>
          </c:val>
        </c:ser>
        <c:ser>
          <c:idx val="0"/>
          <c:order val="2"/>
          <c:tx>
            <c:strRef>
              <c:f>'Graf 12'!$G$6:$J$6</c:f>
              <c:strCache>
                <c:ptCount val="4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0944995081069325E-17"/>
                  <c:y val="-1.944230655378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3.779527559055190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3.56506321665544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12'!$G$21:$J$21</c:f>
              <c:numCache>
                <c:formatCode>#,##0</c:formatCode>
                <c:ptCount val="4"/>
                <c:pt idx="0">
                  <c:v>14.009221570815258</c:v>
                </c:pt>
                <c:pt idx="1">
                  <c:v>175.93960250860297</c:v>
                </c:pt>
                <c:pt idx="2">
                  <c:v>325.57522281037768</c:v>
                </c:pt>
                <c:pt idx="3">
                  <c:v>354.56247907188919</c:v>
                </c:pt>
              </c:numCache>
              <c:extLst/>
            </c:numRef>
          </c:val>
        </c:ser>
        <c:ser>
          <c:idx val="1"/>
          <c:order val="3"/>
          <c:tx>
            <c:strRef>
              <c:f>'Graf 12'!$O$6:$R$6</c:f>
              <c:strCache>
                <c:ptCount val="4"/>
                <c:pt idx="0">
                  <c:v>vplyv LEGISLATÍVY</c:v>
                </c:pt>
              </c:strCache>
            </c:strRef>
          </c:tx>
          <c:spPr>
            <a:solidFill>
              <a:srgbClr val="A6A6A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3.93282698069820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12'!$O$21:$R$21</c:f>
              <c:numCache>
                <c:formatCode>#,##0</c:formatCode>
                <c:ptCount val="4"/>
                <c:pt idx="0">
                  <c:v>0</c:v>
                </c:pt>
                <c:pt idx="1">
                  <c:v>166.61199999999999</c:v>
                </c:pt>
                <c:pt idx="2">
                  <c:v>0</c:v>
                </c:pt>
                <c:pt idx="3">
                  <c:v>0</c:v>
                </c:pt>
              </c:numCache>
              <c:extLst/>
            </c:numRef>
          </c:val>
          <c:extLst/>
        </c:ser>
        <c:ser>
          <c:idx val="3"/>
          <c:order val="4"/>
          <c:tx>
            <c:strRef>
              <c:f>'Graf 12'!$S$6:$V$6</c:f>
              <c:strCache>
                <c:ptCount val="4"/>
                <c:pt idx="0">
                  <c:v>INÉ vplyvy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12'!$S$5:$V$5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  <c:extLst/>
            </c:numRef>
          </c:cat>
          <c:val>
            <c:numRef>
              <c:f>'Graf 12'!$S$21:$V$21</c:f>
              <c:numCache>
                <c:formatCode>#,##0</c:formatCode>
                <c:ptCount val="4"/>
                <c:pt idx="0">
                  <c:v>-26.762640611942938</c:v>
                </c:pt>
                <c:pt idx="1">
                  <c:v>-28.076794067056444</c:v>
                </c:pt>
                <c:pt idx="2">
                  <c:v>-32.138892471646173</c:v>
                </c:pt>
                <c:pt idx="3">
                  <c:v>-38.294664078796217</c:v>
                </c:pt>
              </c:numCache>
              <c:extLst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0134576"/>
        <c:axId val="300134968"/>
      </c:barChart>
      <c:lineChart>
        <c:grouping val="standard"/>
        <c:varyColors val="0"/>
        <c:ser>
          <c:idx val="2"/>
          <c:order val="5"/>
          <c:tx>
            <c:strRef>
              <c:f>'Graf 12'!$W$6:$Z$6</c:f>
              <c:strCache>
                <c:ptCount val="4"/>
                <c:pt idx="0">
                  <c:v>celková zmena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'Graf 12'!$S$5:$V$5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  <c:extLst/>
            </c:numRef>
          </c:cat>
          <c:val>
            <c:numRef>
              <c:f>'Graf 12'!$W$21:$Z$21</c:f>
              <c:numCache>
                <c:formatCode>#,##0</c:formatCode>
                <c:ptCount val="4"/>
                <c:pt idx="0">
                  <c:v>-352.64864485341639</c:v>
                </c:pt>
                <c:pt idx="1">
                  <c:v>8.3559999999994172</c:v>
                </c:pt>
                <c:pt idx="2">
                  <c:v>19.603000000000524</c:v>
                </c:pt>
                <c:pt idx="3">
                  <c:v>24.526000000002387</c:v>
                </c:pt>
              </c:numCache>
              <c:extLst/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134576"/>
        <c:axId val="300134968"/>
      </c:lineChart>
      <c:catAx>
        <c:axId val="30013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n-US"/>
          </a:p>
        </c:txPr>
        <c:crossAx val="300134968"/>
        <c:crosses val="autoZero"/>
        <c:auto val="1"/>
        <c:lblAlgn val="ctr"/>
        <c:lblOffset val="100"/>
        <c:noMultiLvlLbl val="0"/>
      </c:catAx>
      <c:valAx>
        <c:axId val="30013496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en-US"/>
          </a:p>
        </c:txPr>
        <c:crossAx val="3001345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156702989646728"/>
          <c:w val="1"/>
          <c:h val="0.1284329701035327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5321959755030621E-2"/>
          <c:y val="6.2712890055409726E-2"/>
          <c:w val="0.64458402021420946"/>
          <c:h val="0.85748137319626516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'Graf 12'!$B$45</c:f>
              <c:strCache>
                <c:ptCount val="1"/>
                <c:pt idx="0">
                  <c:v>DPFO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4.1884823660769867E-3"/>
                  <c:y val="9.259259259259258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12'!$C$45:$F$45</c:f>
              <c:numCache>
                <c:formatCode>#,##0</c:formatCode>
                <c:ptCount val="4"/>
                <c:pt idx="0">
                  <c:v>28.571822489999263</c:v>
                </c:pt>
                <c:pt idx="1">
                  <c:v>63.094999999999793</c:v>
                </c:pt>
                <c:pt idx="2">
                  <c:v>90.794000000000011</c:v>
                </c:pt>
                <c:pt idx="3">
                  <c:v>105.79200000000017</c:v>
                </c:pt>
              </c:numCache>
            </c:numRef>
          </c:val>
        </c:ser>
        <c:ser>
          <c:idx val="0"/>
          <c:order val="1"/>
          <c:tx>
            <c:strRef>
              <c:f>'Graf 12'!$B$46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12'!$C$46:$F$46</c:f>
              <c:numCache>
                <c:formatCode>#,##0</c:formatCode>
                <c:ptCount val="4"/>
                <c:pt idx="0">
                  <c:v>-351.82400000000007</c:v>
                </c:pt>
                <c:pt idx="1">
                  <c:v>-421.31400000000036</c:v>
                </c:pt>
                <c:pt idx="2">
                  <c:v>-551.01699999999994</c:v>
                </c:pt>
                <c:pt idx="3">
                  <c:v>-623.70699999999965</c:v>
                </c:pt>
              </c:numCache>
            </c:numRef>
          </c:val>
        </c:ser>
        <c:ser>
          <c:idx val="1"/>
          <c:order val="2"/>
          <c:tx>
            <c:strRef>
              <c:f>'Graf 12'!$B$47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12'!$C$47:$F$47</c:f>
              <c:numCache>
                <c:formatCode>#,##0</c:formatCode>
                <c:ptCount val="4"/>
                <c:pt idx="0">
                  <c:v>-95.019910109998222</c:v>
                </c:pt>
                <c:pt idx="1">
                  <c:v>120.30699999999928</c:v>
                </c:pt>
                <c:pt idx="2">
                  <c:v>125.81899999999969</c:v>
                </c:pt>
                <c:pt idx="3">
                  <c:v>136.68500000000094</c:v>
                </c:pt>
              </c:numCache>
            </c:numRef>
          </c:val>
          <c:extLst/>
        </c:ser>
        <c:ser>
          <c:idx val="4"/>
          <c:order val="3"/>
          <c:tx>
            <c:strRef>
              <c:f>'Graf 12'!$B$48</c:f>
              <c:strCache>
                <c:ptCount val="1"/>
                <c:pt idx="0">
                  <c:v>Sociálne odvody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35602957596233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12'!$C$48:$F$48</c:f>
              <c:numCache>
                <c:formatCode>#,##0</c:formatCode>
                <c:ptCount val="4"/>
                <c:pt idx="0">
                  <c:v>22.822607046581631</c:v>
                </c:pt>
                <c:pt idx="1">
                  <c:v>126.97399999999898</c:v>
                </c:pt>
                <c:pt idx="2">
                  <c:v>188.06399999999962</c:v>
                </c:pt>
                <c:pt idx="3">
                  <c:v>212.35100000000034</c:v>
                </c:pt>
              </c:numCache>
            </c:numRef>
          </c:val>
        </c:ser>
        <c:ser>
          <c:idx val="6"/>
          <c:order val="4"/>
          <c:tx>
            <c:strRef>
              <c:f>'Graf 12'!$B$49</c:f>
              <c:strCache>
                <c:ptCount val="1"/>
                <c:pt idx="0">
                  <c:v>Zdravotné odvody</c:v>
                </c:pt>
              </c:strCache>
            </c:strRef>
          </c:tx>
          <c:spPr>
            <a:solidFill>
              <a:srgbClr val="2C9ADC">
                <a:lumMod val="60000"/>
                <a:lumOff val="40000"/>
              </a:srgbClr>
            </a:solidFill>
          </c:spPr>
          <c:invertIfNegative val="0"/>
          <c:dLbls>
            <c:dLbl>
              <c:idx val="0"/>
              <c:layout>
                <c:manualLayout>
                  <c:x val="-1.9196989079263534E-17"/>
                  <c:y val="-2.314814814814814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 12'!#REF!</c:f>
            </c:multiLvlStrRef>
          </c:cat>
          <c:val>
            <c:numRef>
              <c:f>'Graf 12'!$C$49:$F$49</c:f>
              <c:numCache>
                <c:formatCode>#,##0</c:formatCode>
                <c:ptCount val="4"/>
                <c:pt idx="0">
                  <c:v>34.559494120001297</c:v>
                </c:pt>
                <c:pt idx="1">
                  <c:v>126.56299999999989</c:v>
                </c:pt>
                <c:pt idx="2">
                  <c:v>158.01799999999969</c:v>
                </c:pt>
                <c:pt idx="3">
                  <c:v>182.20700000000042</c:v>
                </c:pt>
              </c:numCache>
            </c:numRef>
          </c:val>
          <c:extLst/>
        </c:ser>
        <c:ser>
          <c:idx val="7"/>
          <c:order val="5"/>
          <c:tx>
            <c:strRef>
              <c:f>'Graf 12'!$B$50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rgbClr val="2C9ADC">
                <a:lumMod val="50000"/>
              </a:srgbClr>
            </a:solidFill>
          </c:spPr>
          <c:invertIfNegative val="0"/>
          <c:dLbls>
            <c:delete val="1"/>
          </c:dLbls>
          <c:cat>
            <c:multiLvlStrRef>
              <c:f>'Graf 12'!#REF!</c:f>
            </c:multiLvlStrRef>
          </c:cat>
          <c:val>
            <c:numRef>
              <c:f>'Graf 12'!$C$50:$F$50</c:f>
              <c:numCache>
                <c:formatCode>#,##0</c:formatCode>
                <c:ptCount val="4"/>
                <c:pt idx="0">
                  <c:v>8.2413416000002258</c:v>
                </c:pt>
                <c:pt idx="1">
                  <c:v>-7.2690000000001476</c:v>
                </c:pt>
                <c:pt idx="2">
                  <c:v>7.9250000000002068</c:v>
                </c:pt>
                <c:pt idx="3">
                  <c:v>11.198000000000292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01090040"/>
        <c:axId val="301090432"/>
      </c:barChart>
      <c:lineChart>
        <c:grouping val="standard"/>
        <c:varyColors val="0"/>
        <c:ser>
          <c:idx val="9"/>
          <c:order val="6"/>
          <c:tx>
            <c:strRef>
              <c:f>'Graf 12'!$B$51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1004996661581675E-2"/>
                  <c:y val="-0.3505555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257991715049996E-2"/>
                  <c:y val="-0.304054753572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198957859415072E-2"/>
                  <c:y val="-0.369074074074074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062914632957849E-2"/>
                  <c:y val="-0.40611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439879365111895E-2"/>
                  <c:y val="-0.100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solidFill>
                <a:sysClr val="window" lastClr="FFFFFF"/>
              </a:solidFill>
              <a:ln w="9525">
                <a:solidFill>
                  <a:sysClr val="windowText" lastClr="000000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5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</c:numLit>
          </c:cat>
          <c:val>
            <c:numRef>
              <c:f>'Graf 12'!$C$51:$F$51</c:f>
              <c:numCache>
                <c:formatCode>#,##0</c:formatCode>
                <c:ptCount val="4"/>
                <c:pt idx="0">
                  <c:v>-352.64864485341587</c:v>
                </c:pt>
                <c:pt idx="1">
                  <c:v>8.3559999999974366</c:v>
                </c:pt>
                <c:pt idx="2">
                  <c:v>19.602999999999238</c:v>
                </c:pt>
                <c:pt idx="3">
                  <c:v>24.526000000002512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90040"/>
        <c:axId val="301090432"/>
      </c:lineChart>
      <c:catAx>
        <c:axId val="301090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01090432"/>
        <c:crosses val="autoZero"/>
        <c:auto val="1"/>
        <c:lblAlgn val="ctr"/>
        <c:lblOffset val="100"/>
        <c:noMultiLvlLbl val="0"/>
      </c:catAx>
      <c:valAx>
        <c:axId val="30109043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301090040"/>
        <c:crosses val="autoZero"/>
        <c:crossBetween val="between"/>
      </c:valAx>
    </c:plotArea>
    <c:legend>
      <c:legendPos val="r"/>
      <c:legendEntry>
        <c:idx val="6"/>
        <c:delete val="1"/>
      </c:legendEntry>
      <c:layout>
        <c:manualLayout>
          <c:xMode val="edge"/>
          <c:yMode val="edge"/>
          <c:x val="0.72045969748273864"/>
          <c:y val="2.2787620297462816E-2"/>
          <c:w val="0.26291779905475515"/>
          <c:h val="0.9455169145523476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</c:dPt>
          <c:dLbls>
            <c:dLbl>
              <c:idx val="0"/>
              <c:layout>
                <c:manualLayout>
                  <c:x val="-3.8929440389294405E-2"/>
                  <c:y val="6.0475148274088592E-2"/>
                </c:manualLayout>
              </c:layout>
              <c:tx>
                <c:rich>
                  <a:bodyPr/>
                  <a:lstStyle/>
                  <a:p>
                    <a:fld id="{CD35C858-C21E-4647-A47E-B2879822436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B62F6A8-F1F0-4DE5-A626-35B663F1611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E301B18-2F43-46D7-BF79-0018BA29E08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DCA94DE-666A-44F8-87AF-BA0781707DC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>
                <c:manualLayout>
                  <c:x val="-8.4347120843471207E-2"/>
                  <c:y val="2.8797689654327847E-2"/>
                </c:manualLayout>
              </c:layout>
              <c:tx>
                <c:rich>
                  <a:bodyPr/>
                  <a:lstStyle/>
                  <a:p>
                    <a:fld id="{ED68F3E9-2A1A-42DF-B453-E3D32101F61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5.1905920519059262E-2"/>
                  <c:y val="6.3354917239521386E-2"/>
                </c:manualLayout>
              </c:layout>
              <c:tx>
                <c:rich>
                  <a:bodyPr/>
                  <a:lstStyle/>
                  <a:p>
                    <a:fld id="{54F869F7-A156-48C5-B84B-9A1FA558D9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8.3833032648220854E-2"/>
                  <c:y val="-9.191072077880330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E3D21AE6-03C0-4C41-BD06-824C385371C7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-4.1263439500469297E-2"/>
                  <c:y val="-8.221010684758925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A5216BC6-CD08-411B-9C4C-352B697CCFC5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1.6220600162205882E-2"/>
                  <c:y val="-3.743699655062633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AA275DA2-8539-47D6-BEE6-D243D7CBB398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-1.2976480129764802E-2"/>
                  <c:y val="-3.455722758519354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15025922-0E35-4A80-8AC4-672C88BEE4CA}" type="CELLRANGE">
                      <a:rPr lang="en-US"/>
                      <a:pPr>
                        <a:defRPr/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EE24ACA-F417-48CA-BBAF-BF3752E07C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'BOX 3 _ graf 13 + 14 _ Tab5'!$M$11:$W$11</c:f>
              <c:numCache>
                <c:formatCode>0.0</c:formatCode>
                <c:ptCount val="11"/>
                <c:pt idx="0">
                  <c:v>-0.43078899999999998</c:v>
                </c:pt>
                <c:pt idx="1">
                  <c:v>-1.0340959999999999</c:v>
                </c:pt>
                <c:pt idx="2">
                  <c:v>-1.8987639999999999</c:v>
                </c:pt>
                <c:pt idx="3">
                  <c:v>-1.8038250600106522</c:v>
                </c:pt>
                <c:pt idx="4">
                  <c:v>-1.4859985814303251</c:v>
                </c:pt>
                <c:pt idx="5">
                  <c:v>-0.75531757863283056</c:v>
                </c:pt>
                <c:pt idx="6">
                  <c:v>-0.20997029082948238</c:v>
                </c:pt>
                <c:pt idx="7">
                  <c:v>0.1538964153457161</c:v>
                </c:pt>
                <c:pt idx="8">
                  <c:v>0.76466660384759766</c:v>
                </c:pt>
                <c:pt idx="9">
                  <c:v>1.3475754184047233</c:v>
                </c:pt>
                <c:pt idx="10">
                  <c:v>1.3407115494943964</c:v>
                </c:pt>
              </c:numCache>
            </c:numRef>
          </c:xVal>
          <c:yVal>
            <c:numRef>
              <c:f>'BOX 3 _ graf 13 + 14 _ Tab5'!$M$10:$W$10</c:f>
              <c:numCache>
                <c:formatCode>#\ ##0.0</c:formatCode>
                <c:ptCount val="11"/>
                <c:pt idx="0">
                  <c:v>-9.6285075237076967E-2</c:v>
                </c:pt>
                <c:pt idx="1">
                  <c:v>2.6268145414417434</c:v>
                </c:pt>
                <c:pt idx="2">
                  <c:v>0.91238259993629667</c:v>
                </c:pt>
                <c:pt idx="3">
                  <c:v>1.7402282426399298</c:v>
                </c:pt>
                <c:pt idx="4">
                  <c:v>-0.36641248763239287</c:v>
                </c:pt>
                <c:pt idx="5">
                  <c:v>-0.19856875063823831</c:v>
                </c:pt>
                <c:pt idx="6">
                  <c:v>0.2792634072049538</c:v>
                </c:pt>
                <c:pt idx="7">
                  <c:v>6.0436852480962644E-2</c:v>
                </c:pt>
                <c:pt idx="8">
                  <c:v>0.46371194718957987</c:v>
                </c:pt>
                <c:pt idx="9">
                  <c:v>0.45320134776429977</c:v>
                </c:pt>
                <c:pt idx="10">
                  <c:v>2.4700594107636253E-2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'BOX 3 _ graf 13 + 14 _ Tab5'!$M$14:$W$14</c15:f>
                <c15:dlblRangeCache>
                  <c:ptCount val="11"/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1091216"/>
        <c:axId val="301091608"/>
      </c:scatterChart>
      <c:valAx>
        <c:axId val="30109121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1091608"/>
        <c:crossesAt val="0"/>
        <c:crossBetween val="midCat"/>
      </c:valAx>
      <c:valAx>
        <c:axId val="301091608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en-US"/>
          </a:p>
        </c:txPr>
        <c:crossAx val="3010912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20348034530365E-2"/>
          <c:y val="7.8792204798762755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/>
              </a:solidFill>
              <a:prstDash val="solid"/>
            </a:ln>
            <a:effectLst>
              <a:glow>
                <a:schemeClr val="accent1"/>
              </a:glow>
            </a:effectLst>
          </c:spPr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Lbls>
            <c:dLbl>
              <c:idx val="0"/>
              <c:layout>
                <c:manualLayout>
                  <c:x val="-4.2298080418622395E-2"/>
                  <c:y val="-5.8394716789433691E-2"/>
                </c:manualLayout>
              </c:layout>
              <c:tx>
                <c:rich>
                  <a:bodyPr/>
                  <a:lstStyle/>
                  <a:p>
                    <a:fld id="{D65ABB35-C178-410D-B765-09866C8DFD0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-4.7524742595100519E-2"/>
                  <c:y val="-3.7470725995316159E-2"/>
                </c:manualLayout>
              </c:layout>
              <c:tx>
                <c:rich>
                  <a:bodyPr/>
                  <a:lstStyle/>
                  <a:p>
                    <a:fld id="{E6A7987E-0519-430E-9578-3132607964A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D59C6DF-5D2D-4378-B9D2-349FF935EFE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>
                <c:manualLayout>
                  <c:x val="-9.107773066828187E-2"/>
                  <c:y val="-3.6392392698485543E-2"/>
                </c:manualLayout>
              </c:layout>
              <c:tx>
                <c:rich>
                  <a:bodyPr/>
                  <a:lstStyle/>
                  <a:p>
                    <a:fld id="{F08A5F13-43FC-4A82-8779-35E0249A240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5.0835373377292027E-2"/>
                  <c:y val="3.4469320367212161E-2"/>
                </c:manualLayout>
              </c:layout>
              <c:tx>
                <c:rich>
                  <a:bodyPr/>
                  <a:lstStyle/>
                  <a:p>
                    <a:fld id="{E6E016FA-925C-4B0B-A6BD-3F4352F97FB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-3.849818142094509E-3"/>
                  <c:y val="-5.430700194733723E-2"/>
                </c:manualLayout>
              </c:layout>
              <c:tx>
                <c:rich>
                  <a:bodyPr/>
                  <a:lstStyle/>
                  <a:p>
                    <a:fld id="{AA938C63-47CF-4ED3-9651-96CB9A1FC3A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8.9447630366958852E-2"/>
                  <c:y val="-5.5001694408452109E-2"/>
                </c:manualLayout>
              </c:layout>
              <c:tx>
                <c:rich>
                  <a:bodyPr/>
                  <a:lstStyle/>
                  <a:p>
                    <a:fld id="{12635CEC-5AB4-4673-8367-93D8B325003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-0.10148209775664835"/>
                  <c:y val="-6.4406658028505925E-2"/>
                </c:manualLayout>
              </c:layout>
              <c:tx>
                <c:rich>
                  <a:bodyPr/>
                  <a:lstStyle/>
                  <a:p>
                    <a:fld id="{86C09246-B80F-4736-862E-90C75D92669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9.0669241816471055E-2"/>
                  <c:y val="-5.87345758995315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2018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397714903069766"/>
                      <c:h val="7.3810179321990341E-2"/>
                    </c:manualLayout>
                  </c15:layout>
                </c:ext>
              </c:extLst>
            </c:dLbl>
            <c:dLbl>
              <c:idx val="9"/>
              <c:layout>
                <c:manualLayout>
                  <c:x val="1.9887089585499926E-2"/>
                  <c:y val="3.0470115286222134E-3"/>
                </c:manualLayout>
              </c:layout>
              <c:tx>
                <c:rich>
                  <a:bodyPr/>
                  <a:lstStyle/>
                  <a:p>
                    <a:fld id="{D66895E8-83F2-4583-A783-F075D6803D3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-0.13127697717030659"/>
                  <c:y val="-3.9871357852420471E-2"/>
                </c:manualLayout>
              </c:layout>
              <c:tx>
                <c:rich>
                  <a:bodyPr/>
                  <a:lstStyle/>
                  <a:p>
                    <a:fld id="{81E11B07-C11D-4E5F-BAC1-0BA97B1223F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4.6376803126453843E-3"/>
                  <c:y val="2.1406722674101736E-2"/>
                </c:manualLayout>
              </c:layout>
              <c:tx>
                <c:rich>
                  <a:bodyPr/>
                  <a:lstStyle/>
                  <a:p>
                    <a:fld id="{489C8C34-0895-4476-9039-F22E0BB3E65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layout>
                <c:manualLayout>
                  <c:x val="-1.6231881094258844E-2"/>
                  <c:y val="-3.0581032391573986E-2"/>
                </c:manualLayout>
              </c:layout>
              <c:tx>
                <c:rich>
                  <a:bodyPr/>
                  <a:lstStyle/>
                  <a:p>
                    <a:fld id="{650AE99F-4D61-4E40-86E6-22BC208BA3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3"/>
              <c:layout>
                <c:manualLayout>
                  <c:x val="3.9420282657485761E-2"/>
                  <c:y val="-3.0581032391574546E-3"/>
                </c:manualLayout>
              </c:layout>
              <c:tx>
                <c:rich>
                  <a:bodyPr/>
                  <a:lstStyle/>
                  <a:p>
                    <a:fld id="{B0B342A2-BBE6-468D-A20E-3C4AEB8F321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'BOX 3 _ graf 13 + 14 _ Tab5'!$M$12:$W$12</c:f>
              <c:numCache>
                <c:formatCode>0.0</c:formatCode>
                <c:ptCount val="11"/>
                <c:pt idx="0">
                  <c:v>1.5776440000000003</c:v>
                </c:pt>
                <c:pt idx="1">
                  <c:v>-0.60330699999999993</c:v>
                </c:pt>
                <c:pt idx="2">
                  <c:v>-0.86466799999999999</c:v>
                </c:pt>
                <c:pt idx="3">
                  <c:v>9.4938939989347659E-2</c:v>
                </c:pt>
                <c:pt idx="4">
                  <c:v>0.31782647858032709</c:v>
                </c:pt>
                <c:pt idx="5">
                  <c:v>0.73068100279749459</c:v>
                </c:pt>
                <c:pt idx="6">
                  <c:v>0.54534728780334818</c:v>
                </c:pt>
                <c:pt idx="7">
                  <c:v>0.36386670617519845</c:v>
                </c:pt>
                <c:pt idx="8">
                  <c:v>0.61077018850188158</c:v>
                </c:pt>
                <c:pt idx="9">
                  <c:v>0.58290881455712562</c:v>
                </c:pt>
                <c:pt idx="10">
                  <c:v>-6.8638689103268646E-3</c:v>
                </c:pt>
              </c:numCache>
            </c:numRef>
          </c:xVal>
          <c:yVal>
            <c:numRef>
              <c:f>'BOX 3 _ graf 13 + 14 _ Tab5'!$M$10:$W$10</c:f>
              <c:numCache>
                <c:formatCode>#\ ##0.0</c:formatCode>
                <c:ptCount val="11"/>
                <c:pt idx="0">
                  <c:v>-9.6285075237076967E-2</c:v>
                </c:pt>
                <c:pt idx="1">
                  <c:v>2.6268145414417434</c:v>
                </c:pt>
                <c:pt idx="2">
                  <c:v>0.91238259993629667</c:v>
                </c:pt>
                <c:pt idx="3">
                  <c:v>1.7402282426399298</c:v>
                </c:pt>
                <c:pt idx="4">
                  <c:v>-0.36641248763239287</c:v>
                </c:pt>
                <c:pt idx="5">
                  <c:v>-0.19856875063823831</c:v>
                </c:pt>
                <c:pt idx="6">
                  <c:v>0.2792634072049538</c:v>
                </c:pt>
                <c:pt idx="7">
                  <c:v>6.0436852480962644E-2</c:v>
                </c:pt>
                <c:pt idx="8">
                  <c:v>0.46371194718957987</c:v>
                </c:pt>
                <c:pt idx="9">
                  <c:v>0.45320134776429977</c:v>
                </c:pt>
                <c:pt idx="10">
                  <c:v>2.4700594107636253E-2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'BOX 3 _ graf 13 + 14 _ Tab5'!$M$14:$W$14</c15:f>
                <c15:dlblRangeCache>
                  <c:ptCount val="11"/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1092392"/>
        <c:axId val="301092784"/>
      </c:scatterChart>
      <c:valAx>
        <c:axId val="30109239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1092784"/>
        <c:crossesAt val="0"/>
        <c:crossBetween val="midCat"/>
      </c:valAx>
      <c:valAx>
        <c:axId val="301092784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en-US"/>
          </a:p>
        </c:txPr>
        <c:crossAx val="30109239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Zmena upravených výdavkov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15 + 16 + Tab 6'!$L$16:$Q$16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 OS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strCache>
            </c:strRef>
          </c:cat>
          <c:val>
            <c:numRef>
              <c:f>'Graf 15 + 16 + Tab 6'!$L$32:$Q$32</c:f>
              <c:numCache>
                <c:formatCode>0.0</c:formatCode>
                <c:ptCount val="6"/>
                <c:pt idx="0">
                  <c:v>5.3946939925689774</c:v>
                </c:pt>
                <c:pt idx="1">
                  <c:v>1.3141418190988574</c:v>
                </c:pt>
                <c:pt idx="2">
                  <c:v>2.0079687841633831</c:v>
                </c:pt>
                <c:pt idx="3">
                  <c:v>2.0216278425842615</c:v>
                </c:pt>
                <c:pt idx="4">
                  <c:v>0.64462710391539613</c:v>
                </c:pt>
                <c:pt idx="5">
                  <c:v>2.6052000707900369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v>Výdavkové pravidlo</c:v>
          </c:tx>
          <c:spPr>
            <a:ln w="2857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89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15 + 16 + Tab 6'!$L$16:$Q$16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 OS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strCache>
            </c:strRef>
          </c:cat>
          <c:val>
            <c:numRef>
              <c:f>'Graf 15 + 16 + Tab 6'!$L$33:$Q$33</c:f>
              <c:numCache>
                <c:formatCode>0.0</c:formatCode>
                <c:ptCount val="6"/>
                <c:pt idx="0">
                  <c:v>3.5522619364109831</c:v>
                </c:pt>
                <c:pt idx="1">
                  <c:v>2.0541528429540299</c:v>
                </c:pt>
                <c:pt idx="2">
                  <c:v>1.4466785182213631</c:v>
                </c:pt>
                <c:pt idx="3">
                  <c:v>1.4845714599467197</c:v>
                </c:pt>
                <c:pt idx="4">
                  <c:v>1.5535533119782063</c:v>
                </c:pt>
                <c:pt idx="5">
                  <c:v>2.5674236581022867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093568"/>
        <c:axId val="301093960"/>
      </c:lineChart>
      <c:catAx>
        <c:axId val="301093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1093960"/>
        <c:crosses val="autoZero"/>
        <c:auto val="1"/>
        <c:lblAlgn val="ctr"/>
        <c:lblOffset val="100"/>
        <c:noMultiLvlLbl val="0"/>
      </c:catAx>
      <c:valAx>
        <c:axId val="301093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109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8455735485998E-3"/>
          <c:y val="0.88814278944236236"/>
          <c:w val="0.9819313623532907"/>
          <c:h val="8.31317583501986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15 + 16 + Tab 6'!$J$45</c:f>
              <c:strCache>
                <c:ptCount val="1"/>
                <c:pt idx="0">
                  <c:v>Strednodobý potencial rastu HDP (EK metodika, 10r priemer)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15 + 16 + Tab 6'!$K$44:$P$44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 OS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strCache>
            </c:strRef>
          </c:cat>
          <c:val>
            <c:numRef>
              <c:f>'Graf 15 + 16 + Tab 6'!$K$45:$P$45</c:f>
              <c:numCache>
                <c:formatCode>0.0</c:formatCode>
                <c:ptCount val="6"/>
                <c:pt idx="0">
                  <c:v>2.8299999999999996</c:v>
                </c:pt>
                <c:pt idx="1">
                  <c:v>2.7659467859610323</c:v>
                </c:pt>
                <c:pt idx="2">
                  <c:v>2.7035826651428745</c:v>
                </c:pt>
                <c:pt idx="3">
                  <c:v>2.7298853348070944</c:v>
                </c:pt>
                <c:pt idx="4">
                  <c:v>2.798867186838581</c:v>
                </c:pt>
                <c:pt idx="5">
                  <c:v>2.8912052655659841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25-4877-84F7-8382A91CFDE4}"/>
            </c:ext>
          </c:extLst>
        </c:ser>
        <c:ser>
          <c:idx val="1"/>
          <c:order val="1"/>
          <c:tx>
            <c:strRef>
              <c:f>'Graf 15 + 16 + Tab 6'!$J$46</c:f>
              <c:strCache>
                <c:ptCount val="1"/>
                <c:pt idx="0">
                  <c:v>Reálny rast daňovo-odvodových príjmov (y-o-y)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 15 + 16 + Tab 6'!$K$44:$P$44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 OS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strCache>
            </c:strRef>
          </c:cat>
          <c:val>
            <c:numRef>
              <c:f>'Graf 15 + 16 + Tab 6'!$K$46:$P$46</c:f>
              <c:numCache>
                <c:formatCode>0.0</c:formatCode>
                <c:ptCount val="6"/>
                <c:pt idx="0">
                  <c:v>6.7939323258187194</c:v>
                </c:pt>
                <c:pt idx="1">
                  <c:v>4.510245367483301</c:v>
                </c:pt>
                <c:pt idx="2">
                  <c:v>5.0249862415178592</c:v>
                </c:pt>
                <c:pt idx="3">
                  <c:v>3.8571999810490309</c:v>
                </c:pt>
                <c:pt idx="4">
                  <c:v>2.9278438160337261</c:v>
                </c:pt>
                <c:pt idx="5">
                  <c:v>3.178409614382649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25-4877-84F7-8382A91CF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094744"/>
        <c:axId val="301095136"/>
      </c:lineChart>
      <c:catAx>
        <c:axId val="301094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1095136"/>
        <c:crosses val="autoZero"/>
        <c:auto val="1"/>
        <c:lblAlgn val="ctr"/>
        <c:lblOffset val="100"/>
        <c:noMultiLvlLbl val="0"/>
      </c:catAx>
      <c:valAx>
        <c:axId val="30109513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1094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65625502576688832"/>
        </c:manualLayout>
      </c:layout>
      <c:barChart>
        <c:barDir val="col"/>
        <c:grouping val="stacked"/>
        <c:varyColors val="0"/>
        <c:ser>
          <c:idx val="2"/>
          <c:order val="1"/>
          <c:tx>
            <c:v>Primárne saldo</c:v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strLit>
              <c:ptCount val="9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2003 -2008</c:v>
              </c:pt>
              <c:pt idx="8">
                <c:v>2010 - 2015</c:v>
              </c:pt>
            </c:strLit>
          </c:cat>
          <c:val>
            <c:numRef>
              <c:f>'Graf 17'!$K$9:$P$9</c:f>
              <c:numCache>
                <c:formatCode>0.0</c:formatCode>
                <c:ptCount val="6"/>
                <c:pt idx="0">
                  <c:v>0.99151931316333797</c:v>
                </c:pt>
                <c:pt idx="1">
                  <c:v>0.54115094043079504</c:v>
                </c:pt>
                <c:pt idx="2">
                  <c:v>0.31436330233970033</c:v>
                </c:pt>
                <c:pt idx="3">
                  <c:v>-0.4391692653412077</c:v>
                </c:pt>
                <c:pt idx="4">
                  <c:v>-1.081576322911741</c:v>
                </c:pt>
                <c:pt idx="5">
                  <c:v>-1.0684410148185881</c:v>
                </c:pt>
              </c:numCache>
            </c:numRef>
          </c:val>
          <c:extLst/>
        </c:ser>
        <c:ser>
          <c:idx val="4"/>
          <c:order val="2"/>
          <c:tx>
            <c:v>Úroky</c:v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strLit>
              <c:ptCount val="9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2003 -2008</c:v>
              </c:pt>
              <c:pt idx="8">
                <c:v>2010 - 2015</c:v>
              </c:pt>
            </c:strLit>
          </c:cat>
          <c:val>
            <c:numRef>
              <c:f>'Graf 17'!$K$10:$P$10</c:f>
              <c:numCache>
                <c:formatCode>0.0</c:formatCode>
                <c:ptCount val="6"/>
                <c:pt idx="0">
                  <c:v>1.7530613730531257</c:v>
                </c:pt>
                <c:pt idx="1">
                  <c:v>1.6500011536845696</c:v>
                </c:pt>
                <c:pt idx="2">
                  <c:v>1.31159060077506</c:v>
                </c:pt>
                <c:pt idx="3">
                  <c:v>1.2691689629703558</c:v>
                </c:pt>
                <c:pt idx="4">
                  <c:v>1.1815764608271684</c:v>
                </c:pt>
                <c:pt idx="5">
                  <c:v>1.0684410148185881</c:v>
                </c:pt>
              </c:numCache>
            </c:numRef>
          </c:val>
        </c:ser>
        <c:ser>
          <c:idx val="6"/>
          <c:order val="3"/>
          <c:tx>
            <c:v>Zosúladenie deficitu a dlhu</c:v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strLit>
              <c:ptCount val="9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2003 -2008</c:v>
              </c:pt>
              <c:pt idx="8">
                <c:v>2010 - 2015</c:v>
              </c:pt>
            </c:strLit>
          </c:cat>
          <c:val>
            <c:numRef>
              <c:f>'Graf 17'!$K$12:$P$12</c:f>
              <c:numCache>
                <c:formatCode>0.0</c:formatCode>
                <c:ptCount val="6"/>
                <c:pt idx="0">
                  <c:v>-2.020227129718557</c:v>
                </c:pt>
                <c:pt idx="1">
                  <c:v>-1.2545393288105282</c:v>
                </c:pt>
                <c:pt idx="2">
                  <c:v>-0.21844965506843006</c:v>
                </c:pt>
                <c:pt idx="3">
                  <c:v>0.79602239422691401</c:v>
                </c:pt>
                <c:pt idx="4">
                  <c:v>0.80497557545799348</c:v>
                </c:pt>
                <c:pt idx="5">
                  <c:v>0.40276960362962511</c:v>
                </c:pt>
              </c:numCache>
            </c:numRef>
          </c:val>
        </c:ser>
        <c:ser>
          <c:idx val="1"/>
          <c:order val="4"/>
          <c:tx>
            <c:v>Reálny rast HDP</c:v>
          </c:tx>
          <c:spPr>
            <a:solidFill>
              <a:srgbClr val="2C9ADC"/>
            </a:solidFill>
          </c:spPr>
          <c:invertIfNegative val="0"/>
          <c:cat>
            <c:strLit>
              <c:ptCount val="9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2003 -2008</c:v>
              </c:pt>
              <c:pt idx="8">
                <c:v>2010 - 2015</c:v>
              </c:pt>
            </c:strLit>
          </c:cat>
          <c:val>
            <c:numRef>
              <c:f>'Graf 17'!$K$13:$P$13</c:f>
              <c:numCache>
                <c:formatCode>0.0</c:formatCode>
                <c:ptCount val="6"/>
                <c:pt idx="0">
                  <c:v>-1.9744414802591592</c:v>
                </c:pt>
                <c:pt idx="1">
                  <c:v>-1.6630257286846351</c:v>
                </c:pt>
                <c:pt idx="2">
                  <c:v>-1.6944293432987514</c:v>
                </c:pt>
                <c:pt idx="3">
                  <c:v>-2.0749685079826774</c:v>
                </c:pt>
                <c:pt idx="4">
                  <c:v>-2.1325399499122972</c:v>
                </c:pt>
                <c:pt idx="5">
                  <c:v>-1.8212914009610059</c:v>
                </c:pt>
              </c:numCache>
            </c:numRef>
          </c:val>
        </c:ser>
        <c:ser>
          <c:idx val="3"/>
          <c:order val="5"/>
          <c:tx>
            <c:v>Deflátor HDP</c:v>
          </c:tx>
          <c:spPr>
            <a:solidFill>
              <a:srgbClr val="AAD3F2"/>
            </a:solidFill>
          </c:spPr>
          <c:invertIfNegative val="0"/>
          <c:cat>
            <c:strLit>
              <c:ptCount val="9"/>
              <c:pt idx="0">
                <c:v>2013</c:v>
              </c:pt>
              <c:pt idx="1">
                <c:v>2014</c:v>
              </c:pt>
              <c:pt idx="2">
                <c:v>2015</c:v>
              </c:pt>
              <c:pt idx="3">
                <c:v>2016</c:v>
              </c:pt>
              <c:pt idx="4">
                <c:v>2017</c:v>
              </c:pt>
              <c:pt idx="5">
                <c:v>2018</c:v>
              </c:pt>
              <c:pt idx="6">
                <c:v>2019</c:v>
              </c:pt>
              <c:pt idx="7">
                <c:v>2003 -2008</c:v>
              </c:pt>
              <c:pt idx="8">
                <c:v>2010 - 2015</c:v>
              </c:pt>
            </c:strLit>
          </c:cat>
          <c:val>
            <c:numRef>
              <c:f>'Graf 17'!$K$14:$P$14</c:f>
              <c:numCache>
                <c:formatCode>0.0</c:formatCode>
                <c:ptCount val="6"/>
                <c:pt idx="0">
                  <c:v>0.1076726796087315</c:v>
                </c:pt>
                <c:pt idx="1">
                  <c:v>0.18994625115690278</c:v>
                </c:pt>
                <c:pt idx="2">
                  <c:v>-0.54150814339651965</c:v>
                </c:pt>
                <c:pt idx="3">
                  <c:v>-0.72129234816557641</c:v>
                </c:pt>
                <c:pt idx="4">
                  <c:v>-0.89036446026325722</c:v>
                </c:pt>
                <c:pt idx="5">
                  <c:v>-0.89972257117371046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095920"/>
        <c:axId val="301096312"/>
        <c:extLst/>
      </c:barChart>
      <c:lineChart>
        <c:grouping val="standard"/>
        <c:varyColors val="0"/>
        <c:ser>
          <c:idx val="0"/>
          <c:order val="0"/>
          <c:tx>
            <c:v>Zmena hrubého dlhu verejnej správy</c:v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 w="15875">
                <a:solidFill>
                  <a:srgbClr val="000000"/>
                </a:solidFill>
              </a:ln>
            </c:spPr>
          </c:marker>
          <c:dPt>
            <c:idx val="7"/>
            <c:bubble3D val="0"/>
            <c:spPr>
              <a:ln w="25400" cmpd="sng">
                <a:noFill/>
                <a:prstDash val="solid"/>
              </a:ln>
            </c:spPr>
          </c:dPt>
          <c:dPt>
            <c:idx val="8"/>
            <c:bubble3D val="0"/>
            <c:spPr>
              <a:ln w="25400" cmpd="sng">
                <a:noFill/>
                <a:prstDash val="solid"/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17'!$K$6:$P$6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17'!$K$7:$P$7</c:f>
              <c:numCache>
                <c:formatCode>0.0</c:formatCode>
                <c:ptCount val="6"/>
                <c:pt idx="0">
                  <c:v>-1.1000000000000001</c:v>
                </c:pt>
                <c:pt idx="1">
                  <c:v>-0.53698242974246568</c:v>
                </c:pt>
                <c:pt idx="2">
                  <c:v>-0.82843096223282942</c:v>
                </c:pt>
                <c:pt idx="3">
                  <c:v>-1.1702359957990112</c:v>
                </c:pt>
                <c:pt idx="4">
                  <c:v>-2.1179258013515536</c:v>
                </c:pt>
                <c:pt idx="5">
                  <c:v>-2.3182418115313155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95920"/>
        <c:axId val="301096312"/>
      </c:lineChart>
      <c:catAx>
        <c:axId val="30109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109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0963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10959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77175805543977605"/>
          <c:w val="0.97626408639218609"/>
          <c:h val="0.228241944560223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Čistý dlh verejnej správy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18'!$N$5:$S$5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18'!$N$7:$S$7</c:f>
              <c:numCache>
                <c:formatCode>0.0</c:formatCode>
                <c:ptCount val="6"/>
                <c:pt idx="0">
                  <c:v>48.174203597689683</c:v>
                </c:pt>
                <c:pt idx="1">
                  <c:v>47.019375625910939</c:v>
                </c:pt>
                <c:pt idx="2">
                  <c:v>46.709840245483377</c:v>
                </c:pt>
                <c:pt idx="3">
                  <c:v>45.480871476442992</c:v>
                </c:pt>
                <c:pt idx="4">
                  <c:v>43.3</c:v>
                </c:pt>
                <c:pt idx="5">
                  <c:v>41.1</c:v>
                </c:pt>
              </c:numCache>
            </c:numRef>
          </c:val>
        </c:ser>
        <c:ser>
          <c:idx val="2"/>
          <c:order val="1"/>
          <c:tx>
            <c:strRef>
              <c:f>'Graf 18'!$M$8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18'!$N$5:$S$5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18'!$N$8:$S$8</c:f>
              <c:numCache>
                <c:formatCode>0.0</c:formatCode>
                <c:ptCount val="6"/>
                <c:pt idx="0">
                  <c:v>4.3067786932522836</c:v>
                </c:pt>
                <c:pt idx="1">
                  <c:v>4.9251399528081308</c:v>
                </c:pt>
                <c:pt idx="2">
                  <c:v>4.4062420945867515</c:v>
                </c:pt>
                <c:pt idx="3">
                  <c:v>4.4649720993349433</c:v>
                </c:pt>
                <c:pt idx="4">
                  <c:v>4.5279148789758139</c:v>
                </c:pt>
                <c:pt idx="5">
                  <c:v>4.4096705104707254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097096"/>
        <c:axId val="299186040"/>
      </c:barChart>
      <c:lineChart>
        <c:grouping val="standard"/>
        <c:varyColors val="0"/>
        <c:ser>
          <c:idx val="0"/>
          <c:order val="2"/>
          <c:tx>
            <c:strRef>
              <c:f>'Graf 18'!$M$6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18'!$N$5:$S$5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18'!$N$6:$S$6</c:f>
              <c:numCache>
                <c:formatCode>0.0</c:formatCode>
                <c:ptCount val="6"/>
                <c:pt idx="0">
                  <c:v>52.480982290941967</c:v>
                </c:pt>
                <c:pt idx="1">
                  <c:v>51.94451557871907</c:v>
                </c:pt>
                <c:pt idx="2">
                  <c:v>51.116082340070129</c:v>
                </c:pt>
                <c:pt idx="3">
                  <c:v>49.945843575777936</c:v>
                </c:pt>
                <c:pt idx="4">
                  <c:v>47.827914878975811</c:v>
                </c:pt>
                <c:pt idx="5">
                  <c:v>45.509670510470727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97096"/>
        <c:axId val="299186040"/>
      </c:lineChart>
      <c:catAx>
        <c:axId val="301097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99186040"/>
        <c:crosses val="autoZero"/>
        <c:auto val="1"/>
        <c:lblAlgn val="ctr"/>
        <c:lblOffset val="100"/>
        <c:noMultiLvlLbl val="0"/>
      </c:catAx>
      <c:valAx>
        <c:axId val="299186040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301097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12899279016979E-2"/>
          <c:y val="0.15064589480014279"/>
          <c:w val="0.93750478725638531"/>
          <c:h val="0.71122896034177108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'Graf 1 + 2'!$E$19</c:f>
              <c:strCache>
                <c:ptCount val="1"/>
                <c:pt idx="0">
                  <c:v>Hrubý dlh (očistený o EFSF a ESM)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'Graf 1 + 2'!$F$17:$K$17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+ 2'!$F$19:$K$19</c:f>
              <c:numCache>
                <c:formatCode>0.0</c:formatCode>
                <c:ptCount val="6"/>
                <c:pt idx="0">
                  <c:v>49.253149452010383</c:v>
                </c:pt>
                <c:pt idx="1">
                  <c:v>48.807284213013737</c:v>
                </c:pt>
                <c:pt idx="2">
                  <c:v>48.113892241702956</c:v>
                </c:pt>
                <c:pt idx="3">
                  <c:v>47.10788567734599</c:v>
                </c:pt>
                <c:pt idx="4">
                  <c:v>45.161720531479723</c:v>
                </c:pt>
                <c:pt idx="5">
                  <c:v>42.995160636159824</c:v>
                </c:pt>
              </c:numCache>
            </c:numRef>
          </c:val>
        </c:ser>
        <c:ser>
          <c:idx val="2"/>
          <c:order val="3"/>
          <c:tx>
            <c:strRef>
              <c:f>'Graf 1 + 2'!$E$20</c:f>
              <c:strCache>
                <c:ptCount val="1"/>
                <c:pt idx="0">
                  <c:v>EFSF a ESM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 + 2'!$F$17:$K$17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+ 2'!$F$20:$K$20</c:f>
              <c:numCache>
                <c:formatCode>0.0</c:formatCode>
                <c:ptCount val="6"/>
                <c:pt idx="0">
                  <c:v>3.2278328389315822</c:v>
                </c:pt>
                <c:pt idx="1">
                  <c:v>3.1372313657053303</c:v>
                </c:pt>
                <c:pt idx="2">
                  <c:v>3.002190098367175</c:v>
                </c:pt>
                <c:pt idx="3">
                  <c:v>2.8379578984319469</c:v>
                </c:pt>
                <c:pt idx="4">
                  <c:v>2.6661943474960896</c:v>
                </c:pt>
                <c:pt idx="5">
                  <c:v>2.5145098743109013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2"/>
        <c:overlap val="100"/>
        <c:axId val="297104464"/>
        <c:axId val="297104856"/>
      </c:barChart>
      <c:lineChart>
        <c:grouping val="standard"/>
        <c:varyColors val="0"/>
        <c:ser>
          <c:idx val="4"/>
          <c:order val="0"/>
          <c:tx>
            <c:strRef>
              <c:f>'Graf 1 + 2'!$E$26</c:f>
              <c:strCache>
                <c:ptCount val="1"/>
                <c:pt idx="0">
                  <c:v>57-60% HDP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1 + 2'!$F$17:$K$17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+ 2'!$F$26:$K$26</c:f>
              <c:numCache>
                <c:formatCode>0</c:formatCode>
                <c:ptCount val="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56</c:v>
                </c:pt>
                <c:pt idx="5">
                  <c:v>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'Graf 1 + 2'!$E$23</c:f>
              <c:strCache>
                <c:ptCount val="1"/>
                <c:pt idx="0">
                  <c:v>50-53% HDP</c:v>
                </c:pt>
              </c:strCache>
            </c:strRef>
          </c:tx>
          <c:spPr>
            <a:ln w="2857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'Graf 1 + 2'!$F$17:$K$17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+ 2'!$F$23:$K$23</c:f>
              <c:numCache>
                <c:formatCode>General</c:formatCode>
                <c:ptCount val="6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</c:v>
                </c:pt>
                <c:pt idx="5">
                  <c:v>48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'Graf 1 + 2'!$E$18</c:f>
              <c:strCache>
                <c:ptCount val="1"/>
                <c:pt idx="0">
                  <c:v>Hrubý dlh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4"/>
              <c:layout>
                <c:manualLayout>
                  <c:x val="-3.474507715521067E-2"/>
                  <c:y val="-6.3614090343970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15875" cmpd="sng">
                <a:solidFill>
                  <a:schemeClr val="tx1"/>
                </a:solidFill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 + 2'!$F$17:$K$17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+ 2'!$F$18:$K$18</c:f>
              <c:numCache>
                <c:formatCode>0.0</c:formatCode>
                <c:ptCount val="6"/>
                <c:pt idx="0">
                  <c:v>52.480982290941967</c:v>
                </c:pt>
                <c:pt idx="1">
                  <c:v>51.94451557871907</c:v>
                </c:pt>
                <c:pt idx="2">
                  <c:v>51.116082340070129</c:v>
                </c:pt>
                <c:pt idx="3">
                  <c:v>49.945843575777936</c:v>
                </c:pt>
                <c:pt idx="4">
                  <c:v>47.827914878975811</c:v>
                </c:pt>
                <c:pt idx="5">
                  <c:v>45.509670510470727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'Graf 1 + 2'!$E$21</c:f>
              <c:strCache>
                <c:ptCount val="1"/>
                <c:pt idx="0">
                  <c:v>Čistý dlh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'Graf 1 + 2'!$F$17:$K$17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 + 2'!$F$21:$K$21</c:f>
              <c:numCache>
                <c:formatCode>0.0</c:formatCode>
                <c:ptCount val="6"/>
                <c:pt idx="0">
                  <c:v>48.174203597689683</c:v>
                </c:pt>
                <c:pt idx="1">
                  <c:v>47.019375625910939</c:v>
                </c:pt>
                <c:pt idx="2">
                  <c:v>46.709840245483377</c:v>
                </c:pt>
                <c:pt idx="3">
                  <c:v>45.480871476442992</c:v>
                </c:pt>
                <c:pt idx="4">
                  <c:v>43.3</c:v>
                </c:pt>
                <c:pt idx="5">
                  <c:v>41.1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04464"/>
        <c:axId val="297104856"/>
      </c:lineChart>
      <c:catAx>
        <c:axId val="29710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b="1"/>
            </a:pPr>
            <a:endParaRPr lang="en-US"/>
          </a:p>
        </c:txPr>
        <c:crossAx val="297104856"/>
        <c:crosses val="autoZero"/>
        <c:auto val="1"/>
        <c:lblAlgn val="ctr"/>
        <c:lblOffset val="100"/>
        <c:noMultiLvlLbl val="0"/>
      </c:catAx>
      <c:valAx>
        <c:axId val="297104856"/>
        <c:scaling>
          <c:orientation val="minMax"/>
          <c:min val="3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  <a:prstDash val="sysDot"/>
          </a:ln>
        </c:spPr>
        <c:crossAx val="297104464"/>
        <c:crosses val="max"/>
        <c:crossBetween val="between"/>
        <c:majorUnit val="5"/>
      </c:valAx>
      <c:spPr>
        <a:noFill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4.3695041630982152E-2"/>
          <c:y val="2.8569000722285114E-2"/>
          <c:w val="0.90013784027123867"/>
          <c:h val="0.13228673591009707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>
          <a:latin typeface="Arial Narrow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591820987654328E-2"/>
          <c:y val="3.5606565656565656E-2"/>
          <c:w val="0.8151202554319894"/>
          <c:h val="0.77198129417266037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19'!$P$10:$P$28</c:f>
              <c:numCache>
                <c:formatCode>0.0</c:formatCode>
                <c:ptCount val="19"/>
                <c:pt idx="0">
                  <c:v>42.88215599197013</c:v>
                </c:pt>
                <c:pt idx="1">
                  <c:v>41.588629367554795</c:v>
                </c:pt>
                <c:pt idx="2">
                  <c:v>40.639217872327734</c:v>
                </c:pt>
                <c:pt idx="3">
                  <c:v>33.928324096966726</c:v>
                </c:pt>
                <c:pt idx="4">
                  <c:v>30.767079387245609</c:v>
                </c:pt>
                <c:pt idx="5">
                  <c:v>29.897666684381687</c:v>
                </c:pt>
                <c:pt idx="6">
                  <c:v>28.21367341902042</c:v>
                </c:pt>
                <c:pt idx="7">
                  <c:v>36.007894575405679</c:v>
                </c:pt>
                <c:pt idx="8">
                  <c:v>40.815353172271344</c:v>
                </c:pt>
                <c:pt idx="9">
                  <c:v>43.268992990071645</c:v>
                </c:pt>
                <c:pt idx="10">
                  <c:v>51.735739372043824</c:v>
                </c:pt>
                <c:pt idx="11">
                  <c:v>54.313562057737364</c:v>
                </c:pt>
                <c:pt idx="12">
                  <c:v>53.623397535094455</c:v>
                </c:pt>
                <c:pt idx="13">
                  <c:v>52.480982290941959</c:v>
                </c:pt>
                <c:pt idx="14">
                  <c:v>51.944515578719063</c:v>
                </c:pt>
                <c:pt idx="15">
                  <c:v>48.488390337002244</c:v>
                </c:pt>
                <c:pt idx="16">
                  <c:v>44.456294248023518</c:v>
                </c:pt>
                <c:pt idx="17">
                  <c:v>40.829930986026767</c:v>
                </c:pt>
                <c:pt idx="18">
                  <c:v>39.220204987738398</c:v>
                </c:pt>
              </c:numCache>
            </c:numRef>
          </c:val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19'!$Q$10:$Q$28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1.1711614365298217</c:v>
                </c:pt>
                <c:pt idx="16" formatCode="0.0">
                  <c:v>2.033356266345514</c:v>
                </c:pt>
                <c:pt idx="17" formatCode="0.0">
                  <c:v>2.8808146293411525</c:v>
                </c:pt>
                <c:pt idx="18" formatCode="0.0">
                  <c:v>3.0195622552233132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19'!$R$10:$R$28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0.8529617298549681</c:v>
                </c:pt>
                <c:pt idx="16" formatCode="0.0">
                  <c:v>1.4552700862352879</c:v>
                </c:pt>
                <c:pt idx="17" formatCode="0.0">
                  <c:v>2.0201590945089407</c:v>
                </c:pt>
                <c:pt idx="18" formatCode="0.0">
                  <c:v>2.4480533605873802</c:v>
                </c:pt>
              </c:numCache>
            </c:numRef>
          </c:val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19'!$S$10:$S$28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0.6406106906263318</c:v>
                </c:pt>
                <c:pt idx="16" formatCode="0.0">
                  <c:v>1.2464343575407</c:v>
                </c:pt>
                <c:pt idx="17" formatCode="0.0">
                  <c:v>1.6613990249918658</c:v>
                </c:pt>
                <c:pt idx="18" formatCode="0.0">
                  <c:v>1.891815600086602</c:v>
                </c:pt>
              </c:numCache>
            </c:numRef>
          </c:val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19'!$T$10:$T$28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0.65873621922953163</c:v>
                </c:pt>
                <c:pt idx="16" formatCode="0.0">
                  <c:v>1.254757120474558</c:v>
                </c:pt>
                <c:pt idx="17" formatCode="0.0">
                  <c:v>1.7216562038621674</c:v>
                </c:pt>
                <c:pt idx="18" formatCode="0.0">
                  <c:v>1.8620823109208899</c:v>
                </c:pt>
              </c:numCache>
            </c:numRef>
          </c:val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19'!$U$10:$U$28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0.66514659754476213</c:v>
                </c:pt>
                <c:pt idx="16" formatCode="0.0">
                  <c:v>1.2445202397978647</c:v>
                </c:pt>
                <c:pt idx="17" formatCode="0.0">
                  <c:v>1.7012115785069426</c:v>
                </c:pt>
                <c:pt idx="18" formatCode="0.0">
                  <c:v>1.8821200629775205</c:v>
                </c:pt>
              </c:numCache>
            </c:numRef>
          </c:val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19'!$V$10:$V$28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0.71746454278367366</c:v>
                </c:pt>
                <c:pt idx="16" formatCode="0.0">
                  <c:v>1.3458637013159844</c:v>
                </c:pt>
                <c:pt idx="17" formatCode="0.0">
                  <c:v>1.9279669709044356</c:v>
                </c:pt>
                <c:pt idx="18" formatCode="0.0">
                  <c:v>2.0710566711054099</c:v>
                </c:pt>
              </c:numCache>
            </c:numRef>
          </c:val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19'!$W$10:$W$28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0.80442408455873249</c:v>
                </c:pt>
                <c:pt idx="16" formatCode="0.0">
                  <c:v>1.5241567695111158</c:v>
                </c:pt>
                <c:pt idx="17" formatCode="0.0">
                  <c:v>2.1004469079605528</c:v>
                </c:pt>
                <c:pt idx="18" formatCode="0.0">
                  <c:v>2.3789702768683441</c:v>
                </c:pt>
              </c:numCache>
            </c:numRef>
          </c:val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f>'Box 5_Graf 19'!$L$10:$L$28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'Box 5_Graf 19'!$X$10:$X$28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">
                  <c:v>1.1636428304414324</c:v>
                </c:pt>
                <c:pt idx="16" formatCode="0.0">
                  <c:v>2.1743278066322986</c:v>
                </c:pt>
                <c:pt idx="17" formatCode="0.0">
                  <c:v>2.8026926653235904</c:v>
                </c:pt>
                <c:pt idx="18" formatCode="0.0">
                  <c:v>3.4032531036483817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186824"/>
        <c:axId val="299187216"/>
      </c:areaChart>
      <c:lineChart>
        <c:grouping val="standard"/>
        <c:varyColors val="0"/>
        <c:ser>
          <c:idx val="9"/>
          <c:order val="9"/>
          <c:tx>
            <c:strRef>
              <c:f>'Box 5_Graf 19'!$G$8</c:f>
              <c:strCache>
                <c:ptCount val="1"/>
                <c:pt idx="0">
                  <c:v>officiálna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val>
            <c:numRef>
              <c:f>'Box 5_Graf 19'!$M$10:$M$28</c:f>
              <c:numCache>
                <c:formatCode>0.0</c:formatCode>
                <c:ptCount val="19"/>
                <c:pt idx="0">
                  <c:v>42.88215599197013</c:v>
                </c:pt>
                <c:pt idx="1">
                  <c:v>41.588629367554795</c:v>
                </c:pt>
                <c:pt idx="2">
                  <c:v>40.639217872327734</c:v>
                </c:pt>
                <c:pt idx="3">
                  <c:v>33.928324096966726</c:v>
                </c:pt>
                <c:pt idx="4">
                  <c:v>30.767079387245609</c:v>
                </c:pt>
                <c:pt idx="5">
                  <c:v>29.897666684381687</c:v>
                </c:pt>
                <c:pt idx="6">
                  <c:v>28.21367341902042</c:v>
                </c:pt>
                <c:pt idx="7">
                  <c:v>36.007894575405679</c:v>
                </c:pt>
                <c:pt idx="8">
                  <c:v>40.815353172271344</c:v>
                </c:pt>
                <c:pt idx="9">
                  <c:v>43.268992990071645</c:v>
                </c:pt>
                <c:pt idx="10">
                  <c:v>51.735739372043824</c:v>
                </c:pt>
                <c:pt idx="11">
                  <c:v>54.313562057737364</c:v>
                </c:pt>
                <c:pt idx="12">
                  <c:v>53.623397535094455</c:v>
                </c:pt>
                <c:pt idx="13">
                  <c:v>52.480982290941967</c:v>
                </c:pt>
                <c:pt idx="14">
                  <c:v>51.94451557871907</c:v>
                </c:pt>
                <c:pt idx="15">
                  <c:v>51.116082340070129</c:v>
                </c:pt>
                <c:pt idx="16">
                  <c:v>49.945843575777936</c:v>
                </c:pt>
                <c:pt idx="17">
                  <c:v>47.827914878975811</c:v>
                </c:pt>
                <c:pt idx="18">
                  <c:v>45.509670510470727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86824"/>
        <c:axId val="299187216"/>
      </c:lineChart>
      <c:lineChart>
        <c:grouping val="standard"/>
        <c:varyColors val="0"/>
        <c:ser>
          <c:idx val="10"/>
          <c:order val="10"/>
          <c:tx>
            <c:strRef>
              <c:f>'Box 5_Graf 19'!$H$8</c:f>
              <c:strCache>
                <c:ptCount val="1"/>
                <c:pt idx="0">
                  <c:v>alternatívna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'Box 5_Graf 19'!$N$10:$N$28</c:f>
              <c:numCache>
                <c:formatCode>0.0</c:formatCode>
                <c:ptCount val="19"/>
                <c:pt idx="0">
                  <c:v>42.88215599197013</c:v>
                </c:pt>
                <c:pt idx="1">
                  <c:v>41.588629367554795</c:v>
                </c:pt>
                <c:pt idx="2">
                  <c:v>40.639217872327734</c:v>
                </c:pt>
                <c:pt idx="3">
                  <c:v>33.928324096966726</c:v>
                </c:pt>
                <c:pt idx="4">
                  <c:v>30.767079387245609</c:v>
                </c:pt>
                <c:pt idx="5">
                  <c:v>29.897666684381687</c:v>
                </c:pt>
                <c:pt idx="6">
                  <c:v>28.21367341902042</c:v>
                </c:pt>
                <c:pt idx="7">
                  <c:v>36.007894575405679</c:v>
                </c:pt>
                <c:pt idx="8">
                  <c:v>40.815353172271344</c:v>
                </c:pt>
                <c:pt idx="9">
                  <c:v>43.268992990071645</c:v>
                </c:pt>
                <c:pt idx="10">
                  <c:v>51.735739372043824</c:v>
                </c:pt>
                <c:pt idx="11">
                  <c:v>54.313562057737364</c:v>
                </c:pt>
                <c:pt idx="12">
                  <c:v>53.623397535094455</c:v>
                </c:pt>
                <c:pt idx="13">
                  <c:v>52.480982290941959</c:v>
                </c:pt>
                <c:pt idx="14">
                  <c:v>51.944515578719063</c:v>
                </c:pt>
                <c:pt idx="15">
                  <c:v>51.839882656629655</c:v>
                </c:pt>
                <c:pt idx="16">
                  <c:v>50.551443098910944</c:v>
                </c:pt>
                <c:pt idx="17">
                  <c:v>49.273192642905336</c:v>
                </c:pt>
                <c:pt idx="18">
                  <c:v>48.590678156517406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88000"/>
        <c:axId val="299187608"/>
      </c:lineChart>
      <c:catAx>
        <c:axId val="29918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87216"/>
        <c:crosses val="autoZero"/>
        <c:auto val="1"/>
        <c:lblAlgn val="ctr"/>
        <c:lblOffset val="100"/>
        <c:noMultiLvlLbl val="0"/>
      </c:catAx>
      <c:valAx>
        <c:axId val="299187216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% </a:t>
                </a:r>
                <a:r>
                  <a:rPr lang="sk-SK"/>
                  <a:t>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86824"/>
        <c:crosses val="autoZero"/>
        <c:crossBetween val="midCat"/>
      </c:valAx>
      <c:valAx>
        <c:axId val="299187608"/>
        <c:scaling>
          <c:orientation val="minMax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% </a:t>
                </a:r>
                <a:r>
                  <a:rPr lang="sk-SK"/>
                  <a:t>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88000"/>
        <c:crosses val="max"/>
        <c:crossBetween val="between"/>
      </c:valAx>
      <c:catAx>
        <c:axId val="299188000"/>
        <c:scaling>
          <c:orientation val="minMax"/>
        </c:scaling>
        <c:delete val="1"/>
        <c:axPos val="b"/>
        <c:majorTickMark val="out"/>
        <c:minorTickMark val="none"/>
        <c:tickLblPos val="nextTo"/>
        <c:crossAx val="299187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11303692492568899"/>
          <c:y val="5.6005600836668203E-2"/>
          <c:w val="0.2541208333333333"/>
          <c:h val="0.14246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'Box 6 _ Tab 9 + Graf 20'!$I$15</c:f>
              <c:strCache>
                <c:ptCount val="1"/>
                <c:pt idx="0">
                  <c:v>Hrubý dlh VS (HDP makro výbor)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'Box 6 _ Tab 9 + Graf 20'!$K$6:$Q$6</c15:sqref>
                  </c15:fullRef>
                </c:ext>
              </c:extLst>
              <c:f>'Box 6 _ Tab 9 + Graf 20'!$L$6:$Q$6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 OS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'Box 6 _ Tab 9 + Graf 20'!$K$15:$Q$15</c15:sqref>
                  </c15:fullRef>
                </c:ext>
              </c:extLst>
              <c:f>'Box 6 _ Tab 9 + Graf 20'!$L$15:$Q$15</c:f>
              <c:numCache>
                <c:formatCode>0.0</c:formatCode>
                <c:ptCount val="6"/>
                <c:pt idx="0">
                  <c:v>52.48144512356059</c:v>
                </c:pt>
                <c:pt idx="1">
                  <c:v>51.944462693818124</c:v>
                </c:pt>
                <c:pt idx="2">
                  <c:v>51.116031731585295</c:v>
                </c:pt>
                <c:pt idx="3">
                  <c:v>49.945795735786284</c:v>
                </c:pt>
                <c:pt idx="4">
                  <c:v>47.82786993443473</c:v>
                </c:pt>
                <c:pt idx="5">
                  <c:v>45.509628122903415</c:v>
                </c:pt>
              </c:numCache>
            </c:numRef>
          </c:val>
        </c:ser>
        <c:ser>
          <c:idx val="1"/>
          <c:order val="1"/>
          <c:tx>
            <c:strRef>
              <c:f>'Box 6 _ Tab 9 + Graf 20'!$I$16</c:f>
              <c:strCache>
                <c:ptCount val="1"/>
                <c:pt idx="0">
                  <c:v>Hrubý dlh VS (HDP ŠUSR revízia)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'Box 6 _ Tab 9 + Graf 20'!$K$6:$Q$6</c15:sqref>
                  </c15:fullRef>
                </c:ext>
              </c:extLst>
              <c:f>'Box 6 _ Tab 9 + Graf 20'!$L$6:$Q$6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 OS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'Box 6 _ Tab 9 + Graf 20'!$K$16:$Q$16</c15:sqref>
                  </c15:fullRef>
                </c:ext>
              </c:extLst>
              <c:f>'Box 6 _ Tab 9 + Graf 20'!$L$16:$Q$16</c:f>
              <c:numCache>
                <c:formatCode>0.0</c:formatCode>
                <c:ptCount val="6"/>
                <c:pt idx="0">
                  <c:v>52.341198934228245</c:v>
                </c:pt>
                <c:pt idx="1">
                  <c:v>51.819032708074658</c:v>
                </c:pt>
                <c:pt idx="2">
                  <c:v>50.992602153169074</c:v>
                </c:pt>
                <c:pt idx="3">
                  <c:v>49.825191919283036</c:v>
                </c:pt>
                <c:pt idx="4">
                  <c:v>47.712380260792763</c:v>
                </c:pt>
                <c:pt idx="5">
                  <c:v>45.399736294003517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299188784"/>
        <c:axId val="299189176"/>
      </c:barChart>
      <c:catAx>
        <c:axId val="29918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189176"/>
        <c:crosses val="autoZero"/>
        <c:auto val="1"/>
        <c:lblAlgn val="ctr"/>
        <c:lblOffset val="100"/>
        <c:noMultiLvlLbl val="0"/>
      </c:catAx>
      <c:valAx>
        <c:axId val="29918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8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21 + 22'!$I$9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21 + 22'!$J$6:$W$6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+ 22'!$J$9:$W$9</c:f>
              <c:numCache>
                <c:formatCode>#\ ##0.0</c:formatCode>
                <c:ptCount val="14"/>
                <c:pt idx="0">
                  <c:v>34.390418356358602</c:v>
                </c:pt>
                <c:pt idx="1">
                  <c:v>34.51007130801441</c:v>
                </c:pt>
                <c:pt idx="2">
                  <c:v>36.280186370231995</c:v>
                </c:pt>
                <c:pt idx="3">
                  <c:v>34.660011571933175</c:v>
                </c:pt>
                <c:pt idx="4">
                  <c:v>36.539888314983457</c:v>
                </c:pt>
                <c:pt idx="5">
                  <c:v>36.285185720082254</c:v>
                </c:pt>
                <c:pt idx="6">
                  <c:v>38.720693974240227</c:v>
                </c:pt>
                <c:pt idx="7">
                  <c:v>39.309981930799346</c:v>
                </c:pt>
                <c:pt idx="8">
                  <c:v>42.816978677981368</c:v>
                </c:pt>
                <c:pt idx="9">
                  <c:v>39.415680258124944</c:v>
                </c:pt>
                <c:pt idx="10">
                  <c:v>39.373836526283007</c:v>
                </c:pt>
                <c:pt idx="11">
                  <c:v>38.473818087544096</c:v>
                </c:pt>
                <c:pt idx="12">
                  <c:v>38.917605297092138</c:v>
                </c:pt>
                <c:pt idx="13">
                  <c:v>38.310752106227831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21 + 22'!$I$10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21 + 22'!$J$6:$W$6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+ 22'!$J$10:$S$10</c:f>
              <c:numCache>
                <c:formatCode>#\ ##0.0</c:formatCode>
                <c:ptCount val="10"/>
                <c:pt idx="0">
                  <c:v>44.7</c:v>
                </c:pt>
                <c:pt idx="1">
                  <c:v>44.4</c:v>
                </c:pt>
                <c:pt idx="2">
                  <c:v>44.4</c:v>
                </c:pt>
                <c:pt idx="3">
                  <c:v>44.3</c:v>
                </c:pt>
                <c:pt idx="4">
                  <c:v>44.9</c:v>
                </c:pt>
                <c:pt idx="5">
                  <c:v>46.1</c:v>
                </c:pt>
                <c:pt idx="6">
                  <c:v>46.7</c:v>
                </c:pt>
                <c:pt idx="7">
                  <c:v>46.7</c:v>
                </c:pt>
                <c:pt idx="8">
                  <c:v>46.4</c:v>
                </c:pt>
                <c:pt idx="9">
                  <c:v>46.2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21 + 22'!$I$12</c:f>
              <c:strCache>
                <c:ptCount val="1"/>
                <c:pt idx="0">
                  <c:v>V4 bez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21 + 22'!$J$6:$W$6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+ 22'!$J$12:$S$12</c:f>
              <c:numCache>
                <c:formatCode>#\ ##0.0</c:formatCode>
                <c:ptCount val="10"/>
                <c:pt idx="0">
                  <c:v>41.866666666666667</c:v>
                </c:pt>
                <c:pt idx="1">
                  <c:v>41.266666666666673</c:v>
                </c:pt>
                <c:pt idx="2">
                  <c:v>40.6</c:v>
                </c:pt>
                <c:pt idx="3">
                  <c:v>40.699999999999996</c:v>
                </c:pt>
                <c:pt idx="4">
                  <c:v>41.2</c:v>
                </c:pt>
                <c:pt idx="5">
                  <c:v>41.93333333333333</c:v>
                </c:pt>
                <c:pt idx="6">
                  <c:v>42.233333333333334</c:v>
                </c:pt>
                <c:pt idx="7">
                  <c:v>42</c:v>
                </c:pt>
                <c:pt idx="8">
                  <c:v>42.966666666666669</c:v>
                </c:pt>
                <c:pt idx="9">
                  <c:v>41.633333333333333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21 + 22'!$I$11</c:f>
              <c:strCache>
                <c:ptCount val="1"/>
                <c:pt idx="0">
                  <c:v>Priemer EÚ (28 krajín)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 21 + 22'!$J$6:$W$6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+ 22'!$J$11:$S$11</c:f>
              <c:numCache>
                <c:formatCode>#\ ##0.0</c:formatCode>
                <c:ptCount val="10"/>
                <c:pt idx="0">
                  <c:v>43.8</c:v>
                </c:pt>
                <c:pt idx="1">
                  <c:v>43.8</c:v>
                </c:pt>
                <c:pt idx="2">
                  <c:v>43.5</c:v>
                </c:pt>
                <c:pt idx="3">
                  <c:v>43.5</c:v>
                </c:pt>
                <c:pt idx="4">
                  <c:v>44</c:v>
                </c:pt>
                <c:pt idx="5">
                  <c:v>44.7</c:v>
                </c:pt>
                <c:pt idx="6">
                  <c:v>45.4</c:v>
                </c:pt>
                <c:pt idx="7">
                  <c:v>45.1</c:v>
                </c:pt>
                <c:pt idx="8">
                  <c:v>44.9</c:v>
                </c:pt>
                <c:pt idx="9">
                  <c:v>44.9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189960"/>
        <c:axId val="299190352"/>
      </c:lineChart>
      <c:catAx>
        <c:axId val="29918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90352"/>
        <c:crosses val="autoZero"/>
        <c:auto val="1"/>
        <c:lblAlgn val="ctr"/>
        <c:lblOffset val="100"/>
        <c:noMultiLvlLbl val="0"/>
      </c:catAx>
      <c:valAx>
        <c:axId val="299190352"/>
        <c:scaling>
          <c:orientation val="minMax"/>
          <c:max val="5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8996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926380019765206E-2"/>
          <c:y val="0.76124109072914947"/>
          <c:w val="0.82655269718637847"/>
          <c:h val="0.128944604085459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0.16322006446018683"/>
          <c:w val="0.91257922028039162"/>
          <c:h val="0.74845877091349344"/>
        </c:manualLayout>
      </c:layout>
      <c:lineChart>
        <c:grouping val="standard"/>
        <c:varyColors val="0"/>
        <c:ser>
          <c:idx val="0"/>
          <c:order val="0"/>
          <c:tx>
            <c:strRef>
              <c:f>'Graf 21 + 22'!$I$24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21 + 22'!$J$21:$W$21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+ 22'!$J$24:$W$24</c:f>
              <c:numCache>
                <c:formatCode>#\ ##0.0</c:formatCode>
                <c:ptCount val="14"/>
                <c:pt idx="0">
                  <c:v>29.044198693498736</c:v>
                </c:pt>
                <c:pt idx="1">
                  <c:v>28.852151212703454</c:v>
                </c:pt>
                <c:pt idx="2">
                  <c:v>28.757745251323346</c:v>
                </c:pt>
                <c:pt idx="3">
                  <c:v>27.990316274843767</c:v>
                </c:pt>
                <c:pt idx="4">
                  <c:v>28.534190793348742</c:v>
                </c:pt>
                <c:pt idx="5">
                  <c:v>28.194928717324473</c:v>
                </c:pt>
                <c:pt idx="6">
                  <c:v>30.138371495714566</c:v>
                </c:pt>
                <c:pt idx="7">
                  <c:v>31.090496385745105</c:v>
                </c:pt>
                <c:pt idx="8">
                  <c:v>32.209193833769447</c:v>
                </c:pt>
                <c:pt idx="9">
                  <c:v>32.355843407404159</c:v>
                </c:pt>
                <c:pt idx="10">
                  <c:v>32.87878452430413</c:v>
                </c:pt>
                <c:pt idx="11">
                  <c:v>32.773831538524682</c:v>
                </c:pt>
                <c:pt idx="12">
                  <c:v>32.363987777604677</c:v>
                </c:pt>
                <c:pt idx="13">
                  <c:v>32.131769336319813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21 + 22'!$I$25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21 + 22'!$J$21:$W$21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+ 22'!$J$25:$S$25</c:f>
              <c:numCache>
                <c:formatCode>#\ ##0.0</c:formatCode>
                <c:ptCount val="10"/>
                <c:pt idx="0">
                  <c:v>39.9</c:v>
                </c:pt>
                <c:pt idx="1">
                  <c:v>39.300000000000004</c:v>
                </c:pt>
                <c:pt idx="2">
                  <c:v>39.1</c:v>
                </c:pt>
                <c:pt idx="3">
                  <c:v>39.099999999999994</c:v>
                </c:pt>
                <c:pt idx="4">
                  <c:v>39.499999999999993</c:v>
                </c:pt>
                <c:pt idx="5">
                  <c:v>40.699999999999996</c:v>
                </c:pt>
                <c:pt idx="6">
                  <c:v>41.3</c:v>
                </c:pt>
                <c:pt idx="7">
                  <c:v>41.3</c:v>
                </c:pt>
                <c:pt idx="8">
                  <c:v>41.199999999999996</c:v>
                </c:pt>
                <c:pt idx="9">
                  <c:v>41.1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21 + 22'!$I$27</c:f>
              <c:strCache>
                <c:ptCount val="1"/>
                <c:pt idx="0">
                  <c:v>V4 bez SK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21 + 22'!$J$21:$W$21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+ 22'!$J$27:$S$27</c:f>
              <c:numCache>
                <c:formatCode>#\ ##0.0</c:formatCode>
                <c:ptCount val="10"/>
                <c:pt idx="0">
                  <c:v>36.366666666666667</c:v>
                </c:pt>
                <c:pt idx="1">
                  <c:v>35.699999999999996</c:v>
                </c:pt>
                <c:pt idx="2">
                  <c:v>34.366666666666667</c:v>
                </c:pt>
                <c:pt idx="3">
                  <c:v>34</c:v>
                </c:pt>
                <c:pt idx="4">
                  <c:v>34.333333333333329</c:v>
                </c:pt>
                <c:pt idx="5">
                  <c:v>35.133333333333333</c:v>
                </c:pt>
                <c:pt idx="6">
                  <c:v>35.199999999999996</c:v>
                </c:pt>
                <c:pt idx="7">
                  <c:v>34.9</c:v>
                </c:pt>
                <c:pt idx="8">
                  <c:v>35.466666666666669</c:v>
                </c:pt>
                <c:pt idx="9">
                  <c:v>36.333333333333336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21 + 22'!$I$26</c:f>
              <c:strCache>
                <c:ptCount val="1"/>
                <c:pt idx="0">
                  <c:v>Priemer EÚ (28 krajín)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 21 + 22'!$J$21:$W$21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21 + 22'!$J$26:$S$26</c:f>
              <c:numCache>
                <c:formatCode>#\ ##0.0</c:formatCode>
                <c:ptCount val="10"/>
                <c:pt idx="0">
                  <c:v>39.1</c:v>
                </c:pt>
                <c:pt idx="1">
                  <c:v>38.9</c:v>
                </c:pt>
                <c:pt idx="2">
                  <c:v>38.4</c:v>
                </c:pt>
                <c:pt idx="3">
                  <c:v>38.299999999999997</c:v>
                </c:pt>
                <c:pt idx="4">
                  <c:v>38.9</c:v>
                </c:pt>
                <c:pt idx="5">
                  <c:v>39.5</c:v>
                </c:pt>
                <c:pt idx="6">
                  <c:v>39.9</c:v>
                </c:pt>
                <c:pt idx="7">
                  <c:v>40</c:v>
                </c:pt>
                <c:pt idx="8">
                  <c:v>39.899999999999991</c:v>
                </c:pt>
                <c:pt idx="9">
                  <c:v>40.099999999999994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191136"/>
        <c:axId val="299191528"/>
      </c:lineChart>
      <c:catAx>
        <c:axId val="29919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91528"/>
        <c:crosses val="autoZero"/>
        <c:auto val="1"/>
        <c:lblAlgn val="ctr"/>
        <c:lblOffset val="100"/>
        <c:noMultiLvlLbl val="0"/>
      </c:catAx>
      <c:valAx>
        <c:axId val="299191528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91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79211537582192471"/>
          <c:h val="0.15304274689039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23 + 24'!$B$22</c:f>
              <c:strCache>
                <c:ptCount val="1"/>
                <c:pt idx="0">
                  <c:v>Sociálna poisťovňa (EAO+dlžné)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+ 24'!$C$22:$H$22</c:f>
              <c:numCache>
                <c:formatCode>0.00</c:formatCode>
                <c:ptCount val="6"/>
                <c:pt idx="0">
                  <c:v>7.8383276809429585</c:v>
                </c:pt>
                <c:pt idx="1">
                  <c:v>8.1330310552698162</c:v>
                </c:pt>
                <c:pt idx="2">
                  <c:v>8.3471453265794917</c:v>
                </c:pt>
                <c:pt idx="3">
                  <c:v>8.3336545969944211</c:v>
                </c:pt>
                <c:pt idx="4">
                  <c:v>8.25357475094793</c:v>
                </c:pt>
                <c:pt idx="5">
                  <c:v>8.2325401628742476</c:v>
                </c:pt>
              </c:numCache>
            </c:numRef>
          </c:val>
        </c:ser>
        <c:ser>
          <c:idx val="1"/>
          <c:order val="1"/>
          <c:tx>
            <c:strRef>
              <c:f>'Graf 23 + 24'!$B$23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+ 24'!$C$23:$H$23</c:f>
              <c:numCache>
                <c:formatCode>0.00</c:formatCode>
                <c:ptCount val="6"/>
                <c:pt idx="0">
                  <c:v>6.8883916391419424</c:v>
                </c:pt>
                <c:pt idx="1">
                  <c:v>6.6934408238251528</c:v>
                </c:pt>
                <c:pt idx="2">
                  <c:v>6.9504029921178461</c:v>
                </c:pt>
                <c:pt idx="3">
                  <c:v>6.8209332713196495</c:v>
                </c:pt>
                <c:pt idx="4">
                  <c:v>6.7205213354714672</c:v>
                </c:pt>
                <c:pt idx="5">
                  <c:v>6.642642067730625</c:v>
                </c:pt>
              </c:numCache>
            </c:numRef>
          </c:val>
        </c:ser>
        <c:ser>
          <c:idx val="2"/>
          <c:order val="2"/>
          <c:tx>
            <c:strRef>
              <c:f>'Graf 23 + 24'!$B$24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+ 24'!$C$24:$H$24</c:f>
              <c:numCache>
                <c:formatCode>0.00</c:formatCode>
                <c:ptCount val="6"/>
                <c:pt idx="0">
                  <c:v>4.4252433882172788</c:v>
                </c:pt>
                <c:pt idx="1">
                  <c:v>4.4906997471101393</c:v>
                </c:pt>
                <c:pt idx="2">
                  <c:v>4.5427632161290639</c:v>
                </c:pt>
                <c:pt idx="3">
                  <c:v>4.6691863802493305</c:v>
                </c:pt>
                <c:pt idx="4">
                  <c:v>4.4199291253246118</c:v>
                </c:pt>
                <c:pt idx="5">
                  <c:v>4.2837317063336107</c:v>
                </c:pt>
              </c:numCache>
            </c:numRef>
          </c:val>
        </c:ser>
        <c:ser>
          <c:idx val="3"/>
          <c:order val="3"/>
          <c:tx>
            <c:strRef>
              <c:f>'Graf 23 + 24'!$B$25</c:f>
              <c:strCache>
                <c:ptCount val="1"/>
                <c:pt idx="0">
                  <c:v>Zdravotné poisťovne (EAO+dlžné)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+ 24'!$C$25:$H$25</c:f>
              <c:numCache>
                <c:formatCode>0.00</c:formatCode>
                <c:ptCount val="6"/>
                <c:pt idx="0">
                  <c:v>3.6706156900890954</c:v>
                </c:pt>
                <c:pt idx="1">
                  <c:v>3.6824567637808863</c:v>
                </c:pt>
                <c:pt idx="2">
                  <c:v>3.9362198002396989</c:v>
                </c:pt>
                <c:pt idx="3">
                  <c:v>3.9700438545944357</c:v>
                </c:pt>
                <c:pt idx="4">
                  <c:v>3.9873549916175191</c:v>
                </c:pt>
                <c:pt idx="5">
                  <c:v>4.0241901524471091</c:v>
                </c:pt>
              </c:numCache>
            </c:numRef>
          </c:val>
        </c:ser>
        <c:ser>
          <c:idx val="4"/>
          <c:order val="4"/>
          <c:tx>
            <c:strRef>
              <c:f>'Graf 23 + 24'!$B$26</c:f>
              <c:strCache>
                <c:ptCount val="1"/>
                <c:pt idx="0">
                  <c:v>Daň z príjmu právnických osôb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+ 24'!$C$26:$H$26</c:f>
              <c:numCache>
                <c:formatCode>0.00</c:formatCode>
                <c:ptCount val="6"/>
                <c:pt idx="0">
                  <c:v>3.5763320166021155</c:v>
                </c:pt>
                <c:pt idx="1">
                  <c:v>3.358677172920419</c:v>
                </c:pt>
                <c:pt idx="2">
                  <c:v>3.0295343338502687</c:v>
                </c:pt>
                <c:pt idx="3">
                  <c:v>2.9258195802840641</c:v>
                </c:pt>
                <c:pt idx="4">
                  <c:v>2.961078395406612</c:v>
                </c:pt>
                <c:pt idx="5">
                  <c:v>2.9613210091480844</c:v>
                </c:pt>
              </c:numCache>
            </c:numRef>
          </c:val>
        </c:ser>
        <c:ser>
          <c:idx val="5"/>
          <c:order val="5"/>
          <c:tx>
            <c:strRef>
              <c:f>'Graf 23 + 24'!$B$27</c:f>
              <c:strCache>
                <c:ptCount val="1"/>
                <c:pt idx="0">
                  <c:v>Daň z príjmu fyzických osôb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+ 24'!$C$27:$H$27</c:f>
              <c:numCache>
                <c:formatCode>0.00</c:formatCode>
                <c:ptCount val="6"/>
                <c:pt idx="0">
                  <c:v>3.130983237680677</c:v>
                </c:pt>
                <c:pt idx="1">
                  <c:v>3.3123368783770895</c:v>
                </c:pt>
                <c:pt idx="2">
                  <c:v>3.3876212630128464</c:v>
                </c:pt>
                <c:pt idx="3">
                  <c:v>3.438270878564083</c:v>
                </c:pt>
                <c:pt idx="4">
                  <c:v>3.4602844250032989</c:v>
                </c:pt>
                <c:pt idx="5">
                  <c:v>3.5068020827733553</c:v>
                </c:pt>
              </c:numCache>
            </c:numRef>
          </c:val>
        </c:ser>
        <c:ser>
          <c:idx val="6"/>
          <c:order val="6"/>
          <c:tx>
            <c:strRef>
              <c:f>'Graf 23 + 24'!$B$28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+ 24'!$C$28:$H$28</c:f>
              <c:numCache>
                <c:formatCode>0.00</c:formatCode>
                <c:ptCount val="6"/>
                <c:pt idx="0">
                  <c:v>2.6793001810953796</c:v>
                </c:pt>
                <c:pt idx="1">
                  <c:v>2.6852009661206573</c:v>
                </c:pt>
                <c:pt idx="2">
                  <c:v>2.6850975923749201</c:v>
                </c:pt>
                <c:pt idx="3">
                  <c:v>2.6159229765186907</c:v>
                </c:pt>
                <c:pt idx="4">
                  <c:v>2.5612447538332401</c:v>
                </c:pt>
                <c:pt idx="5">
                  <c:v>2.4805421550127842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192312"/>
        <c:axId val="299192704"/>
      </c:barChart>
      <c:lineChart>
        <c:grouping val="standard"/>
        <c:varyColors val="0"/>
        <c:ser>
          <c:idx val="7"/>
          <c:order val="7"/>
          <c:tx>
            <c:strRef>
              <c:f>'Graf 23 + 24'!$B$30</c:f>
              <c:strCache>
                <c:ptCount val="1"/>
                <c:pt idx="0">
                  <c:v>Podiel daní na HDP (% HDP)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 + 24'!$C$21:$H$21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23 + 24'!$C$30:$H$30</c:f>
              <c:numCache>
                <c:formatCode>0.0</c:formatCode>
                <c:ptCount val="6"/>
                <c:pt idx="0">
                  <c:v>32.209193833769447</c:v>
                </c:pt>
                <c:pt idx="1">
                  <c:v>32.355843407404166</c:v>
                </c:pt>
                <c:pt idx="2">
                  <c:v>32.878784524304137</c:v>
                </c:pt>
                <c:pt idx="3">
                  <c:v>32.773831538524675</c:v>
                </c:pt>
                <c:pt idx="4">
                  <c:v>32.363987777604677</c:v>
                </c:pt>
                <c:pt idx="5">
                  <c:v>32.131769336319813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92312"/>
        <c:axId val="299192704"/>
      </c:lineChart>
      <c:catAx>
        <c:axId val="29919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92704"/>
        <c:crosses val="autoZero"/>
        <c:auto val="1"/>
        <c:lblAlgn val="ctr"/>
        <c:lblOffset val="100"/>
        <c:noMultiLvlLbl val="0"/>
      </c:catAx>
      <c:valAx>
        <c:axId val="29919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92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2612786392"/>
          <c:y val="0.14257901065236034"/>
          <c:w val="0.85341885389326333"/>
          <c:h val="0.7774380285797608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23 + 24'!$J$22</c:f>
              <c:strCache>
                <c:ptCount val="1"/>
                <c:pt idx="0">
                  <c:v>menej škodlivé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23 + 24'!$K$21:$O$21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EÚ-28</c:v>
                </c:pt>
              </c:strCache>
            </c:strRef>
          </c:cat>
          <c:val>
            <c:numRef>
              <c:f>'Graf 23 + 24'!$K$22:$O$22</c:f>
              <c:numCache>
                <c:formatCode>0%</c:formatCode>
                <c:ptCount val="5"/>
                <c:pt idx="0">
                  <c:v>0.36</c:v>
                </c:pt>
                <c:pt idx="1">
                  <c:v>0.4621212121212121</c:v>
                </c:pt>
                <c:pt idx="2">
                  <c:v>0.39884393063583817</c:v>
                </c:pt>
                <c:pt idx="3">
                  <c:v>0.32822085889570546</c:v>
                </c:pt>
                <c:pt idx="4">
                  <c:v>0.34663341645885293</c:v>
                </c:pt>
              </c:numCache>
            </c:numRef>
          </c:val>
        </c:ser>
        <c:ser>
          <c:idx val="1"/>
          <c:order val="1"/>
          <c:tx>
            <c:strRef>
              <c:f>'Graf 23 + 24'!$J$23</c:f>
              <c:strCache>
                <c:ptCount val="1"/>
                <c:pt idx="0">
                  <c:v>viac škodlivé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23 + 24'!$K$21:$O$21</c:f>
              <c:strCache>
                <c:ptCount val="5"/>
                <c:pt idx="0">
                  <c:v>CZ</c:v>
                </c:pt>
                <c:pt idx="1">
                  <c:v>PL</c:v>
                </c:pt>
                <c:pt idx="2">
                  <c:v>HU</c:v>
                </c:pt>
                <c:pt idx="3">
                  <c:v>SR</c:v>
                </c:pt>
                <c:pt idx="4">
                  <c:v>EÚ-28</c:v>
                </c:pt>
              </c:strCache>
            </c:strRef>
          </c:cat>
          <c:val>
            <c:numRef>
              <c:f>'Graf 23 + 24'!$K$23:$O$23</c:f>
              <c:numCache>
                <c:formatCode>0%</c:formatCode>
                <c:ptCount val="5"/>
                <c:pt idx="0">
                  <c:v>0.64</c:v>
                </c:pt>
                <c:pt idx="1">
                  <c:v>0.53787878787878785</c:v>
                </c:pt>
                <c:pt idx="2">
                  <c:v>0.60115606936416177</c:v>
                </c:pt>
                <c:pt idx="3">
                  <c:v>0.6717791411042946</c:v>
                </c:pt>
                <c:pt idx="4">
                  <c:v>0.65336658354114707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193488"/>
        <c:axId val="303531976"/>
      </c:barChart>
      <c:catAx>
        <c:axId val="29919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1976"/>
        <c:crosses val="autoZero"/>
        <c:auto val="1"/>
        <c:lblAlgn val="ctr"/>
        <c:lblOffset val="100"/>
        <c:noMultiLvlLbl val="0"/>
      </c:catAx>
      <c:valAx>
        <c:axId val="303531976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9193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5455173366487E-2"/>
          <c:y val="5.0925925925925923E-2"/>
          <c:w val="0.90699031042172362"/>
          <c:h val="0.77581984543598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25 + 26'!$I$21</c:f>
              <c:strCache>
                <c:ptCount val="1"/>
                <c:pt idx="0">
                  <c:v>Daň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'Graf 25 + 26'!$G$22:$H$29</c:f>
              <c:multiLvlStrCache>
                <c:ptCount val="8"/>
                <c:lvl>
                  <c:pt idx="0">
                    <c:v>EU28</c:v>
                  </c:pt>
                  <c:pt idx="1">
                    <c:v>V4 bez SR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bez SR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priemernej mzdy</c:v>
                  </c:pt>
                  <c:pt idx="4">
                    <c:v>50% priemernej mzdy</c:v>
                  </c:pt>
                </c:lvl>
              </c:multiLvlStrCache>
            </c:multiLvlStrRef>
          </c:cat>
          <c:val>
            <c:numRef>
              <c:f>'Graf 25 + 26'!$I$22:$I$29</c:f>
              <c:numCache>
                <c:formatCode>_-* #\ ##0.0\ _€_-;\-* #\ ##0.0\ _€_-;_-* "-"??\ _€_-;_-@_-</c:formatCode>
                <c:ptCount val="8"/>
                <c:pt idx="0">
                  <c:v>13.174444881481479</c:v>
                </c:pt>
                <c:pt idx="1">
                  <c:v>8.8832903400000003</c:v>
                </c:pt>
                <c:pt idx="2">
                  <c:v>7.2755705832628896</c:v>
                </c:pt>
                <c:pt idx="3">
                  <c:v>7.4418397216045413</c:v>
                </c:pt>
                <c:pt idx="4">
                  <c:v>6.8500973459259251</c:v>
                </c:pt>
                <c:pt idx="5">
                  <c:v>6.0915119100000004</c:v>
                </c:pt>
                <c:pt idx="6">
                  <c:v>2.7686942718184282</c:v>
                </c:pt>
                <c:pt idx="7">
                  <c:v>3.0445354234738859</c:v>
                </c:pt>
              </c:numCache>
            </c:numRef>
          </c:val>
        </c:ser>
        <c:ser>
          <c:idx val="1"/>
          <c:order val="1"/>
          <c:tx>
            <c:strRef>
              <c:f>'Graf 25 + 26'!$J$21</c:f>
              <c:strCache>
                <c:ptCount val="1"/>
                <c:pt idx="0">
                  <c:v>Odvody zamestnanca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'Graf 25 + 26'!$G$22:$H$29</c:f>
              <c:multiLvlStrCache>
                <c:ptCount val="8"/>
                <c:lvl>
                  <c:pt idx="0">
                    <c:v>EU28</c:v>
                  </c:pt>
                  <c:pt idx="1">
                    <c:v>V4 bez SR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bez SR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priemernej mzdy</c:v>
                  </c:pt>
                  <c:pt idx="4">
                    <c:v>50% priemernej mzdy</c:v>
                  </c:pt>
                </c:lvl>
              </c:multiLvlStrCache>
            </c:multiLvlStrRef>
          </c:cat>
          <c:val>
            <c:numRef>
              <c:f>'Graf 25 + 26'!$J$22:$J$29</c:f>
              <c:numCache>
                <c:formatCode>_-* #\ ##0.0\ _€_-;\-* #\ ##0.0\ _€_-;_-* "-"??\ _€_-;_-@_-</c:formatCode>
                <c:ptCount val="8"/>
                <c:pt idx="0">
                  <c:v>9.6629024177777776</c:v>
                </c:pt>
                <c:pt idx="1">
                  <c:v>12.623450253333333</c:v>
                </c:pt>
                <c:pt idx="2">
                  <c:v>9.9112426035502956</c:v>
                </c:pt>
                <c:pt idx="3">
                  <c:v>9.9112426035502956</c:v>
                </c:pt>
                <c:pt idx="4">
                  <c:v>9.2871498459259243</c:v>
                </c:pt>
                <c:pt idx="5">
                  <c:v>12.62345036</c:v>
                </c:pt>
                <c:pt idx="6">
                  <c:v>8.742569575790327</c:v>
                </c:pt>
                <c:pt idx="7">
                  <c:v>8.9456589388517216</c:v>
                </c:pt>
              </c:numCache>
            </c:numRef>
          </c:val>
        </c:ser>
        <c:ser>
          <c:idx val="2"/>
          <c:order val="2"/>
          <c:tx>
            <c:strRef>
              <c:f>'Graf 25 + 26'!$K$21</c:f>
              <c:strCache>
                <c:ptCount val="1"/>
                <c:pt idx="0">
                  <c:v>Odvody zamestnávateľa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'Graf 25 + 26'!$G$22:$H$29</c:f>
              <c:multiLvlStrCache>
                <c:ptCount val="8"/>
                <c:lvl>
                  <c:pt idx="0">
                    <c:v>EU28</c:v>
                  </c:pt>
                  <c:pt idx="1">
                    <c:v>V4 bez SR</c:v>
                  </c:pt>
                  <c:pt idx="2">
                    <c:v>SK_16</c:v>
                  </c:pt>
                  <c:pt idx="3">
                    <c:v>SK_17</c:v>
                  </c:pt>
                  <c:pt idx="4">
                    <c:v>EU28</c:v>
                  </c:pt>
                  <c:pt idx="5">
                    <c:v>V4 bez SR</c:v>
                  </c:pt>
                  <c:pt idx="6">
                    <c:v>SK_16</c:v>
                  </c:pt>
                  <c:pt idx="7">
                    <c:v>SK_17</c:v>
                  </c:pt>
                </c:lvl>
                <c:lvl>
                  <c:pt idx="0">
                    <c:v>100% priemernej mzdy</c:v>
                  </c:pt>
                  <c:pt idx="4">
                    <c:v>50% priemernej mzdy</c:v>
                  </c:pt>
                </c:lvl>
              </c:multiLvlStrCache>
            </c:multiLvlStrRef>
          </c:cat>
          <c:val>
            <c:numRef>
              <c:f>'Graf 25 + 26'!$K$22:$K$29</c:f>
              <c:numCache>
                <c:formatCode>_-* #\ ##0.0\ _€_-;\-* #\ ##0.0\ _€_-;_-* "-"??\ _€_-;_-@_-</c:formatCode>
                <c:ptCount val="8"/>
                <c:pt idx="0">
                  <c:v>17.823495046296294</c:v>
                </c:pt>
                <c:pt idx="1">
                  <c:v>20.64028592</c:v>
                </c:pt>
                <c:pt idx="2">
                  <c:v>26.035502958579883</c:v>
                </c:pt>
                <c:pt idx="3">
                  <c:v>26.035502958579883</c:v>
                </c:pt>
                <c:pt idx="4">
                  <c:v>16.876104707407411</c:v>
                </c:pt>
                <c:pt idx="5">
                  <c:v>20.640281516666665</c:v>
                </c:pt>
                <c:pt idx="6">
                  <c:v>23.162658740880843</c:v>
                </c:pt>
                <c:pt idx="7">
                  <c:v>23.661895129920644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3533152"/>
        <c:axId val="303533544"/>
      </c:barChart>
      <c:catAx>
        <c:axId val="30353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533544"/>
        <c:crosses val="autoZero"/>
        <c:auto val="1"/>
        <c:lblAlgn val="ctr"/>
        <c:lblOffset val="100"/>
        <c:noMultiLvlLbl val="0"/>
      </c:catAx>
      <c:valAx>
        <c:axId val="30353354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53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073152665732725"/>
          <c:y val="5.7012859426091293E-2"/>
          <c:w val="0.56535944761607126"/>
          <c:h val="6.2603475378585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53849518810149E-2"/>
          <c:y val="5.0925925925925923E-2"/>
          <c:w val="0.89649059492563432"/>
          <c:h val="0.77136045494313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cat>
            <c:strRef>
              <c:f>'Graf 25 + 26'!$B$21:$B$41</c:f>
              <c:strCache>
                <c:ptCount val="21"/>
                <c:pt idx="0">
                  <c:v>FR</c:v>
                </c:pt>
                <c:pt idx="1">
                  <c:v>IR</c:v>
                </c:pt>
                <c:pt idx="2">
                  <c:v>BE</c:v>
                </c:pt>
                <c:pt idx="3">
                  <c:v>GB</c:v>
                </c:pt>
                <c:pt idx="4">
                  <c:v>PT</c:v>
                </c:pt>
                <c:pt idx="5">
                  <c:v>AT</c:v>
                </c:pt>
                <c:pt idx="6">
                  <c:v>SE</c:v>
                </c:pt>
                <c:pt idx="7">
                  <c:v>IT</c:v>
                </c:pt>
                <c:pt idx="8">
                  <c:v>FI</c:v>
                </c:pt>
                <c:pt idx="9">
                  <c:v>LU</c:v>
                </c:pt>
                <c:pt idx="10">
                  <c:v>SI</c:v>
                </c:pt>
                <c:pt idx="11">
                  <c:v>GR</c:v>
                </c:pt>
                <c:pt idx="12">
                  <c:v>IS</c:v>
                </c:pt>
                <c:pt idx="13">
                  <c:v>PL</c:v>
                </c:pt>
                <c:pt idx="14">
                  <c:v>NL</c:v>
                </c:pt>
                <c:pt idx="15">
                  <c:v>SK_2017</c:v>
                </c:pt>
                <c:pt idx="16">
                  <c:v>CZ</c:v>
                </c:pt>
                <c:pt idx="17">
                  <c:v>SK_2018</c:v>
                </c:pt>
                <c:pt idx="18">
                  <c:v>HU</c:v>
                </c:pt>
                <c:pt idx="19">
                  <c:v>ES</c:v>
                </c:pt>
                <c:pt idx="20">
                  <c:v>EE</c:v>
                </c:pt>
              </c:strCache>
            </c:strRef>
          </c:cat>
          <c:val>
            <c:numRef>
              <c:f>'Graf 25 + 26'!$C$21:$C$41</c:f>
              <c:numCache>
                <c:formatCode>0.0</c:formatCode>
                <c:ptCount val="21"/>
                <c:pt idx="0">
                  <c:v>64.384822999999997</c:v>
                </c:pt>
                <c:pt idx="1">
                  <c:v>57.13</c:v>
                </c:pt>
                <c:pt idx="2">
                  <c:v>53.792999999999999</c:v>
                </c:pt>
                <c:pt idx="3">
                  <c:v>49.860999999999997</c:v>
                </c:pt>
                <c:pt idx="4">
                  <c:v>49.24</c:v>
                </c:pt>
                <c:pt idx="5">
                  <c:v>45.63</c:v>
                </c:pt>
                <c:pt idx="6">
                  <c:v>45.4</c:v>
                </c:pt>
                <c:pt idx="7">
                  <c:v>43.76</c:v>
                </c:pt>
                <c:pt idx="8">
                  <c:v>43.12</c:v>
                </c:pt>
                <c:pt idx="9">
                  <c:v>42.3932</c:v>
                </c:pt>
                <c:pt idx="10">
                  <c:v>37.813403000000001</c:v>
                </c:pt>
                <c:pt idx="11">
                  <c:v>36.1</c:v>
                </c:pt>
                <c:pt idx="12">
                  <c:v>36</c:v>
                </c:pt>
                <c:pt idx="13">
                  <c:v>34.39</c:v>
                </c:pt>
                <c:pt idx="14">
                  <c:v>33</c:v>
                </c:pt>
                <c:pt idx="15">
                  <c:v>32.06</c:v>
                </c:pt>
                <c:pt idx="16">
                  <c:v>31.15</c:v>
                </c:pt>
                <c:pt idx="17">
                  <c:v>26.53</c:v>
                </c:pt>
                <c:pt idx="18">
                  <c:v>22.65</c:v>
                </c:pt>
                <c:pt idx="19">
                  <c:v>20</c:v>
                </c:pt>
                <c:pt idx="2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3534328"/>
        <c:axId val="303534720"/>
      </c:barChart>
      <c:lineChart>
        <c:grouping val="standard"/>
        <c:varyColors val="0"/>
        <c:ser>
          <c:idx val="1"/>
          <c:order val="1"/>
          <c:tx>
            <c:strRef>
              <c:f>'Graf 25 + 26'!$B$42</c:f>
              <c:strCache>
                <c:ptCount val="1"/>
                <c:pt idx="0">
                  <c:v>Priemer EU krajín v OECD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25 + 26'!$B$21:$B$41</c:f>
              <c:strCache>
                <c:ptCount val="21"/>
                <c:pt idx="0">
                  <c:v>FR</c:v>
                </c:pt>
                <c:pt idx="1">
                  <c:v>IR</c:v>
                </c:pt>
                <c:pt idx="2">
                  <c:v>BE</c:v>
                </c:pt>
                <c:pt idx="3">
                  <c:v>GB</c:v>
                </c:pt>
                <c:pt idx="4">
                  <c:v>PT</c:v>
                </c:pt>
                <c:pt idx="5">
                  <c:v>AT</c:v>
                </c:pt>
                <c:pt idx="6">
                  <c:v>SE</c:v>
                </c:pt>
                <c:pt idx="7">
                  <c:v>IT</c:v>
                </c:pt>
                <c:pt idx="8">
                  <c:v>FI</c:v>
                </c:pt>
                <c:pt idx="9">
                  <c:v>LU</c:v>
                </c:pt>
                <c:pt idx="10">
                  <c:v>SI</c:v>
                </c:pt>
                <c:pt idx="11">
                  <c:v>GR</c:v>
                </c:pt>
                <c:pt idx="12">
                  <c:v>IS</c:v>
                </c:pt>
                <c:pt idx="13">
                  <c:v>PL</c:v>
                </c:pt>
                <c:pt idx="14">
                  <c:v>NL</c:v>
                </c:pt>
                <c:pt idx="15">
                  <c:v>SK_2017</c:v>
                </c:pt>
                <c:pt idx="16">
                  <c:v>CZ</c:v>
                </c:pt>
                <c:pt idx="17">
                  <c:v>SK_2018</c:v>
                </c:pt>
                <c:pt idx="18">
                  <c:v>HU</c:v>
                </c:pt>
                <c:pt idx="19">
                  <c:v>ES</c:v>
                </c:pt>
                <c:pt idx="20">
                  <c:v>EE</c:v>
                </c:pt>
              </c:strCache>
            </c:strRef>
          </c:cat>
          <c:val>
            <c:numRef>
              <c:f>'Graf 25 + 26'!$D$21:$D$41</c:f>
              <c:numCache>
                <c:formatCode>0.0</c:formatCode>
                <c:ptCount val="21"/>
                <c:pt idx="0">
                  <c:v>39.617271299999992</c:v>
                </c:pt>
                <c:pt idx="1">
                  <c:v>39.617271299999992</c:v>
                </c:pt>
                <c:pt idx="2">
                  <c:v>39.617271299999992</c:v>
                </c:pt>
                <c:pt idx="3">
                  <c:v>39.617271299999992</c:v>
                </c:pt>
                <c:pt idx="4">
                  <c:v>39.617271299999992</c:v>
                </c:pt>
                <c:pt idx="5">
                  <c:v>39.617271299999992</c:v>
                </c:pt>
                <c:pt idx="6">
                  <c:v>39.617271299999992</c:v>
                </c:pt>
                <c:pt idx="7">
                  <c:v>39.617271299999992</c:v>
                </c:pt>
                <c:pt idx="8">
                  <c:v>39.617271299999992</c:v>
                </c:pt>
                <c:pt idx="9">
                  <c:v>39.617271299999992</c:v>
                </c:pt>
                <c:pt idx="10">
                  <c:v>39.617271299999992</c:v>
                </c:pt>
                <c:pt idx="11">
                  <c:v>39.617271299999992</c:v>
                </c:pt>
                <c:pt idx="12">
                  <c:v>39.617271299999992</c:v>
                </c:pt>
                <c:pt idx="13">
                  <c:v>39.617271299999992</c:v>
                </c:pt>
                <c:pt idx="14">
                  <c:v>39.617271299999992</c:v>
                </c:pt>
                <c:pt idx="15">
                  <c:v>39.617271299999992</c:v>
                </c:pt>
                <c:pt idx="16">
                  <c:v>39.617271299999992</c:v>
                </c:pt>
                <c:pt idx="17">
                  <c:v>39.617271299999992</c:v>
                </c:pt>
                <c:pt idx="18">
                  <c:v>39.617271299999992</c:v>
                </c:pt>
                <c:pt idx="19">
                  <c:v>39.617271299999992</c:v>
                </c:pt>
                <c:pt idx="20">
                  <c:v>39.617271299999992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25 + 26'!$B$43</c:f>
              <c:strCache>
                <c:ptCount val="1"/>
                <c:pt idx="0">
                  <c:v>Priemer krajín V4 bez SK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'Graf 25 + 26'!$B$21:$B$41</c:f>
              <c:strCache>
                <c:ptCount val="21"/>
                <c:pt idx="0">
                  <c:v>FR</c:v>
                </c:pt>
                <c:pt idx="1">
                  <c:v>IR</c:v>
                </c:pt>
                <c:pt idx="2">
                  <c:v>BE</c:v>
                </c:pt>
                <c:pt idx="3">
                  <c:v>GB</c:v>
                </c:pt>
                <c:pt idx="4">
                  <c:v>PT</c:v>
                </c:pt>
                <c:pt idx="5">
                  <c:v>AT</c:v>
                </c:pt>
                <c:pt idx="6">
                  <c:v>SE</c:v>
                </c:pt>
                <c:pt idx="7">
                  <c:v>IT</c:v>
                </c:pt>
                <c:pt idx="8">
                  <c:v>FI</c:v>
                </c:pt>
                <c:pt idx="9">
                  <c:v>LU</c:v>
                </c:pt>
                <c:pt idx="10">
                  <c:v>SI</c:v>
                </c:pt>
                <c:pt idx="11">
                  <c:v>GR</c:v>
                </c:pt>
                <c:pt idx="12">
                  <c:v>IS</c:v>
                </c:pt>
                <c:pt idx="13">
                  <c:v>PL</c:v>
                </c:pt>
                <c:pt idx="14">
                  <c:v>NL</c:v>
                </c:pt>
                <c:pt idx="15">
                  <c:v>SK_2017</c:v>
                </c:pt>
                <c:pt idx="16">
                  <c:v>CZ</c:v>
                </c:pt>
                <c:pt idx="17">
                  <c:v>SK_2018</c:v>
                </c:pt>
                <c:pt idx="18">
                  <c:v>HU</c:v>
                </c:pt>
                <c:pt idx="19">
                  <c:v>ES</c:v>
                </c:pt>
                <c:pt idx="20">
                  <c:v>EE</c:v>
                </c:pt>
              </c:strCache>
            </c:strRef>
          </c:cat>
          <c:val>
            <c:numRef>
              <c:f>'Graf 25 + 26'!$E$21:$E$41</c:f>
              <c:numCache>
                <c:formatCode>0.0</c:formatCode>
                <c:ptCount val="21"/>
                <c:pt idx="0">
                  <c:v>29.396666666666665</c:v>
                </c:pt>
                <c:pt idx="1">
                  <c:v>29.396666666666665</c:v>
                </c:pt>
                <c:pt idx="2">
                  <c:v>29.396666666666665</c:v>
                </c:pt>
                <c:pt idx="3">
                  <c:v>29.396666666666665</c:v>
                </c:pt>
                <c:pt idx="4">
                  <c:v>29.396666666666665</c:v>
                </c:pt>
                <c:pt idx="5">
                  <c:v>29.396666666666665</c:v>
                </c:pt>
                <c:pt idx="6">
                  <c:v>29.396666666666665</c:v>
                </c:pt>
                <c:pt idx="7">
                  <c:v>29.396666666666665</c:v>
                </c:pt>
                <c:pt idx="8">
                  <c:v>29.396666666666665</c:v>
                </c:pt>
                <c:pt idx="9">
                  <c:v>29.396666666666665</c:v>
                </c:pt>
                <c:pt idx="10">
                  <c:v>29.396666666666665</c:v>
                </c:pt>
                <c:pt idx="11">
                  <c:v>29.396666666666665</c:v>
                </c:pt>
                <c:pt idx="12">
                  <c:v>29.396666666666665</c:v>
                </c:pt>
                <c:pt idx="13">
                  <c:v>29.396666666666665</c:v>
                </c:pt>
                <c:pt idx="14">
                  <c:v>29.396666666666665</c:v>
                </c:pt>
                <c:pt idx="15">
                  <c:v>29.396666666666665</c:v>
                </c:pt>
                <c:pt idx="16">
                  <c:v>29.396666666666665</c:v>
                </c:pt>
                <c:pt idx="17">
                  <c:v>29.396666666666665</c:v>
                </c:pt>
                <c:pt idx="18">
                  <c:v>29.396666666666665</c:v>
                </c:pt>
                <c:pt idx="19">
                  <c:v>29.396666666666665</c:v>
                </c:pt>
                <c:pt idx="20">
                  <c:v>29.396666666666665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534328"/>
        <c:axId val="303534720"/>
      </c:lineChart>
      <c:catAx>
        <c:axId val="303534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4720"/>
        <c:crosses val="autoZero"/>
        <c:auto val="1"/>
        <c:lblAlgn val="ctr"/>
        <c:lblOffset val="100"/>
        <c:noMultiLvlLbl val="0"/>
      </c:catAx>
      <c:valAx>
        <c:axId val="3035347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4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45184142607174105"/>
          <c:y val="5.5294609912891327E-2"/>
          <c:w val="0.45605424321959759"/>
          <c:h val="0.1254558941001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27 + 28'!$B$22</c:f>
              <c:strCache>
                <c:ptCount val="1"/>
                <c:pt idx="0">
                  <c:v>daňová medzera na DPH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666666666666678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78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77777777777777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777777777777776E-2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111111111111110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000000000000005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333333333333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722222222222232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05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4.7222222222222325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4.166666666666676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77777777777778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2222222222222223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0555555555555659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1.1111111111111112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27 + 28'!$C$21:$S$21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'Graf 27 + 28'!$C$22:$S$22</c:f>
              <c:numCache>
                <c:formatCode>0.0</c:formatCode>
                <c:ptCount val="17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31.279497216081154</c:v>
                </c:pt>
                <c:pt idx="9">
                  <c:v>34.884118077650236</c:v>
                </c:pt>
                <c:pt idx="10">
                  <c:v>35.562987066186544</c:v>
                </c:pt>
                <c:pt idx="11">
                  <c:v>38.219907893613644</c:v>
                </c:pt>
                <c:pt idx="12">
                  <c:v>40.957819263797788</c:v>
                </c:pt>
                <c:pt idx="13">
                  <c:v>37.013535189253865</c:v>
                </c:pt>
                <c:pt idx="14">
                  <c:v>33.054773301485028</c:v>
                </c:pt>
                <c:pt idx="15">
                  <c:v>31.43919991665512</c:v>
                </c:pt>
                <c:pt idx="16">
                  <c:v>28.573705974142388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35504"/>
        <c:axId val="303535896"/>
      </c:lineChart>
      <c:catAx>
        <c:axId val="30353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5896"/>
        <c:crosses val="autoZero"/>
        <c:auto val="1"/>
        <c:lblAlgn val="ctr"/>
        <c:lblOffset val="100"/>
        <c:noMultiLvlLbl val="0"/>
      </c:catAx>
      <c:valAx>
        <c:axId val="303535896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5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5062337724643E-2"/>
          <c:y val="5.2194543297746143E-2"/>
          <c:w val="0.89451244177327072"/>
          <c:h val="0.8270309449752945"/>
        </c:manualLayout>
      </c:layout>
      <c:lineChart>
        <c:grouping val="standard"/>
        <c:varyColors val="0"/>
        <c:ser>
          <c:idx val="0"/>
          <c:order val="0"/>
          <c:tx>
            <c:strRef>
              <c:f>'Graf 27 + 28'!$U$22</c:f>
              <c:strCache>
                <c:ptCount val="1"/>
                <c:pt idx="0">
                  <c:v>V4 bez SK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 + 28'!$V$21:$AJ$21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27 + 28'!$V$22:$AJ$22</c:f>
              <c:numCache>
                <c:formatCode>0.0</c:formatCode>
                <c:ptCount val="15"/>
                <c:pt idx="0">
                  <c:v>43.643614939055773</c:v>
                </c:pt>
                <c:pt idx="1">
                  <c:v>42.710133024764005</c:v>
                </c:pt>
                <c:pt idx="2">
                  <c:v>42.503471577416988</c:v>
                </c:pt>
                <c:pt idx="3">
                  <c:v>50.033735580596996</c:v>
                </c:pt>
                <c:pt idx="4">
                  <c:v>50.393395204770954</c:v>
                </c:pt>
                <c:pt idx="5">
                  <c:v>52.354389726736493</c:v>
                </c:pt>
                <c:pt idx="6">
                  <c:v>54.517749410686854</c:v>
                </c:pt>
                <c:pt idx="7">
                  <c:v>54.057903195807143</c:v>
                </c:pt>
                <c:pt idx="8">
                  <c:v>54.019833722033475</c:v>
                </c:pt>
                <c:pt idx="9">
                  <c:v>50.717479844387491</c:v>
                </c:pt>
                <c:pt idx="10">
                  <c:v>50.638560781983784</c:v>
                </c:pt>
                <c:pt idx="11">
                  <c:v>49.865942445242489</c:v>
                </c:pt>
                <c:pt idx="12">
                  <c:v>49.762689793778506</c:v>
                </c:pt>
                <c:pt idx="13">
                  <c:v>51.164789678437373</c:v>
                </c:pt>
                <c:pt idx="14">
                  <c:v>51.552332751984153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27 + 28'!$U$23</c:f>
              <c:strCache>
                <c:ptCount val="1"/>
                <c:pt idx="0">
                  <c:v>priemer eurozóny (19 krajín)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 + 28'!$V$21:$AJ$21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27 + 28'!$V$23:$AJ$23</c:f>
              <c:numCache>
                <c:formatCode>0.0</c:formatCode>
                <c:ptCount val="15"/>
                <c:pt idx="0">
                  <c:v>52.566949478205295</c:v>
                </c:pt>
                <c:pt idx="1">
                  <c:v>51.159704222195742</c:v>
                </c:pt>
                <c:pt idx="2">
                  <c:v>50.673549286015628</c:v>
                </c:pt>
                <c:pt idx="3">
                  <c:v>50.721242903158881</c:v>
                </c:pt>
                <c:pt idx="4">
                  <c:v>51.002600901448368</c:v>
                </c:pt>
                <c:pt idx="5">
                  <c:v>51.96682610777664</c:v>
                </c:pt>
                <c:pt idx="6">
                  <c:v>53.023116435313575</c:v>
                </c:pt>
                <c:pt idx="7">
                  <c:v>51.319088982908298</c:v>
                </c:pt>
                <c:pt idx="8">
                  <c:v>47.572946847531114</c:v>
                </c:pt>
                <c:pt idx="9">
                  <c:v>48.91044244928252</c:v>
                </c:pt>
                <c:pt idx="10">
                  <c:v>48.942972175502604</c:v>
                </c:pt>
                <c:pt idx="11">
                  <c:v>48.681142584124629</c:v>
                </c:pt>
                <c:pt idx="12">
                  <c:v>48.213922142486496</c:v>
                </c:pt>
                <c:pt idx="13">
                  <c:v>48.851484424254252</c:v>
                </c:pt>
                <c:pt idx="14">
                  <c:v>49.48024587274017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 27 + 28'!$U$24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27 + 28'!$V$21:$AJ$21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'Graf 27 + 28'!$V$24:$AJ$24</c:f>
              <c:numCache>
                <c:formatCode>0.0</c:formatCode>
                <c:ptCount val="15"/>
                <c:pt idx="0">
                  <c:v>45.276749357043592</c:v>
                </c:pt>
                <c:pt idx="1">
                  <c:v>43.506065117548779</c:v>
                </c:pt>
                <c:pt idx="2">
                  <c:v>54.447549734533617</c:v>
                </c:pt>
                <c:pt idx="3">
                  <c:v>60.066350631348399</c:v>
                </c:pt>
                <c:pt idx="4">
                  <c:v>60.569263967212613</c:v>
                </c:pt>
                <c:pt idx="5">
                  <c:v>57.38491902457524</c:v>
                </c:pt>
                <c:pt idx="6">
                  <c:v>53.328679992042694</c:v>
                </c:pt>
                <c:pt idx="7">
                  <c:v>53.48052764429697</c:v>
                </c:pt>
                <c:pt idx="8">
                  <c:v>48.491115648318392</c:v>
                </c:pt>
                <c:pt idx="9">
                  <c:v>47.281096696236062</c:v>
                </c:pt>
                <c:pt idx="10">
                  <c:v>48.863289831531638</c:v>
                </c:pt>
                <c:pt idx="11">
                  <c:v>43.8954874177156</c:v>
                </c:pt>
                <c:pt idx="12">
                  <c:v>47.04898159558374</c:v>
                </c:pt>
                <c:pt idx="13">
                  <c:v>48.917332231797886</c:v>
                </c:pt>
                <c:pt idx="14">
                  <c:v>49.730529197716514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36680"/>
        <c:axId val="303537072"/>
      </c:lineChart>
      <c:catAx>
        <c:axId val="303536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7072"/>
        <c:crosses val="autoZero"/>
        <c:auto val="1"/>
        <c:lblAlgn val="ctr"/>
        <c:lblOffset val="100"/>
        <c:noMultiLvlLbl val="0"/>
      </c:catAx>
      <c:valAx>
        <c:axId val="303537072"/>
        <c:scaling>
          <c:orientation val="minMax"/>
          <c:min val="3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6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84950419840521"/>
          <c:y val="0.63523075629781145"/>
          <c:w val="0.427948022482388"/>
          <c:h val="0.2129305722905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3"/>
          <c:order val="1"/>
          <c:tx>
            <c:strRef>
              <c:f>'Graf 3 + 4'!$I$9</c:f>
              <c:strCache>
                <c:ptCount val="1"/>
                <c:pt idx="0">
                  <c:v>EUR/GBP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3 + 4'!$J$7:$ER$7</c:f>
              <c:numCache>
                <c:formatCode>m/d/yyyy</c:formatCode>
                <c:ptCount val="139"/>
                <c:pt idx="0">
                  <c:v>42006</c:v>
                </c:pt>
                <c:pt idx="1">
                  <c:v>42013</c:v>
                </c:pt>
                <c:pt idx="2">
                  <c:v>42020</c:v>
                </c:pt>
                <c:pt idx="3">
                  <c:v>42027</c:v>
                </c:pt>
                <c:pt idx="4">
                  <c:v>42034</c:v>
                </c:pt>
                <c:pt idx="5">
                  <c:v>42041</c:v>
                </c:pt>
                <c:pt idx="6">
                  <c:v>42048</c:v>
                </c:pt>
                <c:pt idx="7">
                  <c:v>42055</c:v>
                </c:pt>
                <c:pt idx="8">
                  <c:v>42062</c:v>
                </c:pt>
                <c:pt idx="9">
                  <c:v>42069</c:v>
                </c:pt>
                <c:pt idx="10">
                  <c:v>42076</c:v>
                </c:pt>
                <c:pt idx="11">
                  <c:v>42083</c:v>
                </c:pt>
                <c:pt idx="12">
                  <c:v>42090</c:v>
                </c:pt>
                <c:pt idx="13">
                  <c:v>42097</c:v>
                </c:pt>
                <c:pt idx="14">
                  <c:v>42104</c:v>
                </c:pt>
                <c:pt idx="15">
                  <c:v>42111</c:v>
                </c:pt>
                <c:pt idx="16">
                  <c:v>42118</c:v>
                </c:pt>
                <c:pt idx="17">
                  <c:v>42125</c:v>
                </c:pt>
                <c:pt idx="18">
                  <c:v>42132</c:v>
                </c:pt>
                <c:pt idx="19">
                  <c:v>42139</c:v>
                </c:pt>
                <c:pt idx="20">
                  <c:v>42146</c:v>
                </c:pt>
                <c:pt idx="21">
                  <c:v>42153</c:v>
                </c:pt>
                <c:pt idx="22">
                  <c:v>42160</c:v>
                </c:pt>
                <c:pt idx="23">
                  <c:v>42167</c:v>
                </c:pt>
                <c:pt idx="24">
                  <c:v>42174</c:v>
                </c:pt>
                <c:pt idx="25">
                  <c:v>42181</c:v>
                </c:pt>
                <c:pt idx="26">
                  <c:v>42188</c:v>
                </c:pt>
                <c:pt idx="27">
                  <c:v>42195</c:v>
                </c:pt>
                <c:pt idx="28">
                  <c:v>42202</c:v>
                </c:pt>
                <c:pt idx="29">
                  <c:v>42209</c:v>
                </c:pt>
                <c:pt idx="30">
                  <c:v>42216</c:v>
                </c:pt>
                <c:pt idx="31">
                  <c:v>42223</c:v>
                </c:pt>
                <c:pt idx="32">
                  <c:v>42230</c:v>
                </c:pt>
                <c:pt idx="33">
                  <c:v>42237</c:v>
                </c:pt>
                <c:pt idx="34">
                  <c:v>42244</c:v>
                </c:pt>
                <c:pt idx="35">
                  <c:v>42251</c:v>
                </c:pt>
                <c:pt idx="36">
                  <c:v>42258</c:v>
                </c:pt>
                <c:pt idx="37">
                  <c:v>42265</c:v>
                </c:pt>
                <c:pt idx="38">
                  <c:v>42272</c:v>
                </c:pt>
                <c:pt idx="39">
                  <c:v>42279</c:v>
                </c:pt>
                <c:pt idx="40">
                  <c:v>42286</c:v>
                </c:pt>
                <c:pt idx="41">
                  <c:v>42293</c:v>
                </c:pt>
                <c:pt idx="42">
                  <c:v>42300</c:v>
                </c:pt>
                <c:pt idx="43">
                  <c:v>42307</c:v>
                </c:pt>
                <c:pt idx="44">
                  <c:v>42314</c:v>
                </c:pt>
                <c:pt idx="45">
                  <c:v>42321</c:v>
                </c:pt>
                <c:pt idx="46">
                  <c:v>42328</c:v>
                </c:pt>
                <c:pt idx="47">
                  <c:v>42335</c:v>
                </c:pt>
                <c:pt idx="48">
                  <c:v>42342</c:v>
                </c:pt>
                <c:pt idx="49">
                  <c:v>42349</c:v>
                </c:pt>
                <c:pt idx="50">
                  <c:v>42356</c:v>
                </c:pt>
                <c:pt idx="51">
                  <c:v>42363</c:v>
                </c:pt>
                <c:pt idx="52">
                  <c:v>42370</c:v>
                </c:pt>
                <c:pt idx="53">
                  <c:v>42377</c:v>
                </c:pt>
                <c:pt idx="54">
                  <c:v>42384</c:v>
                </c:pt>
                <c:pt idx="55">
                  <c:v>42391</c:v>
                </c:pt>
                <c:pt idx="56">
                  <c:v>42398</c:v>
                </c:pt>
                <c:pt idx="57">
                  <c:v>42405</c:v>
                </c:pt>
                <c:pt idx="58">
                  <c:v>42412</c:v>
                </c:pt>
                <c:pt idx="59">
                  <c:v>42419</c:v>
                </c:pt>
                <c:pt idx="60">
                  <c:v>42426</c:v>
                </c:pt>
                <c:pt idx="61">
                  <c:v>42433</c:v>
                </c:pt>
                <c:pt idx="62">
                  <c:v>42440</c:v>
                </c:pt>
                <c:pt idx="63">
                  <c:v>42447</c:v>
                </c:pt>
                <c:pt idx="64">
                  <c:v>42454</c:v>
                </c:pt>
                <c:pt idx="65">
                  <c:v>42461</c:v>
                </c:pt>
                <c:pt idx="66">
                  <c:v>42468</c:v>
                </c:pt>
                <c:pt idx="67">
                  <c:v>42475</c:v>
                </c:pt>
                <c:pt idx="68">
                  <c:v>42482</c:v>
                </c:pt>
                <c:pt idx="69">
                  <c:v>42489</c:v>
                </c:pt>
                <c:pt idx="70">
                  <c:v>42496</c:v>
                </c:pt>
                <c:pt idx="71">
                  <c:v>42503</c:v>
                </c:pt>
                <c:pt idx="72">
                  <c:v>42510</c:v>
                </c:pt>
                <c:pt idx="73">
                  <c:v>42517</c:v>
                </c:pt>
                <c:pt idx="74">
                  <c:v>42524</c:v>
                </c:pt>
                <c:pt idx="75">
                  <c:v>42531</c:v>
                </c:pt>
                <c:pt idx="76">
                  <c:v>42538</c:v>
                </c:pt>
                <c:pt idx="77">
                  <c:v>42545</c:v>
                </c:pt>
                <c:pt idx="78">
                  <c:v>42552</c:v>
                </c:pt>
                <c:pt idx="79">
                  <c:v>42559</c:v>
                </c:pt>
                <c:pt idx="80">
                  <c:v>42566</c:v>
                </c:pt>
                <c:pt idx="81">
                  <c:v>42573</c:v>
                </c:pt>
                <c:pt idx="82">
                  <c:v>42580</c:v>
                </c:pt>
                <c:pt idx="83">
                  <c:v>42587</c:v>
                </c:pt>
                <c:pt idx="84">
                  <c:v>42594</c:v>
                </c:pt>
                <c:pt idx="85">
                  <c:v>42601</c:v>
                </c:pt>
                <c:pt idx="86">
                  <c:v>42608</c:v>
                </c:pt>
                <c:pt idx="87">
                  <c:v>42615</c:v>
                </c:pt>
                <c:pt idx="88">
                  <c:v>42622</c:v>
                </c:pt>
                <c:pt idx="89">
                  <c:v>42629</c:v>
                </c:pt>
                <c:pt idx="90">
                  <c:v>42636</c:v>
                </c:pt>
                <c:pt idx="91">
                  <c:v>42643</c:v>
                </c:pt>
                <c:pt idx="92">
                  <c:v>42650</c:v>
                </c:pt>
                <c:pt idx="93">
                  <c:v>42657</c:v>
                </c:pt>
                <c:pt idx="94">
                  <c:v>42664</c:v>
                </c:pt>
                <c:pt idx="95">
                  <c:v>42671</c:v>
                </c:pt>
                <c:pt idx="96">
                  <c:v>42678</c:v>
                </c:pt>
                <c:pt idx="97">
                  <c:v>42685</c:v>
                </c:pt>
                <c:pt idx="98">
                  <c:v>42692</c:v>
                </c:pt>
                <c:pt idx="99">
                  <c:v>42699</c:v>
                </c:pt>
                <c:pt idx="100">
                  <c:v>42706</c:v>
                </c:pt>
                <c:pt idx="101">
                  <c:v>42713</c:v>
                </c:pt>
                <c:pt idx="102">
                  <c:v>42720</c:v>
                </c:pt>
                <c:pt idx="103">
                  <c:v>42727</c:v>
                </c:pt>
                <c:pt idx="104">
                  <c:v>42734</c:v>
                </c:pt>
                <c:pt idx="105">
                  <c:v>42741</c:v>
                </c:pt>
                <c:pt idx="106">
                  <c:v>42748</c:v>
                </c:pt>
                <c:pt idx="107">
                  <c:v>42755</c:v>
                </c:pt>
                <c:pt idx="108">
                  <c:v>42762</c:v>
                </c:pt>
                <c:pt idx="109">
                  <c:v>42769</c:v>
                </c:pt>
                <c:pt idx="110">
                  <c:v>42776</c:v>
                </c:pt>
                <c:pt idx="111">
                  <c:v>42783</c:v>
                </c:pt>
                <c:pt idx="112">
                  <c:v>42790</c:v>
                </c:pt>
                <c:pt idx="113">
                  <c:v>42797</c:v>
                </c:pt>
                <c:pt idx="114">
                  <c:v>42804</c:v>
                </c:pt>
                <c:pt idx="115">
                  <c:v>42811</c:v>
                </c:pt>
                <c:pt idx="116">
                  <c:v>42818</c:v>
                </c:pt>
                <c:pt idx="117">
                  <c:v>42825</c:v>
                </c:pt>
                <c:pt idx="118">
                  <c:v>42832</c:v>
                </c:pt>
                <c:pt idx="119">
                  <c:v>42839</c:v>
                </c:pt>
                <c:pt idx="120">
                  <c:v>42846</c:v>
                </c:pt>
                <c:pt idx="121">
                  <c:v>42853</c:v>
                </c:pt>
                <c:pt idx="122">
                  <c:v>42860</c:v>
                </c:pt>
                <c:pt idx="123">
                  <c:v>42867</c:v>
                </c:pt>
                <c:pt idx="124">
                  <c:v>42874</c:v>
                </c:pt>
                <c:pt idx="125">
                  <c:v>42881</c:v>
                </c:pt>
                <c:pt idx="126">
                  <c:v>42888</c:v>
                </c:pt>
                <c:pt idx="127">
                  <c:v>42895</c:v>
                </c:pt>
                <c:pt idx="128">
                  <c:v>42902</c:v>
                </c:pt>
                <c:pt idx="129">
                  <c:v>42909</c:v>
                </c:pt>
                <c:pt idx="130">
                  <c:v>42916</c:v>
                </c:pt>
                <c:pt idx="131">
                  <c:v>42923</c:v>
                </c:pt>
                <c:pt idx="132">
                  <c:v>42930</c:v>
                </c:pt>
                <c:pt idx="133">
                  <c:v>42937</c:v>
                </c:pt>
                <c:pt idx="134">
                  <c:v>42944</c:v>
                </c:pt>
                <c:pt idx="135">
                  <c:v>42951</c:v>
                </c:pt>
                <c:pt idx="136">
                  <c:v>42958</c:v>
                </c:pt>
                <c:pt idx="137">
                  <c:v>42965</c:v>
                </c:pt>
                <c:pt idx="138">
                  <c:v>42969</c:v>
                </c:pt>
              </c:numCache>
            </c:numRef>
          </c:cat>
          <c:val>
            <c:numRef>
              <c:f>'Graf 3 + 4'!$J$9:$ER$9</c:f>
              <c:numCache>
                <c:formatCode>0.0</c:formatCode>
                <c:ptCount val="139"/>
                <c:pt idx="0">
                  <c:v>0.78302000000000005</c:v>
                </c:pt>
                <c:pt idx="1">
                  <c:v>0.78110000000000002</c:v>
                </c:pt>
                <c:pt idx="2">
                  <c:v>0.76361999999999997</c:v>
                </c:pt>
                <c:pt idx="3">
                  <c:v>0.74765999999999999</c:v>
                </c:pt>
                <c:pt idx="4">
                  <c:v>0.74955000000000005</c:v>
                </c:pt>
                <c:pt idx="5">
                  <c:v>0.74231000000000003</c:v>
                </c:pt>
                <c:pt idx="6">
                  <c:v>0.73985999999999996</c:v>
                </c:pt>
                <c:pt idx="7">
                  <c:v>0.73895999999999995</c:v>
                </c:pt>
                <c:pt idx="8">
                  <c:v>0.72536</c:v>
                </c:pt>
                <c:pt idx="9">
                  <c:v>0.72085999999999995</c:v>
                </c:pt>
                <c:pt idx="10">
                  <c:v>0.71189000000000002</c:v>
                </c:pt>
                <c:pt idx="11">
                  <c:v>0.72358999999999996</c:v>
                </c:pt>
                <c:pt idx="12">
                  <c:v>0.73209999999999997</c:v>
                </c:pt>
                <c:pt idx="13">
                  <c:v>0.73545000000000005</c:v>
                </c:pt>
                <c:pt idx="14">
                  <c:v>0.72457000000000005</c:v>
                </c:pt>
                <c:pt idx="15">
                  <c:v>0.72214999999999996</c:v>
                </c:pt>
                <c:pt idx="16">
                  <c:v>0.71599999999999997</c:v>
                </c:pt>
                <c:pt idx="17">
                  <c:v>0.73929</c:v>
                </c:pt>
                <c:pt idx="18">
                  <c:v>0.72511999999999999</c:v>
                </c:pt>
                <c:pt idx="19">
                  <c:v>0.72789999999999999</c:v>
                </c:pt>
                <c:pt idx="20">
                  <c:v>0.71111000000000002</c:v>
                </c:pt>
                <c:pt idx="21">
                  <c:v>0.71862999999999999</c:v>
                </c:pt>
                <c:pt idx="22">
                  <c:v>0.72780999999999996</c:v>
                </c:pt>
                <c:pt idx="23">
                  <c:v>0.72404999999999997</c:v>
                </c:pt>
                <c:pt idx="24">
                  <c:v>0.71482999999999997</c:v>
                </c:pt>
                <c:pt idx="25">
                  <c:v>0.70923999999999998</c:v>
                </c:pt>
                <c:pt idx="26">
                  <c:v>0.71382000000000001</c:v>
                </c:pt>
                <c:pt idx="27">
                  <c:v>0.71924999999999994</c:v>
                </c:pt>
                <c:pt idx="28">
                  <c:v>0.69445999999999997</c:v>
                </c:pt>
                <c:pt idx="29">
                  <c:v>0.70804999999999996</c:v>
                </c:pt>
                <c:pt idx="30">
                  <c:v>0.70309999999999995</c:v>
                </c:pt>
                <c:pt idx="31">
                  <c:v>0.70762999999999998</c:v>
                </c:pt>
                <c:pt idx="32">
                  <c:v>0.71033000000000002</c:v>
                </c:pt>
                <c:pt idx="33">
                  <c:v>0.72545000000000004</c:v>
                </c:pt>
                <c:pt idx="34">
                  <c:v>0.72677999999999998</c:v>
                </c:pt>
                <c:pt idx="35">
                  <c:v>0.73460999999999999</c:v>
                </c:pt>
                <c:pt idx="36">
                  <c:v>0.73497999999999997</c:v>
                </c:pt>
                <c:pt idx="37">
                  <c:v>0.72707999999999995</c:v>
                </c:pt>
                <c:pt idx="38">
                  <c:v>0.73799000000000003</c:v>
                </c:pt>
                <c:pt idx="39">
                  <c:v>0.73821000000000003</c:v>
                </c:pt>
                <c:pt idx="40">
                  <c:v>0.74158999999999997</c:v>
                </c:pt>
                <c:pt idx="41">
                  <c:v>0.73509999999999998</c:v>
                </c:pt>
                <c:pt idx="42">
                  <c:v>0.71943999999999997</c:v>
                </c:pt>
                <c:pt idx="43">
                  <c:v>0.71328000000000003</c:v>
                </c:pt>
                <c:pt idx="44">
                  <c:v>0.71369000000000005</c:v>
                </c:pt>
                <c:pt idx="45">
                  <c:v>0.70659000000000005</c:v>
                </c:pt>
                <c:pt idx="46">
                  <c:v>0.70091999999999999</c:v>
                </c:pt>
                <c:pt idx="47">
                  <c:v>0.70464000000000004</c:v>
                </c:pt>
                <c:pt idx="48">
                  <c:v>0.71986000000000006</c:v>
                </c:pt>
                <c:pt idx="49">
                  <c:v>0.72243000000000002</c:v>
                </c:pt>
                <c:pt idx="50">
                  <c:v>0.72946</c:v>
                </c:pt>
                <c:pt idx="51">
                  <c:v>0.73299999999999998</c:v>
                </c:pt>
                <c:pt idx="52">
                  <c:v>0.73750000000000004</c:v>
                </c:pt>
                <c:pt idx="53">
                  <c:v>0.75261999999999996</c:v>
                </c:pt>
                <c:pt idx="54">
                  <c:v>0.76561000000000001</c:v>
                </c:pt>
                <c:pt idx="55">
                  <c:v>0.75707999999999998</c:v>
                </c:pt>
                <c:pt idx="56">
                  <c:v>0.76082000000000005</c:v>
                </c:pt>
                <c:pt idx="57">
                  <c:v>0.76895000000000002</c:v>
                </c:pt>
                <c:pt idx="58">
                  <c:v>0.77615000000000001</c:v>
                </c:pt>
                <c:pt idx="59">
                  <c:v>0.77285999999999999</c:v>
                </c:pt>
                <c:pt idx="60">
                  <c:v>0.78817000000000004</c:v>
                </c:pt>
                <c:pt idx="61">
                  <c:v>0.77319000000000004</c:v>
                </c:pt>
                <c:pt idx="62">
                  <c:v>0.77531000000000005</c:v>
                </c:pt>
                <c:pt idx="63">
                  <c:v>0.77836000000000005</c:v>
                </c:pt>
                <c:pt idx="64">
                  <c:v>0.79049000000000003</c:v>
                </c:pt>
                <c:pt idx="65">
                  <c:v>0.80078000000000005</c:v>
                </c:pt>
                <c:pt idx="66">
                  <c:v>0.80674000000000001</c:v>
                </c:pt>
                <c:pt idx="67">
                  <c:v>0.79440999999999995</c:v>
                </c:pt>
                <c:pt idx="68">
                  <c:v>0.77876999999999996</c:v>
                </c:pt>
                <c:pt idx="69">
                  <c:v>0.78364999999999996</c:v>
                </c:pt>
                <c:pt idx="70">
                  <c:v>0.79059000000000001</c:v>
                </c:pt>
                <c:pt idx="71">
                  <c:v>0.78739999999999999</c:v>
                </c:pt>
                <c:pt idx="72">
                  <c:v>0.77358000000000005</c:v>
                </c:pt>
                <c:pt idx="73">
                  <c:v>0.76015999999999995</c:v>
                </c:pt>
                <c:pt idx="74">
                  <c:v>0.78290999999999999</c:v>
                </c:pt>
                <c:pt idx="75">
                  <c:v>0.78903999999999996</c:v>
                </c:pt>
                <c:pt idx="76">
                  <c:v>0.78535999999999995</c:v>
                </c:pt>
                <c:pt idx="77">
                  <c:v>0.81274000000000002</c:v>
                </c:pt>
                <c:pt idx="78">
                  <c:v>0.83869000000000005</c:v>
                </c:pt>
                <c:pt idx="79">
                  <c:v>0.85245000000000004</c:v>
                </c:pt>
                <c:pt idx="80">
                  <c:v>0.83660999999999996</c:v>
                </c:pt>
                <c:pt idx="81">
                  <c:v>0.83720000000000006</c:v>
                </c:pt>
                <c:pt idx="82">
                  <c:v>0.84462000000000004</c:v>
                </c:pt>
                <c:pt idx="83">
                  <c:v>0.84835000000000005</c:v>
                </c:pt>
                <c:pt idx="84">
                  <c:v>0.86399999999999999</c:v>
                </c:pt>
                <c:pt idx="85">
                  <c:v>0.86648000000000003</c:v>
                </c:pt>
                <c:pt idx="86">
                  <c:v>0.85246</c:v>
                </c:pt>
                <c:pt idx="87">
                  <c:v>0.83931</c:v>
                </c:pt>
                <c:pt idx="88">
                  <c:v>0.84667999999999999</c:v>
                </c:pt>
                <c:pt idx="89">
                  <c:v>0.85790999999999995</c:v>
                </c:pt>
                <c:pt idx="90">
                  <c:v>0.86592999999999998</c:v>
                </c:pt>
                <c:pt idx="91">
                  <c:v>0.86607999999999996</c:v>
                </c:pt>
                <c:pt idx="92">
                  <c:v>0.90005000000000002</c:v>
                </c:pt>
                <c:pt idx="93">
                  <c:v>0.90036000000000005</c:v>
                </c:pt>
                <c:pt idx="94">
                  <c:v>0.89002000000000003</c:v>
                </c:pt>
                <c:pt idx="95">
                  <c:v>0.90042999999999995</c:v>
                </c:pt>
                <c:pt idx="96">
                  <c:v>0.89000999999999997</c:v>
                </c:pt>
                <c:pt idx="97">
                  <c:v>0.86246</c:v>
                </c:pt>
                <c:pt idx="98">
                  <c:v>0.85780000000000001</c:v>
                </c:pt>
                <c:pt idx="99">
                  <c:v>0.84965999999999997</c:v>
                </c:pt>
                <c:pt idx="100">
                  <c:v>0.83894999999999997</c:v>
                </c:pt>
                <c:pt idx="101">
                  <c:v>0.83880999999999994</c:v>
                </c:pt>
                <c:pt idx="102">
                  <c:v>0.83738000000000001</c:v>
                </c:pt>
                <c:pt idx="103">
                  <c:v>0.85170999999999997</c:v>
                </c:pt>
                <c:pt idx="104">
                  <c:v>0.85351999999999995</c:v>
                </c:pt>
                <c:pt idx="105">
                  <c:v>0.85734999999999995</c:v>
                </c:pt>
                <c:pt idx="106">
                  <c:v>0.87165000000000004</c:v>
                </c:pt>
                <c:pt idx="107">
                  <c:v>0.86516999999999999</c:v>
                </c:pt>
                <c:pt idx="108">
                  <c:v>0.85258999999999996</c:v>
                </c:pt>
                <c:pt idx="109">
                  <c:v>0.86399999999999999</c:v>
                </c:pt>
                <c:pt idx="110">
                  <c:v>0.85126000000000002</c:v>
                </c:pt>
                <c:pt idx="111">
                  <c:v>0.85609000000000002</c:v>
                </c:pt>
                <c:pt idx="112">
                  <c:v>0.84769000000000005</c:v>
                </c:pt>
                <c:pt idx="113">
                  <c:v>0.86317999999999995</c:v>
                </c:pt>
                <c:pt idx="114">
                  <c:v>0.87760000000000005</c:v>
                </c:pt>
                <c:pt idx="115">
                  <c:v>0.86624999999999996</c:v>
                </c:pt>
                <c:pt idx="116">
                  <c:v>0.86565000000000003</c:v>
                </c:pt>
                <c:pt idx="117">
                  <c:v>0.84852000000000005</c:v>
                </c:pt>
                <c:pt idx="118">
                  <c:v>0.85553000000000001</c:v>
                </c:pt>
                <c:pt idx="119">
                  <c:v>0.84784000000000004</c:v>
                </c:pt>
                <c:pt idx="120">
                  <c:v>0.83782999999999996</c:v>
                </c:pt>
                <c:pt idx="121">
                  <c:v>0.84133999999999998</c:v>
                </c:pt>
                <c:pt idx="122">
                  <c:v>0.84733000000000003</c:v>
                </c:pt>
                <c:pt idx="123">
                  <c:v>0.84762999999999999</c:v>
                </c:pt>
                <c:pt idx="124">
                  <c:v>0.85963000000000001</c:v>
                </c:pt>
                <c:pt idx="125">
                  <c:v>0.87309999999999999</c:v>
                </c:pt>
                <c:pt idx="126">
                  <c:v>0.87558000000000002</c:v>
                </c:pt>
                <c:pt idx="127">
                  <c:v>0.87817999999999996</c:v>
                </c:pt>
                <c:pt idx="128">
                  <c:v>0.87595000000000001</c:v>
                </c:pt>
                <c:pt idx="129">
                  <c:v>0.87990000000000002</c:v>
                </c:pt>
                <c:pt idx="130">
                  <c:v>0.87709999999999999</c:v>
                </c:pt>
                <c:pt idx="131">
                  <c:v>0.88461000000000001</c:v>
                </c:pt>
                <c:pt idx="132">
                  <c:v>0.87539999999999996</c:v>
                </c:pt>
                <c:pt idx="133">
                  <c:v>0.89739000000000002</c:v>
                </c:pt>
                <c:pt idx="134">
                  <c:v>0.89464999999999995</c:v>
                </c:pt>
                <c:pt idx="135">
                  <c:v>0.90269999999999995</c:v>
                </c:pt>
                <c:pt idx="136">
                  <c:v>0.90849000000000002</c:v>
                </c:pt>
                <c:pt idx="137">
                  <c:v>0.91347999999999996</c:v>
                </c:pt>
                <c:pt idx="138">
                  <c:v>0.91627000000000003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'Graf 3 + 4'!$I$10</c:f>
              <c:strCache>
                <c:ptCount val="1"/>
                <c:pt idx="0">
                  <c:v>EUR/USD</c:v>
                </c:pt>
              </c:strCache>
            </c:strRef>
          </c:tx>
          <c:spPr>
            <a:ln w="1905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'Graf 3 + 4'!$J$7:$ER$7</c:f>
              <c:numCache>
                <c:formatCode>m/d/yyyy</c:formatCode>
                <c:ptCount val="139"/>
                <c:pt idx="0">
                  <c:v>42006</c:v>
                </c:pt>
                <c:pt idx="1">
                  <c:v>42013</c:v>
                </c:pt>
                <c:pt idx="2">
                  <c:v>42020</c:v>
                </c:pt>
                <c:pt idx="3">
                  <c:v>42027</c:v>
                </c:pt>
                <c:pt idx="4">
                  <c:v>42034</c:v>
                </c:pt>
                <c:pt idx="5">
                  <c:v>42041</c:v>
                </c:pt>
                <c:pt idx="6">
                  <c:v>42048</c:v>
                </c:pt>
                <c:pt idx="7">
                  <c:v>42055</c:v>
                </c:pt>
                <c:pt idx="8">
                  <c:v>42062</c:v>
                </c:pt>
                <c:pt idx="9">
                  <c:v>42069</c:v>
                </c:pt>
                <c:pt idx="10">
                  <c:v>42076</c:v>
                </c:pt>
                <c:pt idx="11">
                  <c:v>42083</c:v>
                </c:pt>
                <c:pt idx="12">
                  <c:v>42090</c:v>
                </c:pt>
                <c:pt idx="13">
                  <c:v>42097</c:v>
                </c:pt>
                <c:pt idx="14">
                  <c:v>42104</c:v>
                </c:pt>
                <c:pt idx="15">
                  <c:v>42111</c:v>
                </c:pt>
                <c:pt idx="16">
                  <c:v>42118</c:v>
                </c:pt>
                <c:pt idx="17">
                  <c:v>42125</c:v>
                </c:pt>
                <c:pt idx="18">
                  <c:v>42132</c:v>
                </c:pt>
                <c:pt idx="19">
                  <c:v>42139</c:v>
                </c:pt>
                <c:pt idx="20">
                  <c:v>42146</c:v>
                </c:pt>
                <c:pt idx="21">
                  <c:v>42153</c:v>
                </c:pt>
                <c:pt idx="22">
                  <c:v>42160</c:v>
                </c:pt>
                <c:pt idx="23">
                  <c:v>42167</c:v>
                </c:pt>
                <c:pt idx="24">
                  <c:v>42174</c:v>
                </c:pt>
                <c:pt idx="25">
                  <c:v>42181</c:v>
                </c:pt>
                <c:pt idx="26">
                  <c:v>42188</c:v>
                </c:pt>
                <c:pt idx="27">
                  <c:v>42195</c:v>
                </c:pt>
                <c:pt idx="28">
                  <c:v>42202</c:v>
                </c:pt>
                <c:pt idx="29">
                  <c:v>42209</c:v>
                </c:pt>
                <c:pt idx="30">
                  <c:v>42216</c:v>
                </c:pt>
                <c:pt idx="31">
                  <c:v>42223</c:v>
                </c:pt>
                <c:pt idx="32">
                  <c:v>42230</c:v>
                </c:pt>
                <c:pt idx="33">
                  <c:v>42237</c:v>
                </c:pt>
                <c:pt idx="34">
                  <c:v>42244</c:v>
                </c:pt>
                <c:pt idx="35">
                  <c:v>42251</c:v>
                </c:pt>
                <c:pt idx="36">
                  <c:v>42258</c:v>
                </c:pt>
                <c:pt idx="37">
                  <c:v>42265</c:v>
                </c:pt>
                <c:pt idx="38">
                  <c:v>42272</c:v>
                </c:pt>
                <c:pt idx="39">
                  <c:v>42279</c:v>
                </c:pt>
                <c:pt idx="40">
                  <c:v>42286</c:v>
                </c:pt>
                <c:pt idx="41">
                  <c:v>42293</c:v>
                </c:pt>
                <c:pt idx="42">
                  <c:v>42300</c:v>
                </c:pt>
                <c:pt idx="43">
                  <c:v>42307</c:v>
                </c:pt>
                <c:pt idx="44">
                  <c:v>42314</c:v>
                </c:pt>
                <c:pt idx="45">
                  <c:v>42321</c:v>
                </c:pt>
                <c:pt idx="46">
                  <c:v>42328</c:v>
                </c:pt>
                <c:pt idx="47">
                  <c:v>42335</c:v>
                </c:pt>
                <c:pt idx="48">
                  <c:v>42342</c:v>
                </c:pt>
                <c:pt idx="49">
                  <c:v>42349</c:v>
                </c:pt>
                <c:pt idx="50">
                  <c:v>42356</c:v>
                </c:pt>
                <c:pt idx="51">
                  <c:v>42363</c:v>
                </c:pt>
                <c:pt idx="52">
                  <c:v>42370</c:v>
                </c:pt>
                <c:pt idx="53">
                  <c:v>42377</c:v>
                </c:pt>
                <c:pt idx="54">
                  <c:v>42384</c:v>
                </c:pt>
                <c:pt idx="55">
                  <c:v>42391</c:v>
                </c:pt>
                <c:pt idx="56">
                  <c:v>42398</c:v>
                </c:pt>
                <c:pt idx="57">
                  <c:v>42405</c:v>
                </c:pt>
                <c:pt idx="58">
                  <c:v>42412</c:v>
                </c:pt>
                <c:pt idx="59">
                  <c:v>42419</c:v>
                </c:pt>
                <c:pt idx="60">
                  <c:v>42426</c:v>
                </c:pt>
                <c:pt idx="61">
                  <c:v>42433</c:v>
                </c:pt>
                <c:pt idx="62">
                  <c:v>42440</c:v>
                </c:pt>
                <c:pt idx="63">
                  <c:v>42447</c:v>
                </c:pt>
                <c:pt idx="64">
                  <c:v>42454</c:v>
                </c:pt>
                <c:pt idx="65">
                  <c:v>42461</c:v>
                </c:pt>
                <c:pt idx="66">
                  <c:v>42468</c:v>
                </c:pt>
                <c:pt idx="67">
                  <c:v>42475</c:v>
                </c:pt>
                <c:pt idx="68">
                  <c:v>42482</c:v>
                </c:pt>
                <c:pt idx="69">
                  <c:v>42489</c:v>
                </c:pt>
                <c:pt idx="70">
                  <c:v>42496</c:v>
                </c:pt>
                <c:pt idx="71">
                  <c:v>42503</c:v>
                </c:pt>
                <c:pt idx="72">
                  <c:v>42510</c:v>
                </c:pt>
                <c:pt idx="73">
                  <c:v>42517</c:v>
                </c:pt>
                <c:pt idx="74">
                  <c:v>42524</c:v>
                </c:pt>
                <c:pt idx="75">
                  <c:v>42531</c:v>
                </c:pt>
                <c:pt idx="76">
                  <c:v>42538</c:v>
                </c:pt>
                <c:pt idx="77">
                  <c:v>42545</c:v>
                </c:pt>
                <c:pt idx="78">
                  <c:v>42552</c:v>
                </c:pt>
                <c:pt idx="79">
                  <c:v>42559</c:v>
                </c:pt>
                <c:pt idx="80">
                  <c:v>42566</c:v>
                </c:pt>
                <c:pt idx="81">
                  <c:v>42573</c:v>
                </c:pt>
                <c:pt idx="82">
                  <c:v>42580</c:v>
                </c:pt>
                <c:pt idx="83">
                  <c:v>42587</c:v>
                </c:pt>
                <c:pt idx="84">
                  <c:v>42594</c:v>
                </c:pt>
                <c:pt idx="85">
                  <c:v>42601</c:v>
                </c:pt>
                <c:pt idx="86">
                  <c:v>42608</c:v>
                </c:pt>
                <c:pt idx="87">
                  <c:v>42615</c:v>
                </c:pt>
                <c:pt idx="88">
                  <c:v>42622</c:v>
                </c:pt>
                <c:pt idx="89">
                  <c:v>42629</c:v>
                </c:pt>
                <c:pt idx="90">
                  <c:v>42636</c:v>
                </c:pt>
                <c:pt idx="91">
                  <c:v>42643</c:v>
                </c:pt>
                <c:pt idx="92">
                  <c:v>42650</c:v>
                </c:pt>
                <c:pt idx="93">
                  <c:v>42657</c:v>
                </c:pt>
                <c:pt idx="94">
                  <c:v>42664</c:v>
                </c:pt>
                <c:pt idx="95">
                  <c:v>42671</c:v>
                </c:pt>
                <c:pt idx="96">
                  <c:v>42678</c:v>
                </c:pt>
                <c:pt idx="97">
                  <c:v>42685</c:v>
                </c:pt>
                <c:pt idx="98">
                  <c:v>42692</c:v>
                </c:pt>
                <c:pt idx="99">
                  <c:v>42699</c:v>
                </c:pt>
                <c:pt idx="100">
                  <c:v>42706</c:v>
                </c:pt>
                <c:pt idx="101">
                  <c:v>42713</c:v>
                </c:pt>
                <c:pt idx="102">
                  <c:v>42720</c:v>
                </c:pt>
                <c:pt idx="103">
                  <c:v>42727</c:v>
                </c:pt>
                <c:pt idx="104">
                  <c:v>42734</c:v>
                </c:pt>
                <c:pt idx="105">
                  <c:v>42741</c:v>
                </c:pt>
                <c:pt idx="106">
                  <c:v>42748</c:v>
                </c:pt>
                <c:pt idx="107">
                  <c:v>42755</c:v>
                </c:pt>
                <c:pt idx="108">
                  <c:v>42762</c:v>
                </c:pt>
                <c:pt idx="109">
                  <c:v>42769</c:v>
                </c:pt>
                <c:pt idx="110">
                  <c:v>42776</c:v>
                </c:pt>
                <c:pt idx="111">
                  <c:v>42783</c:v>
                </c:pt>
                <c:pt idx="112">
                  <c:v>42790</c:v>
                </c:pt>
                <c:pt idx="113">
                  <c:v>42797</c:v>
                </c:pt>
                <c:pt idx="114">
                  <c:v>42804</c:v>
                </c:pt>
                <c:pt idx="115">
                  <c:v>42811</c:v>
                </c:pt>
                <c:pt idx="116">
                  <c:v>42818</c:v>
                </c:pt>
                <c:pt idx="117">
                  <c:v>42825</c:v>
                </c:pt>
                <c:pt idx="118">
                  <c:v>42832</c:v>
                </c:pt>
                <c:pt idx="119">
                  <c:v>42839</c:v>
                </c:pt>
                <c:pt idx="120">
                  <c:v>42846</c:v>
                </c:pt>
                <c:pt idx="121">
                  <c:v>42853</c:v>
                </c:pt>
                <c:pt idx="122">
                  <c:v>42860</c:v>
                </c:pt>
                <c:pt idx="123">
                  <c:v>42867</c:v>
                </c:pt>
                <c:pt idx="124">
                  <c:v>42874</c:v>
                </c:pt>
                <c:pt idx="125">
                  <c:v>42881</c:v>
                </c:pt>
                <c:pt idx="126">
                  <c:v>42888</c:v>
                </c:pt>
                <c:pt idx="127">
                  <c:v>42895</c:v>
                </c:pt>
                <c:pt idx="128">
                  <c:v>42902</c:v>
                </c:pt>
                <c:pt idx="129">
                  <c:v>42909</c:v>
                </c:pt>
                <c:pt idx="130">
                  <c:v>42916</c:v>
                </c:pt>
                <c:pt idx="131">
                  <c:v>42923</c:v>
                </c:pt>
                <c:pt idx="132">
                  <c:v>42930</c:v>
                </c:pt>
                <c:pt idx="133">
                  <c:v>42937</c:v>
                </c:pt>
                <c:pt idx="134">
                  <c:v>42944</c:v>
                </c:pt>
                <c:pt idx="135">
                  <c:v>42951</c:v>
                </c:pt>
                <c:pt idx="136">
                  <c:v>42958</c:v>
                </c:pt>
                <c:pt idx="137">
                  <c:v>42965</c:v>
                </c:pt>
                <c:pt idx="138">
                  <c:v>42969</c:v>
                </c:pt>
              </c:numCache>
            </c:numRef>
          </c:cat>
          <c:val>
            <c:numRef>
              <c:f>'Graf 3 + 4'!$J$10:$ER$10</c:f>
              <c:numCache>
                <c:formatCode>0.0</c:formatCode>
                <c:ptCount val="139"/>
                <c:pt idx="0">
                  <c:v>1.2001999999999999</c:v>
                </c:pt>
                <c:pt idx="1">
                  <c:v>1.1841999999999999</c:v>
                </c:pt>
                <c:pt idx="2">
                  <c:v>1.1567000000000001</c:v>
                </c:pt>
                <c:pt idx="3">
                  <c:v>1.1204000000000001</c:v>
                </c:pt>
                <c:pt idx="4">
                  <c:v>1.1291</c:v>
                </c:pt>
                <c:pt idx="5">
                  <c:v>1.1315999999999999</c:v>
                </c:pt>
                <c:pt idx="6">
                  <c:v>1.1394</c:v>
                </c:pt>
                <c:pt idx="7">
                  <c:v>1.1381000000000001</c:v>
                </c:pt>
                <c:pt idx="8">
                  <c:v>1.1195999999999999</c:v>
                </c:pt>
                <c:pt idx="9">
                  <c:v>1.0844</c:v>
                </c:pt>
                <c:pt idx="10">
                  <c:v>1.0496000000000001</c:v>
                </c:pt>
                <c:pt idx="11">
                  <c:v>1.0821000000000001</c:v>
                </c:pt>
                <c:pt idx="12">
                  <c:v>1.0889</c:v>
                </c:pt>
                <c:pt idx="13">
                  <c:v>1.0969</c:v>
                </c:pt>
                <c:pt idx="14">
                  <c:v>1.0604</c:v>
                </c:pt>
                <c:pt idx="15">
                  <c:v>1.0806</c:v>
                </c:pt>
                <c:pt idx="16">
                  <c:v>1.0872999999999999</c:v>
                </c:pt>
                <c:pt idx="17">
                  <c:v>1.1198999999999999</c:v>
                </c:pt>
                <c:pt idx="18">
                  <c:v>1.1198999999999999</c:v>
                </c:pt>
                <c:pt idx="19">
                  <c:v>1.1451</c:v>
                </c:pt>
                <c:pt idx="20">
                  <c:v>1.1012999999999999</c:v>
                </c:pt>
                <c:pt idx="21">
                  <c:v>1.0986</c:v>
                </c:pt>
                <c:pt idx="22">
                  <c:v>1.1113999999999999</c:v>
                </c:pt>
                <c:pt idx="23">
                  <c:v>1.1266</c:v>
                </c:pt>
                <c:pt idx="24">
                  <c:v>1.1352</c:v>
                </c:pt>
                <c:pt idx="25">
                  <c:v>1.1167</c:v>
                </c:pt>
                <c:pt idx="26">
                  <c:v>1.1113999999999999</c:v>
                </c:pt>
                <c:pt idx="27">
                  <c:v>1.1162000000000001</c:v>
                </c:pt>
                <c:pt idx="28">
                  <c:v>1.083</c:v>
                </c:pt>
                <c:pt idx="29">
                  <c:v>1.0984</c:v>
                </c:pt>
                <c:pt idx="30">
                  <c:v>1.0984</c:v>
                </c:pt>
                <c:pt idx="31">
                  <c:v>1.0967</c:v>
                </c:pt>
                <c:pt idx="32">
                  <c:v>1.1109</c:v>
                </c:pt>
                <c:pt idx="33">
                  <c:v>1.1386000000000001</c:v>
                </c:pt>
                <c:pt idx="34">
                  <c:v>1.1185</c:v>
                </c:pt>
                <c:pt idx="35">
                  <c:v>1.1149</c:v>
                </c:pt>
                <c:pt idx="36">
                  <c:v>1.1337999999999999</c:v>
                </c:pt>
                <c:pt idx="37">
                  <c:v>1.1297999999999999</c:v>
                </c:pt>
                <c:pt idx="38">
                  <c:v>1.1194999999999999</c:v>
                </c:pt>
                <c:pt idx="39">
                  <c:v>1.1215999999999999</c:v>
                </c:pt>
                <c:pt idx="40">
                  <c:v>1.1357999999999999</c:v>
                </c:pt>
                <c:pt idx="41">
                  <c:v>1.1348</c:v>
                </c:pt>
                <c:pt idx="42">
                  <c:v>1.1017999999999999</c:v>
                </c:pt>
                <c:pt idx="43">
                  <c:v>1.1006</c:v>
                </c:pt>
                <c:pt idx="44">
                  <c:v>1.0741000000000001</c:v>
                </c:pt>
                <c:pt idx="45">
                  <c:v>1.0772999999999999</c:v>
                </c:pt>
                <c:pt idx="46">
                  <c:v>1.0646</c:v>
                </c:pt>
                <c:pt idx="47">
                  <c:v>1.0592999999999999</c:v>
                </c:pt>
                <c:pt idx="48">
                  <c:v>1.0881000000000001</c:v>
                </c:pt>
                <c:pt idx="49">
                  <c:v>1.0986</c:v>
                </c:pt>
                <c:pt idx="50">
                  <c:v>1.0868</c:v>
                </c:pt>
                <c:pt idx="51">
                  <c:v>1.0960000000000001</c:v>
                </c:pt>
                <c:pt idx="52">
                  <c:v>1.0855999999999999</c:v>
                </c:pt>
                <c:pt idx="53">
                  <c:v>1.0922000000000001</c:v>
                </c:pt>
                <c:pt idx="54">
                  <c:v>1.0915999999999999</c:v>
                </c:pt>
                <c:pt idx="55">
                  <c:v>1.0796000000000001</c:v>
                </c:pt>
                <c:pt idx="56">
                  <c:v>1.0831</c:v>
                </c:pt>
                <c:pt idx="57">
                  <c:v>1.1157999999999999</c:v>
                </c:pt>
                <c:pt idx="58">
                  <c:v>1.1255999999999999</c:v>
                </c:pt>
                <c:pt idx="59">
                  <c:v>1.113</c:v>
                </c:pt>
                <c:pt idx="60">
                  <c:v>1.0933999999999999</c:v>
                </c:pt>
                <c:pt idx="61">
                  <c:v>1.1005</c:v>
                </c:pt>
                <c:pt idx="62">
                  <c:v>1.1155999999999999</c:v>
                </c:pt>
                <c:pt idx="63">
                  <c:v>1.127</c:v>
                </c:pt>
                <c:pt idx="64">
                  <c:v>1.1167</c:v>
                </c:pt>
                <c:pt idx="65">
                  <c:v>1.1391</c:v>
                </c:pt>
                <c:pt idx="66">
                  <c:v>1.1398999999999999</c:v>
                </c:pt>
                <c:pt idx="67">
                  <c:v>1.1284000000000001</c:v>
                </c:pt>
                <c:pt idx="68">
                  <c:v>1.1222000000000001</c:v>
                </c:pt>
                <c:pt idx="69">
                  <c:v>1.1451</c:v>
                </c:pt>
                <c:pt idx="70">
                  <c:v>1.1404000000000001</c:v>
                </c:pt>
                <c:pt idx="71">
                  <c:v>1.1309</c:v>
                </c:pt>
                <c:pt idx="72">
                  <c:v>1.1224000000000001</c:v>
                </c:pt>
                <c:pt idx="73">
                  <c:v>1.1114999999999999</c:v>
                </c:pt>
                <c:pt idx="74">
                  <c:v>1.1367</c:v>
                </c:pt>
                <c:pt idx="75">
                  <c:v>1.1251</c:v>
                </c:pt>
                <c:pt idx="76">
                  <c:v>1.1276999999999999</c:v>
                </c:pt>
                <c:pt idx="77">
                  <c:v>1.1116999999999999</c:v>
                </c:pt>
                <c:pt idx="78">
                  <c:v>1.1135999999999999</c:v>
                </c:pt>
                <c:pt idx="79">
                  <c:v>1.1051</c:v>
                </c:pt>
                <c:pt idx="80">
                  <c:v>1.1034999999999999</c:v>
                </c:pt>
                <c:pt idx="81">
                  <c:v>1.0976999999999999</c:v>
                </c:pt>
                <c:pt idx="82">
                  <c:v>1.1173999999999999</c:v>
                </c:pt>
                <c:pt idx="83">
                  <c:v>1.1086</c:v>
                </c:pt>
                <c:pt idx="84">
                  <c:v>1.1162000000000001</c:v>
                </c:pt>
                <c:pt idx="85">
                  <c:v>1.1325000000000001</c:v>
                </c:pt>
                <c:pt idx="86">
                  <c:v>1.1197999999999999</c:v>
                </c:pt>
                <c:pt idx="87">
                  <c:v>1.1155999999999999</c:v>
                </c:pt>
                <c:pt idx="88">
                  <c:v>1.1233</c:v>
                </c:pt>
                <c:pt idx="89">
                  <c:v>1.1154999999999999</c:v>
                </c:pt>
                <c:pt idx="90">
                  <c:v>1.1226</c:v>
                </c:pt>
                <c:pt idx="91">
                  <c:v>1.1234999999999999</c:v>
                </c:pt>
                <c:pt idx="92">
                  <c:v>1.1201000000000001</c:v>
                </c:pt>
                <c:pt idx="93">
                  <c:v>1.0972</c:v>
                </c:pt>
                <c:pt idx="94">
                  <c:v>1.0884</c:v>
                </c:pt>
                <c:pt idx="95">
                  <c:v>1.0985</c:v>
                </c:pt>
                <c:pt idx="96">
                  <c:v>1.1141000000000001</c:v>
                </c:pt>
                <c:pt idx="97">
                  <c:v>1.0854999999999999</c:v>
                </c:pt>
                <c:pt idx="98">
                  <c:v>1.0588</c:v>
                </c:pt>
                <c:pt idx="99">
                  <c:v>1.0589</c:v>
                </c:pt>
                <c:pt idx="100">
                  <c:v>1.0664</c:v>
                </c:pt>
                <c:pt idx="101">
                  <c:v>1.0561</c:v>
                </c:pt>
                <c:pt idx="102">
                  <c:v>1.0450999999999999</c:v>
                </c:pt>
                <c:pt idx="103">
                  <c:v>1.0456000000000001</c:v>
                </c:pt>
                <c:pt idx="104">
                  <c:v>1.0517000000000001</c:v>
                </c:pt>
                <c:pt idx="105">
                  <c:v>1.0531999999999999</c:v>
                </c:pt>
                <c:pt idx="106">
                  <c:v>1.0643</c:v>
                </c:pt>
                <c:pt idx="107">
                  <c:v>1.0703</c:v>
                </c:pt>
                <c:pt idx="108">
                  <c:v>1.0699000000000001</c:v>
                </c:pt>
                <c:pt idx="109">
                  <c:v>1.0783</c:v>
                </c:pt>
                <c:pt idx="110">
                  <c:v>1.0643</c:v>
                </c:pt>
                <c:pt idx="111">
                  <c:v>1.0616000000000001</c:v>
                </c:pt>
                <c:pt idx="112">
                  <c:v>1.0563</c:v>
                </c:pt>
                <c:pt idx="113">
                  <c:v>1.0622</c:v>
                </c:pt>
                <c:pt idx="114">
                  <c:v>1.0672999999999999</c:v>
                </c:pt>
                <c:pt idx="115">
                  <c:v>1.0738000000000001</c:v>
                </c:pt>
                <c:pt idx="116">
                  <c:v>1.0798000000000001</c:v>
                </c:pt>
                <c:pt idx="117">
                  <c:v>1.0651999999999999</c:v>
                </c:pt>
                <c:pt idx="118">
                  <c:v>1.0590999999999999</c:v>
                </c:pt>
                <c:pt idx="119">
                  <c:v>1.0618000000000001</c:v>
                </c:pt>
                <c:pt idx="120">
                  <c:v>1.0728</c:v>
                </c:pt>
                <c:pt idx="121">
                  <c:v>1.0894999999999999</c:v>
                </c:pt>
                <c:pt idx="122">
                  <c:v>1.0998000000000001</c:v>
                </c:pt>
                <c:pt idx="123">
                  <c:v>1.0931</c:v>
                </c:pt>
                <c:pt idx="124">
                  <c:v>1.1206</c:v>
                </c:pt>
                <c:pt idx="125">
                  <c:v>1.1183000000000001</c:v>
                </c:pt>
                <c:pt idx="126">
                  <c:v>1.1278999999999999</c:v>
                </c:pt>
                <c:pt idx="127">
                  <c:v>1.1194999999999999</c:v>
                </c:pt>
                <c:pt idx="128">
                  <c:v>1.1197999999999999</c:v>
                </c:pt>
                <c:pt idx="129">
                  <c:v>1.1194</c:v>
                </c:pt>
                <c:pt idx="130">
                  <c:v>1.1426000000000001</c:v>
                </c:pt>
                <c:pt idx="131">
                  <c:v>1.1400999999999999</c:v>
                </c:pt>
                <c:pt idx="132">
                  <c:v>1.147</c:v>
                </c:pt>
                <c:pt idx="133">
                  <c:v>1.1662999999999999</c:v>
                </c:pt>
                <c:pt idx="134">
                  <c:v>1.1751</c:v>
                </c:pt>
                <c:pt idx="135">
                  <c:v>1.1773</c:v>
                </c:pt>
                <c:pt idx="136">
                  <c:v>1.1820999999999999</c:v>
                </c:pt>
                <c:pt idx="137">
                  <c:v>1.1760999999999999</c:v>
                </c:pt>
                <c:pt idx="138">
                  <c:v>1.1761999999999999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05248"/>
        <c:axId val="297106032"/>
      </c:lineChart>
      <c:lineChart>
        <c:grouping val="standard"/>
        <c:varyColors val="0"/>
        <c:ser>
          <c:idx val="2"/>
          <c:order val="0"/>
          <c:tx>
            <c:strRef>
              <c:f>'Graf 3 + 4'!$I$8</c:f>
              <c:strCache>
                <c:ptCount val="1"/>
                <c:pt idx="0">
                  <c:v>EUR/JPY (pravá os)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3 + 4'!$J$7:$ER$7</c:f>
              <c:numCache>
                <c:formatCode>m/d/yyyy</c:formatCode>
                <c:ptCount val="139"/>
                <c:pt idx="0">
                  <c:v>42006</c:v>
                </c:pt>
                <c:pt idx="1">
                  <c:v>42013</c:v>
                </c:pt>
                <c:pt idx="2">
                  <c:v>42020</c:v>
                </c:pt>
                <c:pt idx="3">
                  <c:v>42027</c:v>
                </c:pt>
                <c:pt idx="4">
                  <c:v>42034</c:v>
                </c:pt>
                <c:pt idx="5">
                  <c:v>42041</c:v>
                </c:pt>
                <c:pt idx="6">
                  <c:v>42048</c:v>
                </c:pt>
                <c:pt idx="7">
                  <c:v>42055</c:v>
                </c:pt>
                <c:pt idx="8">
                  <c:v>42062</c:v>
                </c:pt>
                <c:pt idx="9">
                  <c:v>42069</c:v>
                </c:pt>
                <c:pt idx="10">
                  <c:v>42076</c:v>
                </c:pt>
                <c:pt idx="11">
                  <c:v>42083</c:v>
                </c:pt>
                <c:pt idx="12">
                  <c:v>42090</c:v>
                </c:pt>
                <c:pt idx="13">
                  <c:v>42097</c:v>
                </c:pt>
                <c:pt idx="14">
                  <c:v>42104</c:v>
                </c:pt>
                <c:pt idx="15">
                  <c:v>42111</c:v>
                </c:pt>
                <c:pt idx="16">
                  <c:v>42118</c:v>
                </c:pt>
                <c:pt idx="17">
                  <c:v>42125</c:v>
                </c:pt>
                <c:pt idx="18">
                  <c:v>42132</c:v>
                </c:pt>
                <c:pt idx="19">
                  <c:v>42139</c:v>
                </c:pt>
                <c:pt idx="20">
                  <c:v>42146</c:v>
                </c:pt>
                <c:pt idx="21">
                  <c:v>42153</c:v>
                </c:pt>
                <c:pt idx="22">
                  <c:v>42160</c:v>
                </c:pt>
                <c:pt idx="23">
                  <c:v>42167</c:v>
                </c:pt>
                <c:pt idx="24">
                  <c:v>42174</c:v>
                </c:pt>
                <c:pt idx="25">
                  <c:v>42181</c:v>
                </c:pt>
                <c:pt idx="26">
                  <c:v>42188</c:v>
                </c:pt>
                <c:pt idx="27">
                  <c:v>42195</c:v>
                </c:pt>
                <c:pt idx="28">
                  <c:v>42202</c:v>
                </c:pt>
                <c:pt idx="29">
                  <c:v>42209</c:v>
                </c:pt>
                <c:pt idx="30">
                  <c:v>42216</c:v>
                </c:pt>
                <c:pt idx="31">
                  <c:v>42223</c:v>
                </c:pt>
                <c:pt idx="32">
                  <c:v>42230</c:v>
                </c:pt>
                <c:pt idx="33">
                  <c:v>42237</c:v>
                </c:pt>
                <c:pt idx="34">
                  <c:v>42244</c:v>
                </c:pt>
                <c:pt idx="35">
                  <c:v>42251</c:v>
                </c:pt>
                <c:pt idx="36">
                  <c:v>42258</c:v>
                </c:pt>
                <c:pt idx="37">
                  <c:v>42265</c:v>
                </c:pt>
                <c:pt idx="38">
                  <c:v>42272</c:v>
                </c:pt>
                <c:pt idx="39">
                  <c:v>42279</c:v>
                </c:pt>
                <c:pt idx="40">
                  <c:v>42286</c:v>
                </c:pt>
                <c:pt idx="41">
                  <c:v>42293</c:v>
                </c:pt>
                <c:pt idx="42">
                  <c:v>42300</c:v>
                </c:pt>
                <c:pt idx="43">
                  <c:v>42307</c:v>
                </c:pt>
                <c:pt idx="44">
                  <c:v>42314</c:v>
                </c:pt>
                <c:pt idx="45">
                  <c:v>42321</c:v>
                </c:pt>
                <c:pt idx="46">
                  <c:v>42328</c:v>
                </c:pt>
                <c:pt idx="47">
                  <c:v>42335</c:v>
                </c:pt>
                <c:pt idx="48">
                  <c:v>42342</c:v>
                </c:pt>
                <c:pt idx="49">
                  <c:v>42349</c:v>
                </c:pt>
                <c:pt idx="50">
                  <c:v>42356</c:v>
                </c:pt>
                <c:pt idx="51">
                  <c:v>42363</c:v>
                </c:pt>
                <c:pt idx="52">
                  <c:v>42370</c:v>
                </c:pt>
                <c:pt idx="53">
                  <c:v>42377</c:v>
                </c:pt>
                <c:pt idx="54">
                  <c:v>42384</c:v>
                </c:pt>
                <c:pt idx="55">
                  <c:v>42391</c:v>
                </c:pt>
                <c:pt idx="56">
                  <c:v>42398</c:v>
                </c:pt>
                <c:pt idx="57">
                  <c:v>42405</c:v>
                </c:pt>
                <c:pt idx="58">
                  <c:v>42412</c:v>
                </c:pt>
                <c:pt idx="59">
                  <c:v>42419</c:v>
                </c:pt>
                <c:pt idx="60">
                  <c:v>42426</c:v>
                </c:pt>
                <c:pt idx="61">
                  <c:v>42433</c:v>
                </c:pt>
                <c:pt idx="62">
                  <c:v>42440</c:v>
                </c:pt>
                <c:pt idx="63">
                  <c:v>42447</c:v>
                </c:pt>
                <c:pt idx="64">
                  <c:v>42454</c:v>
                </c:pt>
                <c:pt idx="65">
                  <c:v>42461</c:v>
                </c:pt>
                <c:pt idx="66">
                  <c:v>42468</c:v>
                </c:pt>
                <c:pt idx="67">
                  <c:v>42475</c:v>
                </c:pt>
                <c:pt idx="68">
                  <c:v>42482</c:v>
                </c:pt>
                <c:pt idx="69">
                  <c:v>42489</c:v>
                </c:pt>
                <c:pt idx="70">
                  <c:v>42496</c:v>
                </c:pt>
                <c:pt idx="71">
                  <c:v>42503</c:v>
                </c:pt>
                <c:pt idx="72">
                  <c:v>42510</c:v>
                </c:pt>
                <c:pt idx="73">
                  <c:v>42517</c:v>
                </c:pt>
                <c:pt idx="74">
                  <c:v>42524</c:v>
                </c:pt>
                <c:pt idx="75">
                  <c:v>42531</c:v>
                </c:pt>
                <c:pt idx="76">
                  <c:v>42538</c:v>
                </c:pt>
                <c:pt idx="77">
                  <c:v>42545</c:v>
                </c:pt>
                <c:pt idx="78">
                  <c:v>42552</c:v>
                </c:pt>
                <c:pt idx="79">
                  <c:v>42559</c:v>
                </c:pt>
                <c:pt idx="80">
                  <c:v>42566</c:v>
                </c:pt>
                <c:pt idx="81">
                  <c:v>42573</c:v>
                </c:pt>
                <c:pt idx="82">
                  <c:v>42580</c:v>
                </c:pt>
                <c:pt idx="83">
                  <c:v>42587</c:v>
                </c:pt>
                <c:pt idx="84">
                  <c:v>42594</c:v>
                </c:pt>
                <c:pt idx="85">
                  <c:v>42601</c:v>
                </c:pt>
                <c:pt idx="86">
                  <c:v>42608</c:v>
                </c:pt>
                <c:pt idx="87">
                  <c:v>42615</c:v>
                </c:pt>
                <c:pt idx="88">
                  <c:v>42622</c:v>
                </c:pt>
                <c:pt idx="89">
                  <c:v>42629</c:v>
                </c:pt>
                <c:pt idx="90">
                  <c:v>42636</c:v>
                </c:pt>
                <c:pt idx="91">
                  <c:v>42643</c:v>
                </c:pt>
                <c:pt idx="92">
                  <c:v>42650</c:v>
                </c:pt>
                <c:pt idx="93">
                  <c:v>42657</c:v>
                </c:pt>
                <c:pt idx="94">
                  <c:v>42664</c:v>
                </c:pt>
                <c:pt idx="95">
                  <c:v>42671</c:v>
                </c:pt>
                <c:pt idx="96">
                  <c:v>42678</c:v>
                </c:pt>
                <c:pt idx="97">
                  <c:v>42685</c:v>
                </c:pt>
                <c:pt idx="98">
                  <c:v>42692</c:v>
                </c:pt>
                <c:pt idx="99">
                  <c:v>42699</c:v>
                </c:pt>
                <c:pt idx="100">
                  <c:v>42706</c:v>
                </c:pt>
                <c:pt idx="101">
                  <c:v>42713</c:v>
                </c:pt>
                <c:pt idx="102">
                  <c:v>42720</c:v>
                </c:pt>
                <c:pt idx="103">
                  <c:v>42727</c:v>
                </c:pt>
                <c:pt idx="104">
                  <c:v>42734</c:v>
                </c:pt>
                <c:pt idx="105">
                  <c:v>42741</c:v>
                </c:pt>
                <c:pt idx="106">
                  <c:v>42748</c:v>
                </c:pt>
                <c:pt idx="107">
                  <c:v>42755</c:v>
                </c:pt>
                <c:pt idx="108">
                  <c:v>42762</c:v>
                </c:pt>
                <c:pt idx="109">
                  <c:v>42769</c:v>
                </c:pt>
                <c:pt idx="110">
                  <c:v>42776</c:v>
                </c:pt>
                <c:pt idx="111">
                  <c:v>42783</c:v>
                </c:pt>
                <c:pt idx="112">
                  <c:v>42790</c:v>
                </c:pt>
                <c:pt idx="113">
                  <c:v>42797</c:v>
                </c:pt>
                <c:pt idx="114">
                  <c:v>42804</c:v>
                </c:pt>
                <c:pt idx="115">
                  <c:v>42811</c:v>
                </c:pt>
                <c:pt idx="116">
                  <c:v>42818</c:v>
                </c:pt>
                <c:pt idx="117">
                  <c:v>42825</c:v>
                </c:pt>
                <c:pt idx="118">
                  <c:v>42832</c:v>
                </c:pt>
                <c:pt idx="119">
                  <c:v>42839</c:v>
                </c:pt>
                <c:pt idx="120">
                  <c:v>42846</c:v>
                </c:pt>
                <c:pt idx="121">
                  <c:v>42853</c:v>
                </c:pt>
                <c:pt idx="122">
                  <c:v>42860</c:v>
                </c:pt>
                <c:pt idx="123">
                  <c:v>42867</c:v>
                </c:pt>
                <c:pt idx="124">
                  <c:v>42874</c:v>
                </c:pt>
                <c:pt idx="125">
                  <c:v>42881</c:v>
                </c:pt>
                <c:pt idx="126">
                  <c:v>42888</c:v>
                </c:pt>
                <c:pt idx="127">
                  <c:v>42895</c:v>
                </c:pt>
                <c:pt idx="128">
                  <c:v>42902</c:v>
                </c:pt>
                <c:pt idx="129">
                  <c:v>42909</c:v>
                </c:pt>
                <c:pt idx="130">
                  <c:v>42916</c:v>
                </c:pt>
                <c:pt idx="131">
                  <c:v>42923</c:v>
                </c:pt>
                <c:pt idx="132">
                  <c:v>42930</c:v>
                </c:pt>
                <c:pt idx="133">
                  <c:v>42937</c:v>
                </c:pt>
                <c:pt idx="134">
                  <c:v>42944</c:v>
                </c:pt>
                <c:pt idx="135">
                  <c:v>42951</c:v>
                </c:pt>
                <c:pt idx="136">
                  <c:v>42958</c:v>
                </c:pt>
                <c:pt idx="137">
                  <c:v>42965</c:v>
                </c:pt>
                <c:pt idx="138">
                  <c:v>42969</c:v>
                </c:pt>
              </c:numCache>
            </c:numRef>
          </c:cat>
          <c:val>
            <c:numRef>
              <c:f>'Graf 3 + 4'!$J$8:$ER$8</c:f>
              <c:numCache>
                <c:formatCode>0.0</c:formatCode>
                <c:ptCount val="139"/>
                <c:pt idx="0">
                  <c:v>144.63</c:v>
                </c:pt>
                <c:pt idx="1">
                  <c:v>140.32</c:v>
                </c:pt>
                <c:pt idx="2">
                  <c:v>135.94999999999999</c:v>
                </c:pt>
                <c:pt idx="3">
                  <c:v>131.94999999999999</c:v>
                </c:pt>
                <c:pt idx="4">
                  <c:v>132.65</c:v>
                </c:pt>
                <c:pt idx="5">
                  <c:v>134.79</c:v>
                </c:pt>
                <c:pt idx="6">
                  <c:v>135.37</c:v>
                </c:pt>
                <c:pt idx="7">
                  <c:v>135.51</c:v>
                </c:pt>
                <c:pt idx="8">
                  <c:v>133.94</c:v>
                </c:pt>
                <c:pt idx="9">
                  <c:v>131</c:v>
                </c:pt>
                <c:pt idx="10">
                  <c:v>127.42</c:v>
                </c:pt>
                <c:pt idx="11">
                  <c:v>129.9</c:v>
                </c:pt>
                <c:pt idx="12">
                  <c:v>129.72999999999999</c:v>
                </c:pt>
                <c:pt idx="13">
                  <c:v>130.54</c:v>
                </c:pt>
                <c:pt idx="14">
                  <c:v>127.49</c:v>
                </c:pt>
                <c:pt idx="15">
                  <c:v>128.49</c:v>
                </c:pt>
                <c:pt idx="16">
                  <c:v>129.38</c:v>
                </c:pt>
                <c:pt idx="17">
                  <c:v>134.59</c:v>
                </c:pt>
                <c:pt idx="18">
                  <c:v>134.18</c:v>
                </c:pt>
                <c:pt idx="19">
                  <c:v>136.54</c:v>
                </c:pt>
                <c:pt idx="20">
                  <c:v>133.84</c:v>
                </c:pt>
                <c:pt idx="21">
                  <c:v>136.35</c:v>
                </c:pt>
                <c:pt idx="22">
                  <c:v>139.61000000000001</c:v>
                </c:pt>
                <c:pt idx="23">
                  <c:v>139.02000000000001</c:v>
                </c:pt>
                <c:pt idx="24">
                  <c:v>139.28</c:v>
                </c:pt>
                <c:pt idx="25">
                  <c:v>138.31</c:v>
                </c:pt>
                <c:pt idx="26">
                  <c:v>136.43</c:v>
                </c:pt>
                <c:pt idx="27">
                  <c:v>136.91999999999999</c:v>
                </c:pt>
                <c:pt idx="28">
                  <c:v>134.38</c:v>
                </c:pt>
                <c:pt idx="29">
                  <c:v>135.97999999999999</c:v>
                </c:pt>
                <c:pt idx="30">
                  <c:v>136.08000000000001</c:v>
                </c:pt>
                <c:pt idx="31">
                  <c:v>136.24</c:v>
                </c:pt>
                <c:pt idx="32">
                  <c:v>138.1</c:v>
                </c:pt>
                <c:pt idx="33">
                  <c:v>138.93</c:v>
                </c:pt>
                <c:pt idx="34">
                  <c:v>136.12</c:v>
                </c:pt>
                <c:pt idx="35">
                  <c:v>132.68</c:v>
                </c:pt>
                <c:pt idx="36">
                  <c:v>136.72</c:v>
                </c:pt>
                <c:pt idx="37">
                  <c:v>135.51</c:v>
                </c:pt>
                <c:pt idx="38">
                  <c:v>135.03</c:v>
                </c:pt>
                <c:pt idx="39">
                  <c:v>134.46</c:v>
                </c:pt>
                <c:pt idx="40">
                  <c:v>136.61000000000001</c:v>
                </c:pt>
                <c:pt idx="41">
                  <c:v>135.58000000000001</c:v>
                </c:pt>
                <c:pt idx="42">
                  <c:v>133.84</c:v>
                </c:pt>
                <c:pt idx="43">
                  <c:v>132.75</c:v>
                </c:pt>
                <c:pt idx="44">
                  <c:v>132.25</c:v>
                </c:pt>
                <c:pt idx="45">
                  <c:v>132.09</c:v>
                </c:pt>
                <c:pt idx="46">
                  <c:v>130.77000000000001</c:v>
                </c:pt>
                <c:pt idx="47">
                  <c:v>130.09</c:v>
                </c:pt>
                <c:pt idx="48">
                  <c:v>133.96</c:v>
                </c:pt>
                <c:pt idx="49">
                  <c:v>132.93</c:v>
                </c:pt>
                <c:pt idx="50">
                  <c:v>131.66999999999999</c:v>
                </c:pt>
                <c:pt idx="51">
                  <c:v>131.96</c:v>
                </c:pt>
                <c:pt idx="52">
                  <c:v>131.1</c:v>
                </c:pt>
                <c:pt idx="53">
                  <c:v>128.12</c:v>
                </c:pt>
                <c:pt idx="54">
                  <c:v>127.71</c:v>
                </c:pt>
                <c:pt idx="55">
                  <c:v>128.26</c:v>
                </c:pt>
                <c:pt idx="56">
                  <c:v>131.21</c:v>
                </c:pt>
                <c:pt idx="57">
                  <c:v>130.41</c:v>
                </c:pt>
                <c:pt idx="58">
                  <c:v>127.46</c:v>
                </c:pt>
                <c:pt idx="59">
                  <c:v>125.31</c:v>
                </c:pt>
                <c:pt idx="60">
                  <c:v>124.63</c:v>
                </c:pt>
                <c:pt idx="61">
                  <c:v>125.18</c:v>
                </c:pt>
                <c:pt idx="62">
                  <c:v>127</c:v>
                </c:pt>
                <c:pt idx="63">
                  <c:v>125.72</c:v>
                </c:pt>
                <c:pt idx="64">
                  <c:v>126.28</c:v>
                </c:pt>
                <c:pt idx="65">
                  <c:v>127.21</c:v>
                </c:pt>
                <c:pt idx="66">
                  <c:v>123.19</c:v>
                </c:pt>
                <c:pt idx="67">
                  <c:v>122.72</c:v>
                </c:pt>
                <c:pt idx="68">
                  <c:v>125.5</c:v>
                </c:pt>
                <c:pt idx="69">
                  <c:v>121.94</c:v>
                </c:pt>
                <c:pt idx="70">
                  <c:v>122.17</c:v>
                </c:pt>
                <c:pt idx="71">
                  <c:v>122.85</c:v>
                </c:pt>
                <c:pt idx="72">
                  <c:v>123.63</c:v>
                </c:pt>
                <c:pt idx="73">
                  <c:v>122.61</c:v>
                </c:pt>
                <c:pt idx="74">
                  <c:v>121.09</c:v>
                </c:pt>
                <c:pt idx="75">
                  <c:v>120.38</c:v>
                </c:pt>
                <c:pt idx="76">
                  <c:v>117.47</c:v>
                </c:pt>
                <c:pt idx="77">
                  <c:v>113.65</c:v>
                </c:pt>
                <c:pt idx="78">
                  <c:v>114.16</c:v>
                </c:pt>
                <c:pt idx="79">
                  <c:v>111.11</c:v>
                </c:pt>
                <c:pt idx="80">
                  <c:v>115.69</c:v>
                </c:pt>
                <c:pt idx="81">
                  <c:v>116.51</c:v>
                </c:pt>
                <c:pt idx="82">
                  <c:v>114.06</c:v>
                </c:pt>
                <c:pt idx="83">
                  <c:v>112.87</c:v>
                </c:pt>
                <c:pt idx="84">
                  <c:v>113.06</c:v>
                </c:pt>
                <c:pt idx="85">
                  <c:v>113.52</c:v>
                </c:pt>
                <c:pt idx="86">
                  <c:v>114</c:v>
                </c:pt>
                <c:pt idx="87">
                  <c:v>115.96</c:v>
                </c:pt>
                <c:pt idx="88">
                  <c:v>115.35</c:v>
                </c:pt>
                <c:pt idx="89">
                  <c:v>114.1</c:v>
                </c:pt>
                <c:pt idx="90">
                  <c:v>113.37</c:v>
                </c:pt>
                <c:pt idx="91">
                  <c:v>113.92</c:v>
                </c:pt>
                <c:pt idx="92">
                  <c:v>115.39</c:v>
                </c:pt>
                <c:pt idx="93">
                  <c:v>114.31</c:v>
                </c:pt>
                <c:pt idx="94">
                  <c:v>112.95</c:v>
                </c:pt>
                <c:pt idx="95">
                  <c:v>115.06</c:v>
                </c:pt>
                <c:pt idx="96">
                  <c:v>114.87</c:v>
                </c:pt>
                <c:pt idx="97">
                  <c:v>115.76</c:v>
                </c:pt>
                <c:pt idx="98">
                  <c:v>117.43</c:v>
                </c:pt>
                <c:pt idx="99">
                  <c:v>119.82</c:v>
                </c:pt>
                <c:pt idx="100">
                  <c:v>121.08</c:v>
                </c:pt>
                <c:pt idx="101">
                  <c:v>121.76</c:v>
                </c:pt>
                <c:pt idx="102">
                  <c:v>123.22</c:v>
                </c:pt>
                <c:pt idx="103">
                  <c:v>122.66</c:v>
                </c:pt>
                <c:pt idx="104">
                  <c:v>122.97</c:v>
                </c:pt>
                <c:pt idx="105">
                  <c:v>123.25</c:v>
                </c:pt>
                <c:pt idx="106">
                  <c:v>121.87</c:v>
                </c:pt>
                <c:pt idx="107">
                  <c:v>122.69</c:v>
                </c:pt>
                <c:pt idx="108">
                  <c:v>123.13</c:v>
                </c:pt>
                <c:pt idx="109">
                  <c:v>121.44</c:v>
                </c:pt>
                <c:pt idx="110">
                  <c:v>120.48</c:v>
                </c:pt>
                <c:pt idx="111">
                  <c:v>119.81</c:v>
                </c:pt>
                <c:pt idx="112">
                  <c:v>118.44</c:v>
                </c:pt>
                <c:pt idx="113">
                  <c:v>121.13</c:v>
                </c:pt>
                <c:pt idx="114">
                  <c:v>122.53</c:v>
                </c:pt>
                <c:pt idx="115">
                  <c:v>121.03</c:v>
                </c:pt>
                <c:pt idx="116">
                  <c:v>120.22</c:v>
                </c:pt>
                <c:pt idx="117">
                  <c:v>118.67</c:v>
                </c:pt>
                <c:pt idx="118">
                  <c:v>117.65</c:v>
                </c:pt>
                <c:pt idx="119">
                  <c:v>115.36</c:v>
                </c:pt>
                <c:pt idx="120">
                  <c:v>116.94</c:v>
                </c:pt>
                <c:pt idx="121">
                  <c:v>121.53</c:v>
                </c:pt>
                <c:pt idx="122">
                  <c:v>123.93</c:v>
                </c:pt>
                <c:pt idx="123">
                  <c:v>123.89</c:v>
                </c:pt>
                <c:pt idx="124">
                  <c:v>124.69</c:v>
                </c:pt>
                <c:pt idx="125">
                  <c:v>124.5</c:v>
                </c:pt>
                <c:pt idx="126">
                  <c:v>124.58</c:v>
                </c:pt>
                <c:pt idx="127">
                  <c:v>123.51</c:v>
                </c:pt>
                <c:pt idx="128">
                  <c:v>124.15</c:v>
                </c:pt>
                <c:pt idx="129">
                  <c:v>124.5</c:v>
                </c:pt>
                <c:pt idx="130">
                  <c:v>128.4</c:v>
                </c:pt>
                <c:pt idx="131">
                  <c:v>129.91999999999999</c:v>
                </c:pt>
                <c:pt idx="132">
                  <c:v>129.07</c:v>
                </c:pt>
                <c:pt idx="133">
                  <c:v>129.61000000000001</c:v>
                </c:pt>
                <c:pt idx="134">
                  <c:v>130.03</c:v>
                </c:pt>
                <c:pt idx="135">
                  <c:v>130.31</c:v>
                </c:pt>
                <c:pt idx="136">
                  <c:v>129.07</c:v>
                </c:pt>
                <c:pt idx="137">
                  <c:v>128.4</c:v>
                </c:pt>
                <c:pt idx="138">
                  <c:v>128.55000000000001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06816"/>
        <c:axId val="297106424"/>
      </c:lineChart>
      <c:dateAx>
        <c:axId val="297105248"/>
        <c:scaling>
          <c:orientation val="minMax"/>
          <c:max val="42969"/>
        </c:scaling>
        <c:delete val="0"/>
        <c:axPos val="b"/>
        <c:numFmt formatCode="yyyy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297106032"/>
        <c:crosses val="autoZero"/>
        <c:auto val="1"/>
        <c:lblOffset val="100"/>
        <c:baseTimeUnit val="days"/>
        <c:majorUnit val="1"/>
        <c:majorTimeUnit val="years"/>
      </c:dateAx>
      <c:valAx>
        <c:axId val="297106032"/>
        <c:scaling>
          <c:orientation val="minMax"/>
          <c:max val="1.2"/>
          <c:min val="0.70000000000000007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/>
            </a:pPr>
            <a:endParaRPr lang="en-US"/>
          </a:p>
        </c:txPr>
        <c:crossAx val="297105248"/>
        <c:crosses val="autoZero"/>
        <c:crossBetween val="between"/>
        <c:majorUnit val="0.1"/>
      </c:valAx>
      <c:valAx>
        <c:axId val="297106424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297106816"/>
        <c:crosses val="max"/>
        <c:crossBetween val="between"/>
      </c:valAx>
      <c:dateAx>
        <c:axId val="297106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97106424"/>
        <c:crosses val="autoZero"/>
        <c:auto val="1"/>
        <c:lblOffset val="100"/>
        <c:baseTimeUnit val="days"/>
      </c:dateAx>
    </c:plotArea>
    <c:legend>
      <c:legendPos val="t"/>
      <c:layout>
        <c:manualLayout>
          <c:xMode val="edge"/>
          <c:yMode val="edge"/>
          <c:x val="7.8018886796159953E-2"/>
          <c:y val="1.0336190749627442E-2"/>
          <c:w val="0.83017946078295002"/>
          <c:h val="0.156096193104067"/>
        </c:manualLayout>
      </c:layout>
      <c:overlay val="1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NeueHaasGroteskText W02"/>
          <a:cs typeface="NeueHaasGroteskText W02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26066803473608E-2"/>
          <c:y val="6.3654158799128072E-2"/>
          <c:w val="0.90429106279585114"/>
          <c:h val="0.76047673638703184"/>
        </c:manualLayout>
      </c:layout>
      <c:lineChart>
        <c:grouping val="standard"/>
        <c:varyColors val="0"/>
        <c:ser>
          <c:idx val="0"/>
          <c:order val="0"/>
          <c:tx>
            <c:strRef>
              <c:f>'Graf 29 + 30'!$B$20</c:f>
              <c:strCache>
                <c:ptCount val="1"/>
                <c:pt idx="0">
                  <c:v>EDS (čistý PP, ľavá os)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'Graf 29 + 30'!$C$18:$O$18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2016E</c:v>
                </c:pt>
              </c:strCache>
            </c:strRef>
          </c:cat>
          <c:val>
            <c:numRef>
              <c:f>'Graf 29 + 30'!$C$20:$O$20</c:f>
              <c:numCache>
                <c:formatCode>0.0</c:formatCode>
                <c:ptCount val="13"/>
                <c:pt idx="0">
                  <c:v>18.713599522657866</c:v>
                </c:pt>
                <c:pt idx="1">
                  <c:v>21.490793825832643</c:v>
                </c:pt>
                <c:pt idx="2">
                  <c:v>18.843062587856547</c:v>
                </c:pt>
                <c:pt idx="3">
                  <c:v>18.140236451408249</c:v>
                </c:pt>
                <c:pt idx="4">
                  <c:v>18.883600568541983</c:v>
                </c:pt>
                <c:pt idx="5">
                  <c:v>21.690015655841016</c:v>
                </c:pt>
                <c:pt idx="6">
                  <c:v>18.026393351779486</c:v>
                </c:pt>
                <c:pt idx="7">
                  <c:v>17.54052004162666</c:v>
                </c:pt>
                <c:pt idx="8">
                  <c:v>16.954688835285907</c:v>
                </c:pt>
                <c:pt idx="9">
                  <c:v>21.267097921603295</c:v>
                </c:pt>
                <c:pt idx="10">
                  <c:v>26.00342944100068</c:v>
                </c:pt>
                <c:pt idx="11">
                  <c:v>29.502820498236797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537856"/>
        <c:axId val="303538248"/>
      </c:lineChart>
      <c:lineChart>
        <c:grouping val="standard"/>
        <c:varyColors val="0"/>
        <c:ser>
          <c:idx val="1"/>
          <c:order val="1"/>
          <c:tx>
            <c:strRef>
              <c:f>'Graf 29 + 30'!$B$19</c:f>
              <c:strCache>
                <c:ptCount val="1"/>
                <c:pt idx="0">
                  <c:v>EDS (hrubý PP, pravá 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'Graf 29 + 30'!$C$18:$O$18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2016E</c:v>
                </c:pt>
              </c:strCache>
            </c:strRef>
          </c:cat>
          <c:val>
            <c:numRef>
              <c:f>'Graf 29 + 30'!$C$19:$O$19</c:f>
              <c:numCache>
                <c:formatCode>0.00</c:formatCode>
                <c:ptCount val="13"/>
                <c:pt idx="0">
                  <c:v>6.2788331273707225</c:v>
                </c:pt>
                <c:pt idx="1">
                  <c:v>6.5176549021765462</c:v>
                </c:pt>
                <c:pt idx="2">
                  <c:v>6.462234958637274</c:v>
                </c:pt>
                <c:pt idx="3">
                  <c:v>5.9877084300792411</c:v>
                </c:pt>
                <c:pt idx="4">
                  <c:v>5.65398537877926</c:v>
                </c:pt>
                <c:pt idx="5">
                  <c:v>4.6188834643432664</c:v>
                </c:pt>
                <c:pt idx="6">
                  <c:v>4.5176774959907418</c:v>
                </c:pt>
                <c:pt idx="7">
                  <c:v>4.3743958225646189</c:v>
                </c:pt>
                <c:pt idx="8">
                  <c:v>4.2406643111693221</c:v>
                </c:pt>
                <c:pt idx="9">
                  <c:v>5.1179535255809299</c:v>
                </c:pt>
                <c:pt idx="10">
                  <c:v>5.8655090777339911</c:v>
                </c:pt>
                <c:pt idx="11">
                  <c:v>6.8745448561539106</c:v>
                </c:pt>
                <c:pt idx="12">
                  <c:v>6.5686945668340284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539032"/>
        <c:axId val="303538640"/>
      </c:lineChart>
      <c:catAx>
        <c:axId val="30353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8248"/>
        <c:crosses val="autoZero"/>
        <c:auto val="1"/>
        <c:lblAlgn val="ctr"/>
        <c:lblOffset val="100"/>
        <c:noMultiLvlLbl val="0"/>
      </c:catAx>
      <c:valAx>
        <c:axId val="30353824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7856"/>
        <c:crosses val="autoZero"/>
        <c:crossBetween val="between"/>
      </c:valAx>
      <c:valAx>
        <c:axId val="303538640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9032"/>
        <c:crosses val="max"/>
        <c:crossBetween val="between"/>
      </c:valAx>
      <c:catAx>
        <c:axId val="303539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538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6459074415438713E-2"/>
          <c:y val="0.59276511478708438"/>
          <c:w val="0.47299809986967789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9522786924362E-2"/>
          <c:y val="2.8195007538951256E-2"/>
          <c:w val="0.90825874038472465"/>
          <c:h val="0.82419255039928518"/>
        </c:manualLayout>
      </c:layout>
      <c:lineChart>
        <c:grouping val="standard"/>
        <c:varyColors val="0"/>
        <c:ser>
          <c:idx val="0"/>
          <c:order val="0"/>
          <c:tx>
            <c:strRef>
              <c:f>'Graf 29 + 30'!$Q$19</c:f>
              <c:strCache>
                <c:ptCount val="1"/>
                <c:pt idx="0">
                  <c:v>medzera DPH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29 + 30'!$R$18:$AB$18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'Graf 29 + 30'!$R$19:$AB$19</c:f>
              <c:numCache>
                <c:formatCode>0.0</c:formatCode>
                <c:ptCount val="11"/>
                <c:pt idx="0">
                  <c:v>23.505997745706981</c:v>
                </c:pt>
                <c:pt idx="1">
                  <c:v>21.512613425555564</c:v>
                </c:pt>
                <c:pt idx="2">
                  <c:v>26.620713930615381</c:v>
                </c:pt>
                <c:pt idx="3">
                  <c:v>31.445393334253612</c:v>
                </c:pt>
                <c:pt idx="4">
                  <c:v>31.279497216081154</c:v>
                </c:pt>
                <c:pt idx="5">
                  <c:v>34.884118077650236</c:v>
                </c:pt>
                <c:pt idx="6">
                  <c:v>35.562987066186544</c:v>
                </c:pt>
                <c:pt idx="7">
                  <c:v>38.219907893613644</c:v>
                </c:pt>
                <c:pt idx="8">
                  <c:v>40.957819263797788</c:v>
                </c:pt>
                <c:pt idx="9">
                  <c:v>37.013535189253865</c:v>
                </c:pt>
                <c:pt idx="10">
                  <c:v>31.801888102377362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29 + 30'!$Q$20</c:f>
              <c:strCache>
                <c:ptCount val="1"/>
                <c:pt idx="0">
                  <c:v>DPPO medzera základne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29 + 30'!$R$18:$AB$18</c:f>
              <c:numCache>
                <c:formatCode>General</c:formatCode>
                <c:ptCount val="1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</c:numCache>
            </c:numRef>
          </c:cat>
          <c:val>
            <c:numRef>
              <c:f>'Graf 29 + 30'!$R$20:$AB$20</c:f>
              <c:numCache>
                <c:formatCode>0.0</c:formatCode>
                <c:ptCount val="11"/>
                <c:pt idx="0">
                  <c:v>23.291131840693996</c:v>
                </c:pt>
                <c:pt idx="1">
                  <c:v>13.990904009010254</c:v>
                </c:pt>
                <c:pt idx="2">
                  <c:v>19.853339197268983</c:v>
                </c:pt>
                <c:pt idx="3">
                  <c:v>22.940986192220095</c:v>
                </c:pt>
                <c:pt idx="4">
                  <c:v>17.725267489712</c:v>
                </c:pt>
                <c:pt idx="5">
                  <c:v>29.965607849222707</c:v>
                </c:pt>
                <c:pt idx="6">
                  <c:v>37.536283014646109</c:v>
                </c:pt>
                <c:pt idx="7">
                  <c:v>35.626965006000034</c:v>
                </c:pt>
                <c:pt idx="8">
                  <c:v>37.28780906777483</c:v>
                </c:pt>
                <c:pt idx="9">
                  <c:v>34.468265516397025</c:v>
                </c:pt>
                <c:pt idx="10">
                  <c:v>27.97347405582984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39816"/>
        <c:axId val="303540208"/>
      </c:lineChart>
      <c:catAx>
        <c:axId val="303539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0208"/>
        <c:crosses val="autoZero"/>
        <c:auto val="1"/>
        <c:lblAlgn val="ctr"/>
        <c:lblOffset val="100"/>
        <c:noMultiLvlLbl val="0"/>
      </c:catAx>
      <c:valAx>
        <c:axId val="3035402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3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285327970367342"/>
          <c:y val="0.5446808510638298"/>
          <c:w val="0.45276385906307165"/>
          <c:h val="0.164365220304908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31 + 32'!$J$13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31 + 32'!$K$8:$Y$8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+ 32'!$K$13:$Y$13</c:f>
              <c:numCache>
                <c:formatCode>#\ ##0.0</c:formatCode>
                <c:ptCount val="15"/>
                <c:pt idx="0" formatCode="General">
                  <c:v>38.799999999999997</c:v>
                </c:pt>
                <c:pt idx="1">
                  <c:v>36.299999999999997</c:v>
                </c:pt>
                <c:pt idx="2">
                  <c:v>37</c:v>
                </c:pt>
                <c:pt idx="3">
                  <c:v>44.2</c:v>
                </c:pt>
                <c:pt idx="4">
                  <c:v>42.1</c:v>
                </c:pt>
                <c:pt idx="5">
                  <c:v>40.799999999999997</c:v>
                </c:pt>
                <c:pt idx="6">
                  <c:v>40.6</c:v>
                </c:pt>
                <c:pt idx="7">
                  <c:v>41.4</c:v>
                </c:pt>
                <c:pt idx="8">
                  <c:v>42</c:v>
                </c:pt>
                <c:pt idx="9">
                  <c:v>45.2</c:v>
                </c:pt>
                <c:pt idx="10" formatCode="General">
                  <c:v>41.5</c:v>
                </c:pt>
                <c:pt idx="11" formatCode="0.0">
                  <c:v>40.999790436284613</c:v>
                </c:pt>
                <c:pt idx="12" formatCode="0.0">
                  <c:v>39.303817783394166</c:v>
                </c:pt>
                <c:pt idx="13" formatCode="0.0">
                  <c:v>39.130123828704519</c:v>
                </c:pt>
                <c:pt idx="14" formatCode="0.0">
                  <c:v>38.470174161774402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31 + 32'!$J$14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31 + 32'!$K$8:$Y$8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+ 32'!$K$14:$Y$14</c:f>
              <c:numCache>
                <c:formatCode>0.0</c:formatCode>
                <c:ptCount val="15"/>
                <c:pt idx="0">
                  <c:v>45.666666666666664</c:v>
                </c:pt>
                <c:pt idx="1">
                  <c:v>44.4</c:v>
                </c:pt>
                <c:pt idx="2">
                  <c:v>44.366666666666674</c:v>
                </c:pt>
                <c:pt idx="3">
                  <c:v>46.366666666666667</c:v>
                </c:pt>
                <c:pt idx="4">
                  <c:v>46.1</c:v>
                </c:pt>
                <c:pt idx="5">
                  <c:v>45.533333333333331</c:v>
                </c:pt>
                <c:pt idx="6">
                  <c:v>45.29999999999999</c:v>
                </c:pt>
                <c:pt idx="7">
                  <c:v>44.833333333333336</c:v>
                </c:pt>
                <c:pt idx="8">
                  <c:v>44.5</c:v>
                </c:pt>
                <c:pt idx="9">
                  <c:v>44.566666666666663</c:v>
                </c:pt>
                <c:pt idx="10">
                  <c:v>42.9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31 + 32'!$J$15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31 + 32'!$K$8:$Y$8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+ 32'!$K$15:$Y$15</c:f>
              <c:numCache>
                <c:formatCode>0.0</c:formatCode>
                <c:ptCount val="15"/>
                <c:pt idx="0">
                  <c:v>46</c:v>
                </c:pt>
                <c:pt idx="1">
                  <c:v>45.3</c:v>
                </c:pt>
                <c:pt idx="2">
                  <c:v>46.6</c:v>
                </c:pt>
                <c:pt idx="3">
                  <c:v>50.7</c:v>
                </c:pt>
                <c:pt idx="4">
                  <c:v>50.5</c:v>
                </c:pt>
                <c:pt idx="5">
                  <c:v>49.1</c:v>
                </c:pt>
                <c:pt idx="6">
                  <c:v>49.7</c:v>
                </c:pt>
                <c:pt idx="7">
                  <c:v>49.7</c:v>
                </c:pt>
                <c:pt idx="8">
                  <c:v>49.3</c:v>
                </c:pt>
                <c:pt idx="9">
                  <c:v>48.5</c:v>
                </c:pt>
                <c:pt idx="10">
                  <c:v>47.8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'Graf 31 + 32'!$J$16</c:f>
              <c:strCache>
                <c:ptCount val="1"/>
                <c:pt idx="0">
                  <c:v>EA 28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'Graf 31 + 32'!$K$8:$Y$8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+ 32'!$K$16:$Y$16</c:f>
              <c:numCache>
                <c:formatCode>General</c:formatCode>
                <c:ptCount val="15"/>
                <c:pt idx="0">
                  <c:v>45.2</c:v>
                </c:pt>
                <c:pt idx="1">
                  <c:v>44.7</c:v>
                </c:pt>
                <c:pt idx="2">
                  <c:v>46.2</c:v>
                </c:pt>
                <c:pt idx="3">
                  <c:v>50.1</c:v>
                </c:pt>
                <c:pt idx="4">
                  <c:v>49.9</c:v>
                </c:pt>
                <c:pt idx="5">
                  <c:v>48.6</c:v>
                </c:pt>
                <c:pt idx="6" formatCode="0.0">
                  <c:v>49</c:v>
                </c:pt>
                <c:pt idx="7">
                  <c:v>48.7</c:v>
                </c:pt>
                <c:pt idx="8">
                  <c:v>48.1</c:v>
                </c:pt>
                <c:pt idx="9">
                  <c:v>47.2</c:v>
                </c:pt>
                <c:pt idx="10">
                  <c:v>46.6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40992"/>
        <c:axId val="303541384"/>
      </c:lineChart>
      <c:catAx>
        <c:axId val="303540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3541384"/>
        <c:crosses val="autoZero"/>
        <c:auto val="1"/>
        <c:lblAlgn val="ctr"/>
        <c:lblOffset val="100"/>
        <c:noMultiLvlLbl val="0"/>
      </c:catAx>
      <c:valAx>
        <c:axId val="303541384"/>
        <c:scaling>
          <c:orientation val="minMax"/>
          <c:min val="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354099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75634653310066846"/>
          <c:y val="8.6002437957796773E-2"/>
          <c:w val="0.17762879192114389"/>
          <c:h val="0.3068663212838197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313624234470691"/>
          <c:h val="0.82682123067949842"/>
        </c:manualLayout>
      </c:layout>
      <c:lineChart>
        <c:grouping val="standard"/>
        <c:varyColors val="0"/>
        <c:ser>
          <c:idx val="3"/>
          <c:order val="0"/>
          <c:tx>
            <c:strRef>
              <c:f>'Graf 31 + 32'!$J$26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31 + 32'!$K$20:$Y$20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+ 32'!$K$26:$Y$26</c:f>
              <c:numCache>
                <c:formatCode>#\ ##0.0</c:formatCode>
                <c:ptCount val="15"/>
                <c:pt idx="0">
                  <c:v>3.8</c:v>
                </c:pt>
                <c:pt idx="1">
                  <c:v>3.2</c:v>
                </c:pt>
                <c:pt idx="2">
                  <c:v>3.4</c:v>
                </c:pt>
                <c:pt idx="3">
                  <c:v>3.9</c:v>
                </c:pt>
                <c:pt idx="4">
                  <c:v>3.6</c:v>
                </c:pt>
                <c:pt idx="5">
                  <c:v>3.8</c:v>
                </c:pt>
                <c:pt idx="6">
                  <c:v>3.4</c:v>
                </c:pt>
                <c:pt idx="7">
                  <c:v>3.3</c:v>
                </c:pt>
                <c:pt idx="8">
                  <c:v>4</c:v>
                </c:pt>
                <c:pt idx="9">
                  <c:v>6.3</c:v>
                </c:pt>
                <c:pt idx="10" formatCode="0.0">
                  <c:v>3.2</c:v>
                </c:pt>
                <c:pt idx="11" formatCode="0.0">
                  <c:v>3.3222947034162784</c:v>
                </c:pt>
                <c:pt idx="12" formatCode="0.0">
                  <c:v>2.4171952919914239</c:v>
                </c:pt>
                <c:pt idx="13" formatCode="0.0">
                  <c:v>2.6936201894190148</c:v>
                </c:pt>
                <c:pt idx="14" formatCode="0.0">
                  <c:v>2.6359991570514754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31 + 32'!$J$27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>
                  <a:lumMod val="65000"/>
                  <a:lumOff val="35000"/>
                </a:sysClr>
              </a:solidFill>
              <a:prstDash val="solid"/>
            </a:ln>
          </c:spPr>
          <c:marker>
            <c:symbol val="none"/>
          </c:marker>
          <c:cat>
            <c:strRef>
              <c:f>'Graf 31 + 32'!$K$20:$Y$20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+ 32'!$K$27:$Y$27</c:f>
              <c:numCache>
                <c:formatCode>#\ ##0.0</c:formatCode>
                <c:ptCount val="15"/>
                <c:pt idx="0">
                  <c:v>4.7</c:v>
                </c:pt>
                <c:pt idx="1">
                  <c:v>4.4666666666666659</c:v>
                </c:pt>
                <c:pt idx="2">
                  <c:v>4.333333333333333</c:v>
                </c:pt>
                <c:pt idx="3">
                  <c:v>4.6333333333333337</c:v>
                </c:pt>
                <c:pt idx="4">
                  <c:v>4.666666666666667</c:v>
                </c:pt>
                <c:pt idx="5">
                  <c:v>4.5666666666666664</c:v>
                </c:pt>
                <c:pt idx="6">
                  <c:v>4.2</c:v>
                </c:pt>
                <c:pt idx="7">
                  <c:v>4.0666666666666673</c:v>
                </c:pt>
                <c:pt idx="8">
                  <c:v>4.666666666666667</c:v>
                </c:pt>
                <c:pt idx="9">
                  <c:v>5.4000000000000012</c:v>
                </c:pt>
                <c:pt idx="10">
                  <c:v>3.2666666666666671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31 + 32'!$J$28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'Graf 31 + 32'!$K$20:$Y$20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'Graf 31 + 32'!$K$28:$Y$28</c:f>
              <c:numCache>
                <c:formatCode>#\ ##0.0</c:formatCode>
                <c:ptCount val="15"/>
                <c:pt idx="0">
                  <c:v>3.2</c:v>
                </c:pt>
                <c:pt idx="1">
                  <c:v>3.2</c:v>
                </c:pt>
                <c:pt idx="2">
                  <c:v>3.3</c:v>
                </c:pt>
                <c:pt idx="3">
                  <c:v>3.6</c:v>
                </c:pt>
                <c:pt idx="4">
                  <c:v>3.4</c:v>
                </c:pt>
                <c:pt idx="5">
                  <c:v>3.1</c:v>
                </c:pt>
                <c:pt idx="6">
                  <c:v>2.9</c:v>
                </c:pt>
                <c:pt idx="7">
                  <c:v>2.8</c:v>
                </c:pt>
                <c:pt idx="8">
                  <c:v>2.7</c:v>
                </c:pt>
                <c:pt idx="9">
                  <c:v>2.7</c:v>
                </c:pt>
                <c:pt idx="10">
                  <c:v>2.6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'Graf 31 + 32'!$J$21</c:f>
              <c:strCache>
                <c:ptCount val="1"/>
                <c:pt idx="0">
                  <c:v>EU28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val>
            <c:numRef>
              <c:f>'Graf 31 + 32'!$K$21:$Y$21</c:f>
              <c:numCache>
                <c:formatCode>#\ ##0.0</c:formatCode>
                <c:ptCount val="15"/>
                <c:pt idx="0">
                  <c:v>3.2</c:v>
                </c:pt>
                <c:pt idx="1">
                  <c:v>3.2</c:v>
                </c:pt>
                <c:pt idx="2">
                  <c:v>3.4</c:v>
                </c:pt>
                <c:pt idx="3">
                  <c:v>3.7</c:v>
                </c:pt>
                <c:pt idx="4">
                  <c:v>3.5</c:v>
                </c:pt>
                <c:pt idx="5">
                  <c:v>3.3</c:v>
                </c:pt>
                <c:pt idx="6">
                  <c:v>3.1</c:v>
                </c:pt>
                <c:pt idx="7">
                  <c:v>3</c:v>
                </c:pt>
                <c:pt idx="8">
                  <c:v>2.9</c:v>
                </c:pt>
                <c:pt idx="9">
                  <c:v>2.9</c:v>
                </c:pt>
                <c:pt idx="10" formatCode="General">
                  <c:v>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542168"/>
        <c:axId val="303542560"/>
      </c:lineChart>
      <c:catAx>
        <c:axId val="303542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3542560"/>
        <c:crosses val="autoZero"/>
        <c:auto val="1"/>
        <c:lblAlgn val="ctr"/>
        <c:lblOffset val="100"/>
        <c:noMultiLvlLbl val="0"/>
      </c:catAx>
      <c:valAx>
        <c:axId val="303542560"/>
        <c:scaling>
          <c:orientation val="minMax"/>
          <c:max val="7"/>
          <c:min val="2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3542168"/>
        <c:crosses val="autoZero"/>
        <c:crossBetween val="midCat"/>
        <c:majorUnit val="1"/>
      </c:valAx>
    </c:plotArea>
    <c:legend>
      <c:legendPos val="l"/>
      <c:layout>
        <c:manualLayout>
          <c:xMode val="edge"/>
          <c:yMode val="edge"/>
          <c:x val="6.6666666666666666E-2"/>
          <c:y val="8.60023531541316E-2"/>
          <c:w val="0.18639686931025515"/>
          <c:h val="0.2900247576944603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33 + Tabuľka 10'!$S$39</c:f>
              <c:strCache>
                <c:ptCount val="1"/>
                <c:pt idx="0">
                  <c:v>p. b. HDP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0.4444444444444445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33 + Tabuľka 10'!$R$40:$R$49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33 + Tabuľka 10'!$T$40:$T$49</c:f>
              <c:numCache>
                <c:formatCode>_(* #,##0.00_);_(* \(#,##0.00\);_(* "-"??_);_(@_)</c:formatCode>
                <c:ptCount val="10"/>
                <c:pt idx="0">
                  <c:v>-0.16191502455921913</c:v>
                </c:pt>
                <c:pt idx="1">
                  <c:v>-0.16825186022822169</c:v>
                </c:pt>
                <c:pt idx="2">
                  <c:v>1.582117597353716E-2</c:v>
                </c:pt>
                <c:pt idx="3">
                  <c:v>-0.24743545403015865</c:v>
                </c:pt>
                <c:pt idx="4">
                  <c:v>-2.187896637024922E-2</c:v>
                </c:pt>
                <c:pt idx="5">
                  <c:v>4.3300953082368254E-2</c:v>
                </c:pt>
                <c:pt idx="6">
                  <c:v>-0.79054375551861078</c:v>
                </c:pt>
                <c:pt idx="7">
                  <c:v>-0.1188638230521688</c:v>
                </c:pt>
                <c:pt idx="8">
                  <c:v>4.4253282285848794E-2</c:v>
                </c:pt>
                <c:pt idx="9">
                  <c:v>-0.29637646237254334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303543344"/>
        <c:axId val="303543736"/>
      </c:barChart>
      <c:catAx>
        <c:axId val="303543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3736"/>
        <c:crossesAt val="0"/>
        <c:auto val="1"/>
        <c:lblAlgn val="ctr"/>
        <c:lblOffset val="100"/>
        <c:noMultiLvlLbl val="0"/>
      </c:catAx>
      <c:valAx>
        <c:axId val="303543736"/>
        <c:scaling>
          <c:orientation val="minMax"/>
          <c:min val="-0.9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33 + Tabuľka 10'!$S$39</c:f>
              <c:strCache>
                <c:ptCount val="1"/>
                <c:pt idx="0">
                  <c:v>p. b. HDP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33 + Tabuľka 10'!$R$40:$R$49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33 + Tabuľka 10'!$S$40:$S$49</c:f>
              <c:numCache>
                <c:formatCode>0.00</c:formatCode>
                <c:ptCount val="10"/>
                <c:pt idx="0">
                  <c:v>0.1496662464837204</c:v>
                </c:pt>
                <c:pt idx="1">
                  <c:v>9.6583233957037606E-2</c:v>
                </c:pt>
                <c:pt idx="2">
                  <c:v>4.3575871933645094E-2</c:v>
                </c:pt>
                <c:pt idx="3">
                  <c:v>0.21982617808880622</c:v>
                </c:pt>
                <c:pt idx="4">
                  <c:v>4.3305184976563715E-2</c:v>
                </c:pt>
                <c:pt idx="5">
                  <c:v>0.14384470384779968</c:v>
                </c:pt>
                <c:pt idx="6">
                  <c:v>-0.48798357146644733</c:v>
                </c:pt>
                <c:pt idx="7">
                  <c:v>2.4092321219355561E-2</c:v>
                </c:pt>
                <c:pt idx="8">
                  <c:v>-1.884643163190125E-2</c:v>
                </c:pt>
                <c:pt idx="9">
                  <c:v>-3.4361877040853805E-2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303544520"/>
        <c:axId val="303544912"/>
      </c:barChart>
      <c:catAx>
        <c:axId val="303544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4912"/>
        <c:crosses val="autoZero"/>
        <c:auto val="1"/>
        <c:lblAlgn val="ctr"/>
        <c:lblOffset val="100"/>
        <c:noMultiLvlLbl val="0"/>
      </c:catAx>
      <c:valAx>
        <c:axId val="303544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4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378976661678941E-2"/>
          <c:y val="8.8030898736010554E-2"/>
          <c:w val="0.8709661209567402"/>
          <c:h val="0.6104926410473523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34'!$G$5</c:f>
              <c:strCache>
                <c:ptCount val="1"/>
                <c:pt idx="0">
                  <c:v>Saldo verejnej správy - Fiškálne ciele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3898171959202247E-3"/>
                  <c:y val="4.24449143089936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34'!$H$3:$J$3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 34'!$H$5:$J$5</c:f>
              <c:numCache>
                <c:formatCode>0.00</c:formatCode>
                <c:ptCount val="3"/>
                <c:pt idx="0">
                  <c:v>-0.82999969585006994</c:v>
                </c:pt>
                <c:pt idx="1">
                  <c:v>-0.10000013751712089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DA8-40CA-AF5F-7AC757AFB0A8}"/>
            </c:ext>
          </c:extLst>
        </c:ser>
        <c:ser>
          <c:idx val="2"/>
          <c:order val="2"/>
          <c:tx>
            <c:strRef>
              <c:f>'Graf 34'!$G$6</c:f>
              <c:strCache>
                <c:ptCount val="1"/>
                <c:pt idx="0">
                  <c:v>Potrebné opatrenia na dosiahnutie fiškálnych cieľov</c:v>
                </c:pt>
              </c:strCache>
            </c:strRef>
          </c:tx>
          <c:spPr>
            <a:pattFill prst="dkDnDiag">
              <a:fgClr>
                <a:schemeClr val="accent1">
                  <a:lumMod val="40000"/>
                  <a:lumOff val="6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34'!$H$3:$J$3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 34'!$H$6:$J$6</c:f>
              <c:numCache>
                <c:formatCode>0.00</c:formatCode>
                <c:ptCount val="3"/>
                <c:pt idx="0">
                  <c:v>-1.7790781070559092E-9</c:v>
                </c:pt>
                <c:pt idx="1">
                  <c:v>-0.22484153617428831</c:v>
                </c:pt>
                <c:pt idx="2">
                  <c:v>-0.2703050705834002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3546088"/>
        <c:axId val="303546480"/>
      </c:barChart>
      <c:scatterChart>
        <c:scatterStyle val="lineMarker"/>
        <c:varyColors val="0"/>
        <c:ser>
          <c:idx val="0"/>
          <c:order val="0"/>
          <c:tx>
            <c:strRef>
              <c:f>'Graf 34'!$G$4</c:f>
              <c:strCache>
                <c:ptCount val="1"/>
                <c:pt idx="0">
                  <c:v>Saldo verejnej správy - RVS 18-20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7796343918404489E-2"/>
                  <c:y val="4.1711952905471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DA8-40CA-AF5F-7AC757AFB0A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59025248136413E-2"/>
                  <c:y val="5.5607186830391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DA8-40CA-AF5F-7AC757AFB0A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779634391840458E-2"/>
                  <c:y val="5.0902036249165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DA8-40CA-AF5F-7AC757AFB0A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'Graf 34'!$H$3:$J$3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xVal>
          <c:yVal>
            <c:numRef>
              <c:f>'Graf 34'!$H$4:$J$4</c:f>
              <c:numCache>
                <c:formatCode>0.00</c:formatCode>
                <c:ptCount val="3"/>
                <c:pt idx="0">
                  <c:v>-0.82999969762914805</c:v>
                </c:pt>
                <c:pt idx="1">
                  <c:v>-0.32484167369140921</c:v>
                </c:pt>
                <c:pt idx="2">
                  <c:v>-0.2703050705834002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DA8-40CA-AF5F-7AC757AF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547264"/>
        <c:axId val="303546872"/>
      </c:scatterChart>
      <c:catAx>
        <c:axId val="303546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6480"/>
        <c:crosses val="autoZero"/>
        <c:auto val="1"/>
        <c:lblAlgn val="ctr"/>
        <c:lblOffset val="100"/>
        <c:noMultiLvlLbl val="0"/>
      </c:catAx>
      <c:valAx>
        <c:axId val="3035464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6088"/>
        <c:crosses val="autoZero"/>
        <c:crossBetween val="between"/>
      </c:valAx>
      <c:valAx>
        <c:axId val="303546872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303547264"/>
        <c:crosses val="max"/>
        <c:crossBetween val="midCat"/>
      </c:valAx>
      <c:valAx>
        <c:axId val="303547264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3546872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786680030436729"/>
          <c:w val="1"/>
          <c:h val="0.21213319969563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89963450844872994"/>
          <c:h val="0.71673313563077357"/>
        </c:manualLayout>
      </c:layout>
      <c:lineChart>
        <c:grouping val="standard"/>
        <c:varyColors val="0"/>
        <c:ser>
          <c:idx val="3"/>
          <c:order val="0"/>
          <c:tx>
            <c:strRef>
              <c:f>'Graf 35 + 36'!$H$5</c:f>
              <c:strCache>
                <c:ptCount val="1"/>
                <c:pt idx="0">
                  <c:v>SK</c:v>
                </c:pt>
              </c:strCache>
            </c:strRef>
          </c:tx>
          <c:spPr>
            <a:ln w="22225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35 + 36'!$M$4:$AT$4</c:f>
              <c:strCache>
                <c:ptCount val="3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</c:strCache>
            </c:strRef>
          </c:cat>
          <c:val>
            <c:numRef>
              <c:f>'Graf 35 + 36'!$M$5:$AT$5</c:f>
              <c:numCache>
                <c:formatCode>General</c:formatCode>
                <c:ptCount val="34"/>
                <c:pt idx="0">
                  <c:v>10.199999999999999</c:v>
                </c:pt>
                <c:pt idx="1">
                  <c:v>11.4</c:v>
                </c:pt>
                <c:pt idx="2">
                  <c:v>12.8</c:v>
                </c:pt>
                <c:pt idx="3">
                  <c:v>14.1</c:v>
                </c:pt>
                <c:pt idx="4">
                  <c:v>14.9</c:v>
                </c:pt>
                <c:pt idx="5">
                  <c:v>14.6</c:v>
                </c:pt>
                <c:pt idx="6">
                  <c:v>14.4</c:v>
                </c:pt>
                <c:pt idx="7">
                  <c:v>14</c:v>
                </c:pt>
                <c:pt idx="8">
                  <c:v>13.7</c:v>
                </c:pt>
                <c:pt idx="9">
                  <c:v>13.5</c:v>
                </c:pt>
                <c:pt idx="10">
                  <c:v>13.6</c:v>
                </c:pt>
                <c:pt idx="11">
                  <c:v>14</c:v>
                </c:pt>
                <c:pt idx="12">
                  <c:v>13.8</c:v>
                </c:pt>
                <c:pt idx="13">
                  <c:v>13.8</c:v>
                </c:pt>
                <c:pt idx="14">
                  <c:v>14</c:v>
                </c:pt>
                <c:pt idx="15">
                  <c:v>14.3</c:v>
                </c:pt>
                <c:pt idx="16">
                  <c:v>14.2</c:v>
                </c:pt>
                <c:pt idx="17">
                  <c:v>14.3</c:v>
                </c:pt>
                <c:pt idx="18">
                  <c:v>14.3</c:v>
                </c:pt>
                <c:pt idx="19">
                  <c:v>14.2</c:v>
                </c:pt>
                <c:pt idx="20">
                  <c:v>13.8</c:v>
                </c:pt>
                <c:pt idx="21">
                  <c:v>13.4</c:v>
                </c:pt>
                <c:pt idx="22">
                  <c:v>13</c:v>
                </c:pt>
                <c:pt idx="23">
                  <c:v>12.6</c:v>
                </c:pt>
                <c:pt idx="24">
                  <c:v>12.1</c:v>
                </c:pt>
                <c:pt idx="25">
                  <c:v>11.5</c:v>
                </c:pt>
                <c:pt idx="26">
                  <c:v>11.4</c:v>
                </c:pt>
                <c:pt idx="27">
                  <c:v>10.9</c:v>
                </c:pt>
                <c:pt idx="28">
                  <c:v>10.199999999999999</c:v>
                </c:pt>
                <c:pt idx="29">
                  <c:v>9.9</c:v>
                </c:pt>
                <c:pt idx="30">
                  <c:v>9.6</c:v>
                </c:pt>
                <c:pt idx="31">
                  <c:v>9</c:v>
                </c:pt>
                <c:pt idx="32">
                  <c:v>8.5</c:v>
                </c:pt>
                <c:pt idx="33">
                  <c:v>7.9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35 + 36'!$H$6</c:f>
              <c:strCache>
                <c:ptCount val="1"/>
                <c:pt idx="0">
                  <c:v>CZ</c:v>
                </c:pt>
              </c:strCache>
            </c:strRef>
          </c:tx>
          <c:spPr>
            <a:ln w="22225">
              <a:solidFill>
                <a:srgbClr val="333F50"/>
              </a:solidFill>
              <a:prstDash val="dash"/>
            </a:ln>
          </c:spPr>
          <c:marker>
            <c:symbol val="none"/>
          </c:marker>
          <c:cat>
            <c:strRef>
              <c:f>'Graf 35 + 36'!$M$4:$AT$4</c:f>
              <c:strCache>
                <c:ptCount val="3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</c:strCache>
            </c:strRef>
          </c:cat>
          <c:val>
            <c:numRef>
              <c:f>'Graf 35 + 36'!$M$6:$AT$6</c:f>
              <c:numCache>
                <c:formatCode>General</c:formatCode>
                <c:ptCount val="34"/>
                <c:pt idx="0">
                  <c:v>5.6</c:v>
                </c:pt>
                <c:pt idx="1">
                  <c:v>6.5</c:v>
                </c:pt>
                <c:pt idx="2">
                  <c:v>7.2</c:v>
                </c:pt>
                <c:pt idx="3">
                  <c:v>7.4</c:v>
                </c:pt>
                <c:pt idx="4">
                  <c:v>7.8</c:v>
                </c:pt>
                <c:pt idx="5">
                  <c:v>7.3</c:v>
                </c:pt>
                <c:pt idx="6">
                  <c:v>7.1</c:v>
                </c:pt>
                <c:pt idx="7">
                  <c:v>7</c:v>
                </c:pt>
                <c:pt idx="8">
                  <c:v>6.9</c:v>
                </c:pt>
                <c:pt idx="9">
                  <c:v>6.8</c:v>
                </c:pt>
                <c:pt idx="10">
                  <c:v>6.6</c:v>
                </c:pt>
                <c:pt idx="11">
                  <c:v>6.5</c:v>
                </c:pt>
                <c:pt idx="12">
                  <c:v>6.9</c:v>
                </c:pt>
                <c:pt idx="13">
                  <c:v>6.9</c:v>
                </c:pt>
                <c:pt idx="14">
                  <c:v>7</c:v>
                </c:pt>
                <c:pt idx="15">
                  <c:v>7.2</c:v>
                </c:pt>
                <c:pt idx="16">
                  <c:v>7.2</c:v>
                </c:pt>
                <c:pt idx="17">
                  <c:v>7</c:v>
                </c:pt>
                <c:pt idx="18">
                  <c:v>6.9</c:v>
                </c:pt>
                <c:pt idx="19">
                  <c:v>6.8</c:v>
                </c:pt>
                <c:pt idx="20">
                  <c:v>6.6</c:v>
                </c:pt>
                <c:pt idx="21">
                  <c:v>6.2</c:v>
                </c:pt>
                <c:pt idx="22">
                  <c:v>5.9</c:v>
                </c:pt>
                <c:pt idx="23">
                  <c:v>5.8</c:v>
                </c:pt>
                <c:pt idx="24">
                  <c:v>5.8</c:v>
                </c:pt>
                <c:pt idx="25">
                  <c:v>5.0999999999999996</c:v>
                </c:pt>
                <c:pt idx="26">
                  <c:v>4.8</c:v>
                </c:pt>
                <c:pt idx="27">
                  <c:v>4.5</c:v>
                </c:pt>
                <c:pt idx="28">
                  <c:v>4.2</c:v>
                </c:pt>
                <c:pt idx="29">
                  <c:v>4</c:v>
                </c:pt>
                <c:pt idx="30">
                  <c:v>4</c:v>
                </c:pt>
                <c:pt idx="31">
                  <c:v>3.6</c:v>
                </c:pt>
                <c:pt idx="32">
                  <c:v>3.3</c:v>
                </c:pt>
                <c:pt idx="33">
                  <c:v>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35 + 36'!$H$7</c:f>
              <c:strCache>
                <c:ptCount val="1"/>
                <c:pt idx="0">
                  <c:v>HU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strRef>
              <c:f>'Graf 35 + 36'!$M$4:$AT$4</c:f>
              <c:strCache>
                <c:ptCount val="3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</c:strCache>
            </c:strRef>
          </c:cat>
          <c:val>
            <c:numRef>
              <c:f>'Graf 35 + 36'!$M$7:$AT$7</c:f>
              <c:numCache>
                <c:formatCode>General</c:formatCode>
                <c:ptCount val="34"/>
                <c:pt idx="0">
                  <c:v>9.1999999999999993</c:v>
                </c:pt>
                <c:pt idx="1">
                  <c:v>9.8000000000000007</c:v>
                </c:pt>
                <c:pt idx="2">
                  <c:v>10.4</c:v>
                </c:pt>
                <c:pt idx="3">
                  <c:v>10.7</c:v>
                </c:pt>
                <c:pt idx="4">
                  <c:v>11.2</c:v>
                </c:pt>
                <c:pt idx="5">
                  <c:v>11.3</c:v>
                </c:pt>
                <c:pt idx="6">
                  <c:v>11.1</c:v>
                </c:pt>
                <c:pt idx="7">
                  <c:v>11</c:v>
                </c:pt>
                <c:pt idx="8">
                  <c:v>11.2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11.4</c:v>
                </c:pt>
                <c:pt idx="13">
                  <c:v>11.1</c:v>
                </c:pt>
                <c:pt idx="14">
                  <c:v>10.7</c:v>
                </c:pt>
                <c:pt idx="15">
                  <c:v>10.9</c:v>
                </c:pt>
                <c:pt idx="16">
                  <c:v>10.9</c:v>
                </c:pt>
                <c:pt idx="17">
                  <c:v>10.3</c:v>
                </c:pt>
                <c:pt idx="18">
                  <c:v>10</c:v>
                </c:pt>
                <c:pt idx="19">
                  <c:v>9.1</c:v>
                </c:pt>
                <c:pt idx="20">
                  <c:v>8</c:v>
                </c:pt>
                <c:pt idx="21">
                  <c:v>8.1</c:v>
                </c:pt>
                <c:pt idx="22">
                  <c:v>7.5</c:v>
                </c:pt>
                <c:pt idx="23">
                  <c:v>7.4</c:v>
                </c:pt>
                <c:pt idx="24">
                  <c:v>7.4</c:v>
                </c:pt>
                <c:pt idx="25">
                  <c:v>6.9</c:v>
                </c:pt>
                <c:pt idx="26">
                  <c:v>6.6</c:v>
                </c:pt>
                <c:pt idx="27">
                  <c:v>6.3</c:v>
                </c:pt>
                <c:pt idx="28">
                  <c:v>5.7</c:v>
                </c:pt>
                <c:pt idx="29">
                  <c:v>5.2</c:v>
                </c:pt>
                <c:pt idx="30">
                  <c:v>5</c:v>
                </c:pt>
                <c:pt idx="31">
                  <c:v>4.5</c:v>
                </c:pt>
                <c:pt idx="32">
                  <c:v>4.3</c:v>
                </c:pt>
                <c:pt idx="33">
                  <c:v>4.3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'Graf 35 + 36'!$H$8</c:f>
              <c:strCache>
                <c:ptCount val="1"/>
                <c:pt idx="0">
                  <c:v>PL</c:v>
                </c:pt>
              </c:strCache>
            </c:strRef>
          </c:tx>
          <c:spPr>
            <a:ln w="22225">
              <a:solidFill>
                <a:srgbClr val="AAD3F2"/>
              </a:solidFill>
            </a:ln>
          </c:spPr>
          <c:marker>
            <c:symbol val="none"/>
          </c:marker>
          <c:cat>
            <c:strRef>
              <c:f>'Graf 35 + 36'!$M$4:$AT$4</c:f>
              <c:strCache>
                <c:ptCount val="3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</c:strCache>
            </c:strRef>
          </c:cat>
          <c:val>
            <c:numRef>
              <c:f>'Graf 35 + 36'!$M$8:$AT$8</c:f>
              <c:numCache>
                <c:formatCode>General</c:formatCode>
                <c:ptCount val="34"/>
                <c:pt idx="0">
                  <c:v>7.6</c:v>
                </c:pt>
                <c:pt idx="1">
                  <c:v>7.9</c:v>
                </c:pt>
                <c:pt idx="2">
                  <c:v>8.3000000000000007</c:v>
                </c:pt>
                <c:pt idx="3">
                  <c:v>8.6999999999999993</c:v>
                </c:pt>
                <c:pt idx="4">
                  <c:v>9.6999999999999993</c:v>
                </c:pt>
                <c:pt idx="5">
                  <c:v>9.6999999999999993</c:v>
                </c:pt>
                <c:pt idx="6">
                  <c:v>9.6</c:v>
                </c:pt>
                <c:pt idx="7">
                  <c:v>9.5</c:v>
                </c:pt>
                <c:pt idx="8">
                  <c:v>9.4</c:v>
                </c:pt>
                <c:pt idx="9">
                  <c:v>9.6</c:v>
                </c:pt>
                <c:pt idx="10">
                  <c:v>9.6999999999999993</c:v>
                </c:pt>
                <c:pt idx="11">
                  <c:v>9.9</c:v>
                </c:pt>
                <c:pt idx="12">
                  <c:v>9.9</c:v>
                </c:pt>
                <c:pt idx="13">
                  <c:v>10</c:v>
                </c:pt>
                <c:pt idx="14">
                  <c:v>10.3</c:v>
                </c:pt>
                <c:pt idx="15">
                  <c:v>10.4</c:v>
                </c:pt>
                <c:pt idx="16">
                  <c:v>10.5</c:v>
                </c:pt>
                <c:pt idx="17">
                  <c:v>10.5</c:v>
                </c:pt>
                <c:pt idx="18">
                  <c:v>10.3</c:v>
                </c:pt>
                <c:pt idx="19">
                  <c:v>10.1</c:v>
                </c:pt>
                <c:pt idx="20">
                  <c:v>9.8000000000000007</c:v>
                </c:pt>
                <c:pt idx="21">
                  <c:v>9.1999999999999993</c:v>
                </c:pt>
                <c:pt idx="22">
                  <c:v>8.6</c:v>
                </c:pt>
                <c:pt idx="23">
                  <c:v>8.3000000000000007</c:v>
                </c:pt>
                <c:pt idx="24">
                  <c:v>8</c:v>
                </c:pt>
                <c:pt idx="25">
                  <c:v>7.6</c:v>
                </c:pt>
                <c:pt idx="26">
                  <c:v>7.3</c:v>
                </c:pt>
                <c:pt idx="27">
                  <c:v>7</c:v>
                </c:pt>
                <c:pt idx="28">
                  <c:v>6.7</c:v>
                </c:pt>
                <c:pt idx="29">
                  <c:v>6.3</c:v>
                </c:pt>
                <c:pt idx="30">
                  <c:v>6</c:v>
                </c:pt>
                <c:pt idx="31">
                  <c:v>5.6</c:v>
                </c:pt>
                <c:pt idx="32">
                  <c:v>5.2</c:v>
                </c:pt>
                <c:pt idx="33">
                  <c:v>5.0999999999999996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'Graf 35 + 36'!$H$9</c:f>
              <c:strCache>
                <c:ptCount val="1"/>
                <c:pt idx="0">
                  <c:v>EZ</c:v>
                </c:pt>
              </c:strCache>
            </c:strRef>
          </c:tx>
          <c:spPr>
            <a:ln w="22225"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strRef>
              <c:f>'Graf 35 + 36'!$M$4:$AT$4</c:f>
              <c:strCache>
                <c:ptCount val="3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</c:strCache>
            </c:strRef>
          </c:cat>
          <c:val>
            <c:numRef>
              <c:f>'Graf 35 + 36'!$M$9:$AT$9</c:f>
              <c:numCache>
                <c:formatCode>General</c:formatCode>
                <c:ptCount val="34"/>
                <c:pt idx="0">
                  <c:v>9</c:v>
                </c:pt>
                <c:pt idx="1">
                  <c:v>9.6</c:v>
                </c:pt>
                <c:pt idx="2">
                  <c:v>9.9</c:v>
                </c:pt>
                <c:pt idx="3">
                  <c:v>10.1</c:v>
                </c:pt>
                <c:pt idx="4">
                  <c:v>10.199999999999999</c:v>
                </c:pt>
                <c:pt idx="5">
                  <c:v>10.3</c:v>
                </c:pt>
                <c:pt idx="6">
                  <c:v>10.199999999999999</c:v>
                </c:pt>
                <c:pt idx="7">
                  <c:v>10.1</c:v>
                </c:pt>
                <c:pt idx="8">
                  <c:v>10</c:v>
                </c:pt>
                <c:pt idx="9">
                  <c:v>10</c:v>
                </c:pt>
                <c:pt idx="10">
                  <c:v>10.199999999999999</c:v>
                </c:pt>
                <c:pt idx="11">
                  <c:v>10.6</c:v>
                </c:pt>
                <c:pt idx="12">
                  <c:v>10.9</c:v>
                </c:pt>
                <c:pt idx="13">
                  <c:v>11.3</c:v>
                </c:pt>
                <c:pt idx="14">
                  <c:v>11.5</c:v>
                </c:pt>
                <c:pt idx="15">
                  <c:v>11.8</c:v>
                </c:pt>
                <c:pt idx="16">
                  <c:v>12</c:v>
                </c:pt>
                <c:pt idx="17">
                  <c:v>12.1</c:v>
                </c:pt>
                <c:pt idx="18">
                  <c:v>12</c:v>
                </c:pt>
                <c:pt idx="19">
                  <c:v>11.9</c:v>
                </c:pt>
                <c:pt idx="20">
                  <c:v>11.9</c:v>
                </c:pt>
                <c:pt idx="21">
                  <c:v>11.6</c:v>
                </c:pt>
                <c:pt idx="22">
                  <c:v>11.5</c:v>
                </c:pt>
                <c:pt idx="23">
                  <c:v>11.4</c:v>
                </c:pt>
                <c:pt idx="24">
                  <c:v>11.2</c:v>
                </c:pt>
                <c:pt idx="25">
                  <c:v>11</c:v>
                </c:pt>
                <c:pt idx="26">
                  <c:v>10.7</c:v>
                </c:pt>
                <c:pt idx="27">
                  <c:v>10.5</c:v>
                </c:pt>
                <c:pt idx="28">
                  <c:v>10.3</c:v>
                </c:pt>
                <c:pt idx="29">
                  <c:v>10.199999999999999</c:v>
                </c:pt>
                <c:pt idx="30">
                  <c:v>9.9</c:v>
                </c:pt>
                <c:pt idx="31">
                  <c:v>9.6999999999999993</c:v>
                </c:pt>
                <c:pt idx="32">
                  <c:v>9.5</c:v>
                </c:pt>
                <c:pt idx="33">
                  <c:v>9.1999999999999993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'Graf 35 + 36'!$H$10</c:f>
              <c:strCache>
                <c:ptCount val="1"/>
                <c:pt idx="0">
                  <c:v>EÚ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35 + 36'!$M$4:$AT$4</c:f>
              <c:strCache>
                <c:ptCount val="34"/>
                <c:pt idx="0">
                  <c:v>2009Q1</c:v>
                </c:pt>
                <c:pt idx="1">
                  <c:v>2009Q2</c:v>
                </c:pt>
                <c:pt idx="2">
                  <c:v>2009Q3</c:v>
                </c:pt>
                <c:pt idx="3">
                  <c:v>2009Q4</c:v>
                </c:pt>
                <c:pt idx="4">
                  <c:v>2010Q1</c:v>
                </c:pt>
                <c:pt idx="5">
                  <c:v>2010Q2</c:v>
                </c:pt>
                <c:pt idx="6">
                  <c:v>2010Q3</c:v>
                </c:pt>
                <c:pt idx="7">
                  <c:v>2010Q4</c:v>
                </c:pt>
                <c:pt idx="8">
                  <c:v>2011Q1</c:v>
                </c:pt>
                <c:pt idx="9">
                  <c:v>2011Q2</c:v>
                </c:pt>
                <c:pt idx="10">
                  <c:v>2011Q3</c:v>
                </c:pt>
                <c:pt idx="11">
                  <c:v>2011Q4</c:v>
                </c:pt>
                <c:pt idx="12">
                  <c:v>2012Q1</c:v>
                </c:pt>
                <c:pt idx="13">
                  <c:v>2012Q2</c:v>
                </c:pt>
                <c:pt idx="14">
                  <c:v>2012Q3</c:v>
                </c:pt>
                <c:pt idx="15">
                  <c:v>2012Q4</c:v>
                </c:pt>
                <c:pt idx="16">
                  <c:v>2013Q1</c:v>
                </c:pt>
                <c:pt idx="17">
                  <c:v>2013Q2</c:v>
                </c:pt>
                <c:pt idx="18">
                  <c:v>2013Q3</c:v>
                </c:pt>
                <c:pt idx="19">
                  <c:v>2013Q4</c:v>
                </c:pt>
                <c:pt idx="20">
                  <c:v>2014Q1</c:v>
                </c:pt>
                <c:pt idx="21">
                  <c:v>2014Q2</c:v>
                </c:pt>
                <c:pt idx="22">
                  <c:v>2014Q3</c:v>
                </c:pt>
                <c:pt idx="23">
                  <c:v>2014Q4</c:v>
                </c:pt>
                <c:pt idx="24">
                  <c:v>2015Q1</c:v>
                </c:pt>
                <c:pt idx="25">
                  <c:v>2015Q2</c:v>
                </c:pt>
                <c:pt idx="26">
                  <c:v>2015Q3</c:v>
                </c:pt>
                <c:pt idx="27">
                  <c:v>2015Q4</c:v>
                </c:pt>
                <c:pt idx="28">
                  <c:v>2016Q1</c:v>
                </c:pt>
                <c:pt idx="29">
                  <c:v>2016Q2</c:v>
                </c:pt>
                <c:pt idx="30">
                  <c:v>2016Q3</c:v>
                </c:pt>
                <c:pt idx="31">
                  <c:v>2016Q4</c:v>
                </c:pt>
                <c:pt idx="32">
                  <c:v>2017Q1</c:v>
                </c:pt>
                <c:pt idx="33">
                  <c:v>2017Q2</c:v>
                </c:pt>
              </c:strCache>
            </c:strRef>
          </c:cat>
          <c:val>
            <c:numRef>
              <c:f>'Graf 35 + 36'!$M$10:$AT$10</c:f>
              <c:numCache>
                <c:formatCode>General</c:formatCode>
                <c:ptCount val="34"/>
                <c:pt idx="0">
                  <c:v>8.3000000000000007</c:v>
                </c:pt>
                <c:pt idx="1">
                  <c:v>8.9</c:v>
                </c:pt>
                <c:pt idx="2">
                  <c:v>9.1999999999999993</c:v>
                </c:pt>
                <c:pt idx="3">
                  <c:v>9.4</c:v>
                </c:pt>
                <c:pt idx="4">
                  <c:v>9.6999999999999993</c:v>
                </c:pt>
                <c:pt idx="5">
                  <c:v>9.6999999999999993</c:v>
                </c:pt>
                <c:pt idx="6">
                  <c:v>9.6</c:v>
                </c:pt>
                <c:pt idx="7">
                  <c:v>9.6</c:v>
                </c:pt>
                <c:pt idx="8">
                  <c:v>9.5</c:v>
                </c:pt>
                <c:pt idx="9">
                  <c:v>9.5</c:v>
                </c:pt>
                <c:pt idx="10">
                  <c:v>9.6999999999999993</c:v>
                </c:pt>
                <c:pt idx="11">
                  <c:v>10</c:v>
                </c:pt>
                <c:pt idx="12">
                  <c:v>10.199999999999999</c:v>
                </c:pt>
                <c:pt idx="13">
                  <c:v>10.4</c:v>
                </c:pt>
                <c:pt idx="14">
                  <c:v>10.6</c:v>
                </c:pt>
                <c:pt idx="15">
                  <c:v>10.8</c:v>
                </c:pt>
                <c:pt idx="16">
                  <c:v>11</c:v>
                </c:pt>
                <c:pt idx="17">
                  <c:v>10.9</c:v>
                </c:pt>
                <c:pt idx="18">
                  <c:v>10.9</c:v>
                </c:pt>
                <c:pt idx="19">
                  <c:v>10.7</c:v>
                </c:pt>
                <c:pt idx="20">
                  <c:v>10.6</c:v>
                </c:pt>
                <c:pt idx="21">
                  <c:v>10.3</c:v>
                </c:pt>
                <c:pt idx="22">
                  <c:v>10.1</c:v>
                </c:pt>
                <c:pt idx="23">
                  <c:v>10</c:v>
                </c:pt>
                <c:pt idx="24">
                  <c:v>9.6999999999999993</c:v>
                </c:pt>
                <c:pt idx="25">
                  <c:v>9.6</c:v>
                </c:pt>
                <c:pt idx="26">
                  <c:v>9.3000000000000007</c:v>
                </c:pt>
                <c:pt idx="27">
                  <c:v>9</c:v>
                </c:pt>
                <c:pt idx="28">
                  <c:v>8.8000000000000007</c:v>
                </c:pt>
                <c:pt idx="29">
                  <c:v>8.6999999999999993</c:v>
                </c:pt>
                <c:pt idx="30">
                  <c:v>8.5</c:v>
                </c:pt>
                <c:pt idx="31">
                  <c:v>8.1999999999999993</c:v>
                </c:pt>
                <c:pt idx="32">
                  <c:v>8</c:v>
                </c:pt>
                <c:pt idx="33">
                  <c:v>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28856"/>
        <c:axId val="305229248"/>
      </c:lineChart>
      <c:catAx>
        <c:axId val="305228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 cmpd="sng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052292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305229248"/>
        <c:scaling>
          <c:orientation val="minMax"/>
          <c:min val="2"/>
        </c:scaling>
        <c:delete val="0"/>
        <c:axPos val="l"/>
        <c:majorGridlines>
          <c:spPr>
            <a:ln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12700" cmpd="sng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522885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6744967075381749E-2"/>
          <c:y val="6.1414588801399807E-3"/>
          <c:w val="0.90172142795219057"/>
          <c:h val="0.12197643263342083"/>
        </c:manualLayout>
      </c:layout>
      <c:overlay val="1"/>
      <c:spPr>
        <a:solidFill>
          <a:sysClr val="window" lastClr="FFFFFF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209341887819573E-2"/>
          <c:y val="4.2759961127308101E-2"/>
          <c:w val="0.89673722177659176"/>
          <c:h val="0.877801499039424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35 + 36'!$I$13</c:f>
              <c:strCache>
                <c:ptCount val="1"/>
                <c:pt idx="0">
                  <c:v>2Q 2016 - ľavá os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35 + 36'!$H$14:$H$18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35 + 36'!$I$14:$I$18</c:f>
              <c:numCache>
                <c:formatCode>0.00</c:formatCode>
                <c:ptCount val="5"/>
                <c:pt idx="0">
                  <c:v>5.8175999999999997</c:v>
                </c:pt>
                <c:pt idx="1">
                  <c:v>1.6964999999999999</c:v>
                </c:pt>
                <c:pt idx="2">
                  <c:v>2.4582000000000002</c:v>
                </c:pt>
                <c:pt idx="3">
                  <c:v>2.2072000000000003</c:v>
                </c:pt>
                <c:pt idx="4">
                  <c:v>4.1107999999999993</c:v>
                </c:pt>
              </c:numCache>
            </c:numRef>
          </c:val>
        </c:ser>
        <c:ser>
          <c:idx val="2"/>
          <c:order val="1"/>
          <c:tx>
            <c:strRef>
              <c:f>'Graf 35 + 36'!$J$13</c:f>
              <c:strCache>
                <c:ptCount val="1"/>
                <c:pt idx="0">
                  <c:v>2Q 2017 - ľavá os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strRef>
              <c:f>'Graf 35 + 36'!$H$14:$H$18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35 + 36'!$J$14:$J$18</c:f>
              <c:numCache>
                <c:formatCode>0.00</c:formatCode>
                <c:ptCount val="5"/>
                <c:pt idx="0">
                  <c:v>5.1110999999999995</c:v>
                </c:pt>
                <c:pt idx="1">
                  <c:v>1.1219999999999999</c:v>
                </c:pt>
                <c:pt idx="2">
                  <c:v>1.8059999999999998</c:v>
                </c:pt>
                <c:pt idx="3">
                  <c:v>1.5</c:v>
                </c:pt>
                <c:pt idx="4">
                  <c:v>3.5112000000000001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30032"/>
        <c:axId val="305230424"/>
      </c:barChart>
      <c:lineChart>
        <c:grouping val="standard"/>
        <c:varyColors val="0"/>
        <c:ser>
          <c:idx val="1"/>
          <c:order val="2"/>
          <c:tx>
            <c:strRef>
              <c:f>'Graf 35 + 36'!$H$20</c:f>
              <c:strCache>
                <c:ptCount val="1"/>
                <c:pt idx="0">
                  <c:v>% podiel na celk. miere nezamestnanosti (2Q 2016)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333F50"/>
              </a:solidFill>
              <a:ln>
                <a:solidFill>
                  <a:srgbClr val="333F50"/>
                </a:solidFill>
              </a:ln>
            </c:spPr>
          </c:marker>
          <c:cat>
            <c:strRef>
              <c:f>'Graf 35 + 36'!$H$14:$H$18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35 + 36'!$K$14:$K$18</c:f>
              <c:numCache>
                <c:formatCode>0.00</c:formatCode>
                <c:ptCount val="5"/>
                <c:pt idx="0">
                  <c:v>60.6</c:v>
                </c:pt>
                <c:pt idx="1">
                  <c:v>43.5</c:v>
                </c:pt>
                <c:pt idx="2">
                  <c:v>48.2</c:v>
                </c:pt>
                <c:pt idx="3">
                  <c:v>35.6</c:v>
                </c:pt>
                <c:pt idx="4">
                  <c:v>47.8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 35 + 36'!$H$21</c:f>
              <c:strCache>
                <c:ptCount val="1"/>
                <c:pt idx="0">
                  <c:v>% podiel na celk. miere nezamestnanosti (2Q 2017)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</c:marker>
          <c:cat>
            <c:strRef>
              <c:f>'Graf 35 + 36'!$H$14:$H$18</c:f>
              <c:strCache>
                <c:ptCount val="5"/>
                <c:pt idx="0">
                  <c:v>SK</c:v>
                </c:pt>
                <c:pt idx="1">
                  <c:v>CZ</c:v>
                </c:pt>
                <c:pt idx="2">
                  <c:v>HU</c:v>
                </c:pt>
                <c:pt idx="3">
                  <c:v>PL</c:v>
                </c:pt>
                <c:pt idx="4">
                  <c:v>EÚ</c:v>
                </c:pt>
              </c:strCache>
            </c:strRef>
          </c:cat>
          <c:val>
            <c:numRef>
              <c:f>'Graf 35 + 36'!$L$14:$L$18</c:f>
              <c:numCache>
                <c:formatCode>0.00</c:formatCode>
                <c:ptCount val="5"/>
                <c:pt idx="0">
                  <c:v>63.1</c:v>
                </c:pt>
                <c:pt idx="1">
                  <c:v>37.4</c:v>
                </c:pt>
                <c:pt idx="2">
                  <c:v>42</c:v>
                </c:pt>
                <c:pt idx="3">
                  <c:v>30</c:v>
                </c:pt>
                <c:pt idx="4">
                  <c:v>46.2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230816"/>
        <c:axId val="305231208"/>
      </c:lineChart>
      <c:catAx>
        <c:axId val="30523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5230424"/>
        <c:crosses val="autoZero"/>
        <c:auto val="1"/>
        <c:lblAlgn val="ctr"/>
        <c:lblOffset val="100"/>
        <c:noMultiLvlLbl val="0"/>
      </c:catAx>
      <c:valAx>
        <c:axId val="305230424"/>
        <c:scaling>
          <c:orientation val="minMax"/>
        </c:scaling>
        <c:delete val="0"/>
        <c:axPos val="l"/>
        <c:majorGridlines>
          <c:spPr>
            <a:ln>
              <a:noFill/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305230032"/>
        <c:crosses val="autoZero"/>
        <c:crossBetween val="between"/>
      </c:valAx>
      <c:catAx>
        <c:axId val="305230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5231208"/>
        <c:crosses val="autoZero"/>
        <c:auto val="1"/>
        <c:lblAlgn val="ctr"/>
        <c:lblOffset val="100"/>
        <c:noMultiLvlLbl val="0"/>
      </c:catAx>
      <c:valAx>
        <c:axId val="30523120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30523081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4843584551931008"/>
          <c:y val="1.6241066020593581E-2"/>
          <c:w val="0.79431301087364081"/>
          <c:h val="0.27399919165948411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039819035778423"/>
          <c:y val="9.2529118764307819E-2"/>
          <c:w val="0.93616132135261021"/>
          <c:h val="0.76993094513345572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2C9AD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'Box 11_Graf 38 + 39'!#REF!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'Box 11_Graf 38 + 39'!#REF!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'Box 11_Graf 38 + 39'!#REF!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rgbClr val="AAD3F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'Box 11_Graf 38 + 39'!#REF!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'Box 11_Graf 38 + 39'!#REF!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'Box 11_Graf 38 + 39'!#REF!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3"/>
          <c:order val="2"/>
          <c:spPr>
            <a:solidFill>
              <a:srgbClr val="0070C0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'Box 11_Graf 38 + 39'!#REF!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'Box 11_Graf 38 + 39'!#REF!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'Box 11_Graf 38 + 39'!#REF!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31992"/>
        <c:axId val="305232384"/>
      </c:barChart>
      <c:catAx>
        <c:axId val="305231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en-US"/>
          </a:p>
        </c:txPr>
        <c:crossAx val="305232384"/>
        <c:crosses val="autoZero"/>
        <c:auto val="1"/>
        <c:lblAlgn val="ctr"/>
        <c:lblOffset val="100"/>
        <c:noMultiLvlLbl val="0"/>
      </c:catAx>
      <c:valAx>
        <c:axId val="305232384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5231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151111230550101"/>
          <c:y val="2.8364066312797161E-3"/>
          <c:w val="0.16289054311897019"/>
          <c:h val="0.372799653297335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0072392064358"/>
          <c:y val="4.4432698804451227E-2"/>
          <c:w val="0.88153498798082397"/>
          <c:h val="0.88793128199042481"/>
        </c:manualLayout>
      </c:layout>
      <c:lineChart>
        <c:grouping val="standard"/>
        <c:varyColors val="0"/>
        <c:ser>
          <c:idx val="0"/>
          <c:order val="0"/>
          <c:tx>
            <c:strRef>
              <c:f>'Graf 3 + 4'!$J$18</c:f>
              <c:strCache>
                <c:ptCount val="1"/>
                <c:pt idx="0">
                  <c:v>Brent (USD/bl)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3 + 4'!$I$19:$I$150</c:f>
              <c:numCache>
                <c:formatCode>m/d/yyyy</c:formatCode>
                <c:ptCount val="132"/>
                <c:pt idx="0">
                  <c:v>40209</c:v>
                </c:pt>
                <c:pt idx="1">
                  <c:v>40235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40389</c:v>
                </c:pt>
                <c:pt idx="7">
                  <c:v>40421</c:v>
                </c:pt>
                <c:pt idx="8">
                  <c:v>40451</c:v>
                </c:pt>
                <c:pt idx="9">
                  <c:v>40480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40662</c:v>
                </c:pt>
                <c:pt idx="16">
                  <c:v>40694</c:v>
                </c:pt>
                <c:pt idx="17">
                  <c:v>40724</c:v>
                </c:pt>
                <c:pt idx="18">
                  <c:v>40753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40907</c:v>
                </c:pt>
                <c:pt idx="24">
                  <c:v>40939</c:v>
                </c:pt>
                <c:pt idx="25">
                  <c:v>40968</c:v>
                </c:pt>
                <c:pt idx="26">
                  <c:v>40998</c:v>
                </c:pt>
                <c:pt idx="27">
                  <c:v>41029</c:v>
                </c:pt>
                <c:pt idx="28">
                  <c:v>41060</c:v>
                </c:pt>
                <c:pt idx="29">
                  <c:v>41089</c:v>
                </c:pt>
                <c:pt idx="30">
                  <c:v>41121</c:v>
                </c:pt>
                <c:pt idx="31">
                  <c:v>41152</c:v>
                </c:pt>
                <c:pt idx="32">
                  <c:v>41180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41362</c:v>
                </c:pt>
                <c:pt idx="39">
                  <c:v>41394</c:v>
                </c:pt>
                <c:pt idx="40">
                  <c:v>41425</c:v>
                </c:pt>
                <c:pt idx="41">
                  <c:v>41453</c:v>
                </c:pt>
                <c:pt idx="42">
                  <c:v>41486</c:v>
                </c:pt>
                <c:pt idx="43">
                  <c:v>41516</c:v>
                </c:pt>
                <c:pt idx="44">
                  <c:v>41547</c:v>
                </c:pt>
                <c:pt idx="45">
                  <c:v>41578</c:v>
                </c:pt>
                <c:pt idx="46">
                  <c:v>41607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41789</c:v>
                </c:pt>
                <c:pt idx="53">
                  <c:v>41820</c:v>
                </c:pt>
                <c:pt idx="54">
                  <c:v>41851</c:v>
                </c:pt>
                <c:pt idx="55">
                  <c:v>41880</c:v>
                </c:pt>
                <c:pt idx="56">
                  <c:v>41912</c:v>
                </c:pt>
                <c:pt idx="57">
                  <c:v>41943</c:v>
                </c:pt>
                <c:pt idx="58">
                  <c:v>41971</c:v>
                </c:pt>
                <c:pt idx="59">
                  <c:v>42004</c:v>
                </c:pt>
                <c:pt idx="60">
                  <c:v>42034</c:v>
                </c:pt>
                <c:pt idx="61">
                  <c:v>42062</c:v>
                </c:pt>
                <c:pt idx="62">
                  <c:v>42094</c:v>
                </c:pt>
                <c:pt idx="63">
                  <c:v>42124</c:v>
                </c:pt>
                <c:pt idx="64">
                  <c:v>42153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42307</c:v>
                </c:pt>
                <c:pt idx="70">
                  <c:v>42338</c:v>
                </c:pt>
                <c:pt idx="71">
                  <c:v>42369</c:v>
                </c:pt>
                <c:pt idx="72">
                  <c:v>42398</c:v>
                </c:pt>
                <c:pt idx="73">
                  <c:v>42429</c:v>
                </c:pt>
                <c:pt idx="74">
                  <c:v>42460</c:v>
                </c:pt>
                <c:pt idx="75">
                  <c:v>42489</c:v>
                </c:pt>
                <c:pt idx="76">
                  <c:v>42521</c:v>
                </c:pt>
                <c:pt idx="77">
                  <c:v>42551</c:v>
                </c:pt>
                <c:pt idx="78">
                  <c:v>42580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42734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42853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43038</c:v>
                </c:pt>
                <c:pt idx="94">
                  <c:v>43069</c:v>
                </c:pt>
                <c:pt idx="95">
                  <c:v>43100</c:v>
                </c:pt>
                <c:pt idx="96">
                  <c:v>43130</c:v>
                </c:pt>
                <c:pt idx="97">
                  <c:v>43158</c:v>
                </c:pt>
                <c:pt idx="98">
                  <c:v>43190</c:v>
                </c:pt>
                <c:pt idx="99">
                  <c:v>43220</c:v>
                </c:pt>
                <c:pt idx="100">
                  <c:v>43249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43403</c:v>
                </c:pt>
                <c:pt idx="106">
                  <c:v>43434</c:v>
                </c:pt>
                <c:pt idx="107">
                  <c:v>43465</c:v>
                </c:pt>
                <c:pt idx="108">
                  <c:v>43495</c:v>
                </c:pt>
                <c:pt idx="109">
                  <c:v>43523</c:v>
                </c:pt>
                <c:pt idx="110">
                  <c:v>43555</c:v>
                </c:pt>
                <c:pt idx="111">
                  <c:v>43585</c:v>
                </c:pt>
                <c:pt idx="112">
                  <c:v>43614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43768</c:v>
                </c:pt>
                <c:pt idx="118">
                  <c:v>43799</c:v>
                </c:pt>
                <c:pt idx="119">
                  <c:v>43830</c:v>
                </c:pt>
                <c:pt idx="120">
                  <c:v>43860</c:v>
                </c:pt>
                <c:pt idx="121">
                  <c:v>43888</c:v>
                </c:pt>
                <c:pt idx="122">
                  <c:v>43921</c:v>
                </c:pt>
                <c:pt idx="123">
                  <c:v>43951</c:v>
                </c:pt>
                <c:pt idx="124">
                  <c:v>43980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44134</c:v>
                </c:pt>
                <c:pt idx="130">
                  <c:v>44165</c:v>
                </c:pt>
                <c:pt idx="131">
                  <c:v>44196</c:v>
                </c:pt>
              </c:numCache>
            </c:numRef>
          </c:cat>
          <c:val>
            <c:numRef>
              <c:f>'Graf 3 + 4'!$J$19:$J$150</c:f>
              <c:numCache>
                <c:formatCode>General</c:formatCode>
                <c:ptCount val="132"/>
                <c:pt idx="0">
                  <c:v>71.459999999999994</c:v>
                </c:pt>
                <c:pt idx="1">
                  <c:v>77.59</c:v>
                </c:pt>
                <c:pt idx="2">
                  <c:v>82.7</c:v>
                </c:pt>
                <c:pt idx="3">
                  <c:v>87.44</c:v>
                </c:pt>
                <c:pt idx="4">
                  <c:v>74.650000000000006</c:v>
                </c:pt>
                <c:pt idx="5">
                  <c:v>75.010000000000005</c:v>
                </c:pt>
                <c:pt idx="6">
                  <c:v>78.180000000000007</c:v>
                </c:pt>
                <c:pt idx="7">
                  <c:v>74.64</c:v>
                </c:pt>
                <c:pt idx="8">
                  <c:v>82.31</c:v>
                </c:pt>
                <c:pt idx="9">
                  <c:v>83.15</c:v>
                </c:pt>
                <c:pt idx="10">
                  <c:v>85.92</c:v>
                </c:pt>
                <c:pt idx="11">
                  <c:v>94.75</c:v>
                </c:pt>
                <c:pt idx="12">
                  <c:v>101.01</c:v>
                </c:pt>
                <c:pt idx="13">
                  <c:v>111.8</c:v>
                </c:pt>
                <c:pt idx="14">
                  <c:v>117.36</c:v>
                </c:pt>
                <c:pt idx="15">
                  <c:v>125.89</c:v>
                </c:pt>
                <c:pt idx="16">
                  <c:v>116.73</c:v>
                </c:pt>
                <c:pt idx="17">
                  <c:v>112.48</c:v>
                </c:pt>
                <c:pt idx="18">
                  <c:v>116.74</c:v>
                </c:pt>
                <c:pt idx="19">
                  <c:v>114.85</c:v>
                </c:pt>
                <c:pt idx="20">
                  <c:v>102.76</c:v>
                </c:pt>
                <c:pt idx="21">
                  <c:v>109.56</c:v>
                </c:pt>
                <c:pt idx="22">
                  <c:v>110.52</c:v>
                </c:pt>
                <c:pt idx="23">
                  <c:v>107.38</c:v>
                </c:pt>
                <c:pt idx="24">
                  <c:v>110.98</c:v>
                </c:pt>
                <c:pt idx="25">
                  <c:v>122.66</c:v>
                </c:pt>
                <c:pt idx="26">
                  <c:v>122.88</c:v>
                </c:pt>
                <c:pt idx="27">
                  <c:v>119.47</c:v>
                </c:pt>
                <c:pt idx="28">
                  <c:v>101.87</c:v>
                </c:pt>
                <c:pt idx="29">
                  <c:v>97.8</c:v>
                </c:pt>
                <c:pt idx="30">
                  <c:v>104.92</c:v>
                </c:pt>
                <c:pt idx="31">
                  <c:v>114.57</c:v>
                </c:pt>
                <c:pt idx="32">
                  <c:v>112.39</c:v>
                </c:pt>
                <c:pt idx="33">
                  <c:v>108.7</c:v>
                </c:pt>
                <c:pt idx="34">
                  <c:v>111.23</c:v>
                </c:pt>
                <c:pt idx="35">
                  <c:v>111.11</c:v>
                </c:pt>
                <c:pt idx="36">
                  <c:v>115.55</c:v>
                </c:pt>
                <c:pt idx="37">
                  <c:v>111.38</c:v>
                </c:pt>
                <c:pt idx="38">
                  <c:v>110.02</c:v>
                </c:pt>
                <c:pt idx="39">
                  <c:v>102.37</c:v>
                </c:pt>
                <c:pt idx="40">
                  <c:v>100.39</c:v>
                </c:pt>
                <c:pt idx="41">
                  <c:v>102.16</c:v>
                </c:pt>
                <c:pt idx="42">
                  <c:v>107.7</c:v>
                </c:pt>
                <c:pt idx="43">
                  <c:v>114.01</c:v>
                </c:pt>
                <c:pt idx="44">
                  <c:v>108.37</c:v>
                </c:pt>
                <c:pt idx="45">
                  <c:v>108.84</c:v>
                </c:pt>
                <c:pt idx="46">
                  <c:v>109.69</c:v>
                </c:pt>
                <c:pt idx="47">
                  <c:v>110.8</c:v>
                </c:pt>
                <c:pt idx="48">
                  <c:v>106.4</c:v>
                </c:pt>
                <c:pt idx="49">
                  <c:v>109.07</c:v>
                </c:pt>
                <c:pt idx="50">
                  <c:v>107.76</c:v>
                </c:pt>
                <c:pt idx="51">
                  <c:v>108.07</c:v>
                </c:pt>
                <c:pt idx="52">
                  <c:v>109.41</c:v>
                </c:pt>
                <c:pt idx="53">
                  <c:v>112.36</c:v>
                </c:pt>
                <c:pt idx="54">
                  <c:v>106.02</c:v>
                </c:pt>
                <c:pt idx="55">
                  <c:v>103.19</c:v>
                </c:pt>
                <c:pt idx="56">
                  <c:v>94.67</c:v>
                </c:pt>
                <c:pt idx="57">
                  <c:v>85.86</c:v>
                </c:pt>
                <c:pt idx="58">
                  <c:v>70.150000000000006</c:v>
                </c:pt>
                <c:pt idx="59">
                  <c:v>57.33</c:v>
                </c:pt>
                <c:pt idx="60">
                  <c:v>52.99</c:v>
                </c:pt>
                <c:pt idx="61">
                  <c:v>62.58</c:v>
                </c:pt>
                <c:pt idx="62">
                  <c:v>55.11</c:v>
                </c:pt>
                <c:pt idx="63">
                  <c:v>66.78</c:v>
                </c:pt>
                <c:pt idx="64">
                  <c:v>65.56</c:v>
                </c:pt>
                <c:pt idx="65">
                  <c:v>63.59</c:v>
                </c:pt>
                <c:pt idx="66">
                  <c:v>52.21</c:v>
                </c:pt>
                <c:pt idx="67">
                  <c:v>54.15</c:v>
                </c:pt>
                <c:pt idx="68">
                  <c:v>48.37</c:v>
                </c:pt>
                <c:pt idx="69">
                  <c:v>49.56</c:v>
                </c:pt>
                <c:pt idx="70">
                  <c:v>44.61</c:v>
                </c:pt>
                <c:pt idx="71">
                  <c:v>37.28</c:v>
                </c:pt>
                <c:pt idx="72">
                  <c:v>34.74</c:v>
                </c:pt>
                <c:pt idx="73">
                  <c:v>35.97</c:v>
                </c:pt>
                <c:pt idx="74">
                  <c:v>39.6</c:v>
                </c:pt>
                <c:pt idx="75">
                  <c:v>48.13</c:v>
                </c:pt>
                <c:pt idx="76">
                  <c:v>49.69</c:v>
                </c:pt>
                <c:pt idx="77">
                  <c:v>49.68</c:v>
                </c:pt>
                <c:pt idx="78">
                  <c:v>42.46</c:v>
                </c:pt>
                <c:pt idx="79">
                  <c:v>47.04</c:v>
                </c:pt>
                <c:pt idx="80">
                  <c:v>49.06</c:v>
                </c:pt>
                <c:pt idx="81">
                  <c:v>48.3</c:v>
                </c:pt>
                <c:pt idx="82">
                  <c:v>50.47</c:v>
                </c:pt>
                <c:pt idx="83">
                  <c:v>56.82</c:v>
                </c:pt>
                <c:pt idx="84">
                  <c:v>55.7</c:v>
                </c:pt>
                <c:pt idx="85">
                  <c:v>55.59</c:v>
                </c:pt>
                <c:pt idx="86">
                  <c:v>52.83</c:v>
                </c:pt>
                <c:pt idx="87">
                  <c:v>51.73</c:v>
                </c:pt>
                <c:pt idx="88">
                  <c:v>50.31</c:v>
                </c:pt>
                <c:pt idx="89">
                  <c:v>47.92</c:v>
                </c:pt>
                <c:pt idx="90">
                  <c:v>52.65</c:v>
                </c:pt>
                <c:pt idx="91" formatCode="0.00">
                  <c:v>51.823333333333331</c:v>
                </c:pt>
                <c:pt idx="92" formatCode="0.00">
                  <c:v>50.996666666666663</c:v>
                </c:pt>
                <c:pt idx="93">
                  <c:v>50.17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 3 + 4'!$M$18</c:f>
              <c:strCache>
                <c:ptCount val="1"/>
                <c:pt idx="0">
                  <c:v>prognóza 6:2017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3 + 4'!$I$19:$I$150</c:f>
              <c:numCache>
                <c:formatCode>m/d/yyyy</c:formatCode>
                <c:ptCount val="132"/>
                <c:pt idx="0">
                  <c:v>40209</c:v>
                </c:pt>
                <c:pt idx="1">
                  <c:v>40235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40389</c:v>
                </c:pt>
                <c:pt idx="7">
                  <c:v>40421</c:v>
                </c:pt>
                <c:pt idx="8">
                  <c:v>40451</c:v>
                </c:pt>
                <c:pt idx="9">
                  <c:v>40480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40662</c:v>
                </c:pt>
                <c:pt idx="16">
                  <c:v>40694</c:v>
                </c:pt>
                <c:pt idx="17">
                  <c:v>40724</c:v>
                </c:pt>
                <c:pt idx="18">
                  <c:v>40753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40907</c:v>
                </c:pt>
                <c:pt idx="24">
                  <c:v>40939</c:v>
                </c:pt>
                <c:pt idx="25">
                  <c:v>40968</c:v>
                </c:pt>
                <c:pt idx="26">
                  <c:v>40998</c:v>
                </c:pt>
                <c:pt idx="27">
                  <c:v>41029</c:v>
                </c:pt>
                <c:pt idx="28">
                  <c:v>41060</c:v>
                </c:pt>
                <c:pt idx="29">
                  <c:v>41089</c:v>
                </c:pt>
                <c:pt idx="30">
                  <c:v>41121</c:v>
                </c:pt>
                <c:pt idx="31">
                  <c:v>41152</c:v>
                </c:pt>
                <c:pt idx="32">
                  <c:v>41180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41362</c:v>
                </c:pt>
                <c:pt idx="39">
                  <c:v>41394</c:v>
                </c:pt>
                <c:pt idx="40">
                  <c:v>41425</c:v>
                </c:pt>
                <c:pt idx="41">
                  <c:v>41453</c:v>
                </c:pt>
                <c:pt idx="42">
                  <c:v>41486</c:v>
                </c:pt>
                <c:pt idx="43">
                  <c:v>41516</c:v>
                </c:pt>
                <c:pt idx="44">
                  <c:v>41547</c:v>
                </c:pt>
                <c:pt idx="45">
                  <c:v>41578</c:v>
                </c:pt>
                <c:pt idx="46">
                  <c:v>41607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41789</c:v>
                </c:pt>
                <c:pt idx="53">
                  <c:v>41820</c:v>
                </c:pt>
                <c:pt idx="54">
                  <c:v>41851</c:v>
                </c:pt>
                <c:pt idx="55">
                  <c:v>41880</c:v>
                </c:pt>
                <c:pt idx="56">
                  <c:v>41912</c:v>
                </c:pt>
                <c:pt idx="57">
                  <c:v>41943</c:v>
                </c:pt>
                <c:pt idx="58">
                  <c:v>41971</c:v>
                </c:pt>
                <c:pt idx="59">
                  <c:v>42004</c:v>
                </c:pt>
                <c:pt idx="60">
                  <c:v>42034</c:v>
                </c:pt>
                <c:pt idx="61">
                  <c:v>42062</c:v>
                </c:pt>
                <c:pt idx="62">
                  <c:v>42094</c:v>
                </c:pt>
                <c:pt idx="63">
                  <c:v>42124</c:v>
                </c:pt>
                <c:pt idx="64">
                  <c:v>42153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42307</c:v>
                </c:pt>
                <c:pt idx="70">
                  <c:v>42338</c:v>
                </c:pt>
                <c:pt idx="71">
                  <c:v>42369</c:v>
                </c:pt>
                <c:pt idx="72">
                  <c:v>42398</c:v>
                </c:pt>
                <c:pt idx="73">
                  <c:v>42429</c:v>
                </c:pt>
                <c:pt idx="74">
                  <c:v>42460</c:v>
                </c:pt>
                <c:pt idx="75">
                  <c:v>42489</c:v>
                </c:pt>
                <c:pt idx="76">
                  <c:v>42521</c:v>
                </c:pt>
                <c:pt idx="77">
                  <c:v>42551</c:v>
                </c:pt>
                <c:pt idx="78">
                  <c:v>42580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42734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42853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43038</c:v>
                </c:pt>
                <c:pt idx="94">
                  <c:v>43069</c:v>
                </c:pt>
                <c:pt idx="95">
                  <c:v>43100</c:v>
                </c:pt>
                <c:pt idx="96">
                  <c:v>43130</c:v>
                </c:pt>
                <c:pt idx="97">
                  <c:v>43158</c:v>
                </c:pt>
                <c:pt idx="98">
                  <c:v>43190</c:v>
                </c:pt>
                <c:pt idx="99">
                  <c:v>43220</c:v>
                </c:pt>
                <c:pt idx="100">
                  <c:v>43249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43403</c:v>
                </c:pt>
                <c:pt idx="106">
                  <c:v>43434</c:v>
                </c:pt>
                <c:pt idx="107">
                  <c:v>43465</c:v>
                </c:pt>
                <c:pt idx="108">
                  <c:v>43495</c:v>
                </c:pt>
                <c:pt idx="109">
                  <c:v>43523</c:v>
                </c:pt>
                <c:pt idx="110">
                  <c:v>43555</c:v>
                </c:pt>
                <c:pt idx="111">
                  <c:v>43585</c:v>
                </c:pt>
                <c:pt idx="112">
                  <c:v>43614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43768</c:v>
                </c:pt>
                <c:pt idx="118">
                  <c:v>43799</c:v>
                </c:pt>
                <c:pt idx="119">
                  <c:v>43830</c:v>
                </c:pt>
                <c:pt idx="120">
                  <c:v>43860</c:v>
                </c:pt>
                <c:pt idx="121">
                  <c:v>43888</c:v>
                </c:pt>
                <c:pt idx="122">
                  <c:v>43921</c:v>
                </c:pt>
                <c:pt idx="123">
                  <c:v>43951</c:v>
                </c:pt>
                <c:pt idx="124">
                  <c:v>43980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44134</c:v>
                </c:pt>
                <c:pt idx="130">
                  <c:v>44165</c:v>
                </c:pt>
                <c:pt idx="131">
                  <c:v>44196</c:v>
                </c:pt>
              </c:numCache>
            </c:numRef>
          </c:cat>
          <c:val>
            <c:numRef>
              <c:f>'Graf 3 + 4'!$M$19:$M$150</c:f>
              <c:numCache>
                <c:formatCode>General</c:formatCode>
                <c:ptCount val="132"/>
                <c:pt idx="88">
                  <c:v>51.21</c:v>
                </c:pt>
                <c:pt idx="89">
                  <c:v>50.74</c:v>
                </c:pt>
                <c:pt idx="90">
                  <c:v>51.17</c:v>
                </c:pt>
                <c:pt idx="91">
                  <c:v>51.47</c:v>
                </c:pt>
                <c:pt idx="92">
                  <c:v>51.69</c:v>
                </c:pt>
                <c:pt idx="93">
                  <c:v>51.86</c:v>
                </c:pt>
                <c:pt idx="94">
                  <c:v>52.01</c:v>
                </c:pt>
                <c:pt idx="95">
                  <c:v>52.12</c:v>
                </c:pt>
                <c:pt idx="96">
                  <c:v>52.2</c:v>
                </c:pt>
                <c:pt idx="97">
                  <c:v>52.21</c:v>
                </c:pt>
                <c:pt idx="98">
                  <c:v>52.19</c:v>
                </c:pt>
                <c:pt idx="99">
                  <c:v>52.16</c:v>
                </c:pt>
                <c:pt idx="100">
                  <c:v>52.11</c:v>
                </c:pt>
                <c:pt idx="101">
                  <c:v>52.05</c:v>
                </c:pt>
                <c:pt idx="102">
                  <c:v>52.02</c:v>
                </c:pt>
                <c:pt idx="103">
                  <c:v>51.99</c:v>
                </c:pt>
                <c:pt idx="104">
                  <c:v>51.95</c:v>
                </c:pt>
                <c:pt idx="105">
                  <c:v>51.89</c:v>
                </c:pt>
                <c:pt idx="106">
                  <c:v>51.85</c:v>
                </c:pt>
                <c:pt idx="107">
                  <c:v>51.82</c:v>
                </c:pt>
                <c:pt idx="108">
                  <c:v>51.82</c:v>
                </c:pt>
                <c:pt idx="109">
                  <c:v>51.82</c:v>
                </c:pt>
                <c:pt idx="110">
                  <c:v>51.84</c:v>
                </c:pt>
                <c:pt idx="111">
                  <c:v>51.87</c:v>
                </c:pt>
                <c:pt idx="112">
                  <c:v>51.86</c:v>
                </c:pt>
                <c:pt idx="113">
                  <c:v>51.83</c:v>
                </c:pt>
                <c:pt idx="114">
                  <c:v>51.83</c:v>
                </c:pt>
                <c:pt idx="115">
                  <c:v>51.82</c:v>
                </c:pt>
                <c:pt idx="116">
                  <c:v>51.83</c:v>
                </c:pt>
                <c:pt idx="117">
                  <c:v>51.82</c:v>
                </c:pt>
                <c:pt idx="118">
                  <c:v>51.84</c:v>
                </c:pt>
                <c:pt idx="119">
                  <c:v>51.85</c:v>
                </c:pt>
                <c:pt idx="120">
                  <c:v>51.91</c:v>
                </c:pt>
                <c:pt idx="121">
                  <c:v>51.98</c:v>
                </c:pt>
                <c:pt idx="122">
                  <c:v>52.05</c:v>
                </c:pt>
                <c:pt idx="123">
                  <c:v>52.1</c:v>
                </c:pt>
                <c:pt idx="124">
                  <c:v>52.15</c:v>
                </c:pt>
                <c:pt idx="125">
                  <c:v>52.19</c:v>
                </c:pt>
                <c:pt idx="126">
                  <c:v>52.25</c:v>
                </c:pt>
                <c:pt idx="127">
                  <c:v>52.3</c:v>
                </c:pt>
                <c:pt idx="128">
                  <c:v>52.36</c:v>
                </c:pt>
                <c:pt idx="129">
                  <c:v>52.4</c:v>
                </c:pt>
                <c:pt idx="130">
                  <c:v>52.44</c:v>
                </c:pt>
                <c:pt idx="131">
                  <c:v>52.48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'Graf 3 + 4'!$N$18</c:f>
              <c:strCache>
                <c:ptCount val="1"/>
                <c:pt idx="0">
                  <c:v>prognóza 9:2017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3 + 4'!$I$19:$I$150</c:f>
              <c:numCache>
                <c:formatCode>m/d/yyyy</c:formatCode>
                <c:ptCount val="132"/>
                <c:pt idx="0">
                  <c:v>40209</c:v>
                </c:pt>
                <c:pt idx="1">
                  <c:v>40235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40389</c:v>
                </c:pt>
                <c:pt idx="7">
                  <c:v>40421</c:v>
                </c:pt>
                <c:pt idx="8">
                  <c:v>40451</c:v>
                </c:pt>
                <c:pt idx="9">
                  <c:v>40480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40662</c:v>
                </c:pt>
                <c:pt idx="16">
                  <c:v>40694</c:v>
                </c:pt>
                <c:pt idx="17">
                  <c:v>40724</c:v>
                </c:pt>
                <c:pt idx="18">
                  <c:v>40753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40907</c:v>
                </c:pt>
                <c:pt idx="24">
                  <c:v>40939</c:v>
                </c:pt>
                <c:pt idx="25">
                  <c:v>40968</c:v>
                </c:pt>
                <c:pt idx="26">
                  <c:v>40998</c:v>
                </c:pt>
                <c:pt idx="27">
                  <c:v>41029</c:v>
                </c:pt>
                <c:pt idx="28">
                  <c:v>41060</c:v>
                </c:pt>
                <c:pt idx="29">
                  <c:v>41089</c:v>
                </c:pt>
                <c:pt idx="30">
                  <c:v>41121</c:v>
                </c:pt>
                <c:pt idx="31">
                  <c:v>41152</c:v>
                </c:pt>
                <c:pt idx="32">
                  <c:v>41180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41362</c:v>
                </c:pt>
                <c:pt idx="39">
                  <c:v>41394</c:v>
                </c:pt>
                <c:pt idx="40">
                  <c:v>41425</c:v>
                </c:pt>
                <c:pt idx="41">
                  <c:v>41453</c:v>
                </c:pt>
                <c:pt idx="42">
                  <c:v>41486</c:v>
                </c:pt>
                <c:pt idx="43">
                  <c:v>41516</c:v>
                </c:pt>
                <c:pt idx="44">
                  <c:v>41547</c:v>
                </c:pt>
                <c:pt idx="45">
                  <c:v>41578</c:v>
                </c:pt>
                <c:pt idx="46">
                  <c:v>41607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41789</c:v>
                </c:pt>
                <c:pt idx="53">
                  <c:v>41820</c:v>
                </c:pt>
                <c:pt idx="54">
                  <c:v>41851</c:v>
                </c:pt>
                <c:pt idx="55">
                  <c:v>41880</c:v>
                </c:pt>
                <c:pt idx="56">
                  <c:v>41912</c:v>
                </c:pt>
                <c:pt idx="57">
                  <c:v>41943</c:v>
                </c:pt>
                <c:pt idx="58">
                  <c:v>41971</c:v>
                </c:pt>
                <c:pt idx="59">
                  <c:v>42004</c:v>
                </c:pt>
                <c:pt idx="60">
                  <c:v>42034</c:v>
                </c:pt>
                <c:pt idx="61">
                  <c:v>42062</c:v>
                </c:pt>
                <c:pt idx="62">
                  <c:v>42094</c:v>
                </c:pt>
                <c:pt idx="63">
                  <c:v>42124</c:v>
                </c:pt>
                <c:pt idx="64">
                  <c:v>42153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42307</c:v>
                </c:pt>
                <c:pt idx="70">
                  <c:v>42338</c:v>
                </c:pt>
                <c:pt idx="71">
                  <c:v>42369</c:v>
                </c:pt>
                <c:pt idx="72">
                  <c:v>42398</c:v>
                </c:pt>
                <c:pt idx="73">
                  <c:v>42429</c:v>
                </c:pt>
                <c:pt idx="74">
                  <c:v>42460</c:v>
                </c:pt>
                <c:pt idx="75">
                  <c:v>42489</c:v>
                </c:pt>
                <c:pt idx="76">
                  <c:v>42521</c:v>
                </c:pt>
                <c:pt idx="77">
                  <c:v>42551</c:v>
                </c:pt>
                <c:pt idx="78">
                  <c:v>42580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42734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42853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43038</c:v>
                </c:pt>
                <c:pt idx="94">
                  <c:v>43069</c:v>
                </c:pt>
                <c:pt idx="95">
                  <c:v>43100</c:v>
                </c:pt>
                <c:pt idx="96">
                  <c:v>43130</c:v>
                </c:pt>
                <c:pt idx="97">
                  <c:v>43158</c:v>
                </c:pt>
                <c:pt idx="98">
                  <c:v>43190</c:v>
                </c:pt>
                <c:pt idx="99">
                  <c:v>43220</c:v>
                </c:pt>
                <c:pt idx="100">
                  <c:v>43249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43403</c:v>
                </c:pt>
                <c:pt idx="106">
                  <c:v>43434</c:v>
                </c:pt>
                <c:pt idx="107">
                  <c:v>43465</c:v>
                </c:pt>
                <c:pt idx="108">
                  <c:v>43495</c:v>
                </c:pt>
                <c:pt idx="109">
                  <c:v>43523</c:v>
                </c:pt>
                <c:pt idx="110">
                  <c:v>43555</c:v>
                </c:pt>
                <c:pt idx="111">
                  <c:v>43585</c:v>
                </c:pt>
                <c:pt idx="112">
                  <c:v>43614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43768</c:v>
                </c:pt>
                <c:pt idx="118">
                  <c:v>43799</c:v>
                </c:pt>
                <c:pt idx="119">
                  <c:v>43830</c:v>
                </c:pt>
                <c:pt idx="120">
                  <c:v>43860</c:v>
                </c:pt>
                <c:pt idx="121">
                  <c:v>43888</c:v>
                </c:pt>
                <c:pt idx="122">
                  <c:v>43921</c:v>
                </c:pt>
                <c:pt idx="123">
                  <c:v>43951</c:v>
                </c:pt>
                <c:pt idx="124">
                  <c:v>43980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44134</c:v>
                </c:pt>
                <c:pt idx="130">
                  <c:v>44165</c:v>
                </c:pt>
                <c:pt idx="131">
                  <c:v>44196</c:v>
                </c:pt>
              </c:numCache>
            </c:numRef>
          </c:cat>
          <c:val>
            <c:numRef>
              <c:f>'Graf 3 + 4'!$N$19:$N$150</c:f>
              <c:numCache>
                <c:formatCode>General</c:formatCode>
                <c:ptCount val="132"/>
                <c:pt idx="93">
                  <c:v>50.17</c:v>
                </c:pt>
                <c:pt idx="94">
                  <c:v>50</c:v>
                </c:pt>
                <c:pt idx="95">
                  <c:v>49.97</c:v>
                </c:pt>
                <c:pt idx="96">
                  <c:v>50.02</c:v>
                </c:pt>
                <c:pt idx="97">
                  <c:v>50.1</c:v>
                </c:pt>
                <c:pt idx="98">
                  <c:v>50.19</c:v>
                </c:pt>
                <c:pt idx="99">
                  <c:v>50.29</c:v>
                </c:pt>
                <c:pt idx="100">
                  <c:v>50.4</c:v>
                </c:pt>
                <c:pt idx="101">
                  <c:v>50.5</c:v>
                </c:pt>
                <c:pt idx="102">
                  <c:v>50.61</c:v>
                </c:pt>
                <c:pt idx="103">
                  <c:v>50.69</c:v>
                </c:pt>
                <c:pt idx="104">
                  <c:v>50.74</c:v>
                </c:pt>
                <c:pt idx="105">
                  <c:v>50.79</c:v>
                </c:pt>
                <c:pt idx="106">
                  <c:v>50.83</c:v>
                </c:pt>
                <c:pt idx="107">
                  <c:v>50.85</c:v>
                </c:pt>
                <c:pt idx="108">
                  <c:v>50.92</c:v>
                </c:pt>
                <c:pt idx="109">
                  <c:v>51</c:v>
                </c:pt>
                <c:pt idx="110">
                  <c:v>51.08</c:v>
                </c:pt>
                <c:pt idx="111">
                  <c:v>51.19</c:v>
                </c:pt>
                <c:pt idx="112">
                  <c:v>51.26</c:v>
                </c:pt>
                <c:pt idx="113">
                  <c:v>51.3</c:v>
                </c:pt>
                <c:pt idx="114">
                  <c:v>51.42</c:v>
                </c:pt>
                <c:pt idx="115">
                  <c:v>51.51</c:v>
                </c:pt>
                <c:pt idx="116">
                  <c:v>51.6</c:v>
                </c:pt>
                <c:pt idx="117">
                  <c:v>51.67</c:v>
                </c:pt>
                <c:pt idx="118">
                  <c:v>51.69</c:v>
                </c:pt>
                <c:pt idx="119">
                  <c:v>51.73</c:v>
                </c:pt>
                <c:pt idx="120">
                  <c:v>51.84</c:v>
                </c:pt>
                <c:pt idx="121">
                  <c:v>51.94</c:v>
                </c:pt>
                <c:pt idx="122">
                  <c:v>52.04</c:v>
                </c:pt>
                <c:pt idx="123">
                  <c:v>52.15</c:v>
                </c:pt>
                <c:pt idx="124">
                  <c:v>52.23</c:v>
                </c:pt>
                <c:pt idx="125">
                  <c:v>52.32</c:v>
                </c:pt>
                <c:pt idx="126">
                  <c:v>52.43</c:v>
                </c:pt>
                <c:pt idx="127">
                  <c:v>52.5</c:v>
                </c:pt>
                <c:pt idx="128">
                  <c:v>52.58</c:v>
                </c:pt>
                <c:pt idx="129">
                  <c:v>52.64</c:v>
                </c:pt>
                <c:pt idx="130">
                  <c:v>52.68</c:v>
                </c:pt>
                <c:pt idx="131">
                  <c:v>52.74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7109168"/>
        <c:axId val="29710956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'Graf 3 + 4'!#REF!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>
                    <a:solidFill>
                      <a:srgbClr val="C6D9F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'Graf 3 + 4'!$I$19:$I$150</c15:sqref>
                        </c15:formulaRef>
                      </c:ext>
                    </c:extLst>
                    <c:numCache>
                      <c:formatCode>m/d/yyyy</c:formatCode>
                      <c:ptCount val="132"/>
                      <c:pt idx="0">
                        <c:v>40209</c:v>
                      </c:pt>
                      <c:pt idx="1">
                        <c:v>40235</c:v>
                      </c:pt>
                      <c:pt idx="2">
                        <c:v>40268</c:v>
                      </c:pt>
                      <c:pt idx="3">
                        <c:v>40298</c:v>
                      </c:pt>
                      <c:pt idx="4">
                        <c:v>40329</c:v>
                      </c:pt>
                      <c:pt idx="5">
                        <c:v>40359</c:v>
                      </c:pt>
                      <c:pt idx="6">
                        <c:v>40389</c:v>
                      </c:pt>
                      <c:pt idx="7">
                        <c:v>40421</c:v>
                      </c:pt>
                      <c:pt idx="8">
                        <c:v>40451</c:v>
                      </c:pt>
                      <c:pt idx="9">
                        <c:v>40480</c:v>
                      </c:pt>
                      <c:pt idx="10">
                        <c:v>40512</c:v>
                      </c:pt>
                      <c:pt idx="11">
                        <c:v>40543</c:v>
                      </c:pt>
                      <c:pt idx="12">
                        <c:v>40574</c:v>
                      </c:pt>
                      <c:pt idx="13">
                        <c:v>40602</c:v>
                      </c:pt>
                      <c:pt idx="14">
                        <c:v>40633</c:v>
                      </c:pt>
                      <c:pt idx="15">
                        <c:v>40662</c:v>
                      </c:pt>
                      <c:pt idx="16">
                        <c:v>40694</c:v>
                      </c:pt>
                      <c:pt idx="17">
                        <c:v>40724</c:v>
                      </c:pt>
                      <c:pt idx="18">
                        <c:v>40753</c:v>
                      </c:pt>
                      <c:pt idx="19">
                        <c:v>40786</c:v>
                      </c:pt>
                      <c:pt idx="20">
                        <c:v>40816</c:v>
                      </c:pt>
                      <c:pt idx="21">
                        <c:v>40847</c:v>
                      </c:pt>
                      <c:pt idx="22">
                        <c:v>40877</c:v>
                      </c:pt>
                      <c:pt idx="23">
                        <c:v>40907</c:v>
                      </c:pt>
                      <c:pt idx="24">
                        <c:v>40939</c:v>
                      </c:pt>
                      <c:pt idx="25">
                        <c:v>40968</c:v>
                      </c:pt>
                      <c:pt idx="26">
                        <c:v>40998</c:v>
                      </c:pt>
                      <c:pt idx="27">
                        <c:v>41029</c:v>
                      </c:pt>
                      <c:pt idx="28">
                        <c:v>41060</c:v>
                      </c:pt>
                      <c:pt idx="29">
                        <c:v>41089</c:v>
                      </c:pt>
                      <c:pt idx="30">
                        <c:v>41121</c:v>
                      </c:pt>
                      <c:pt idx="31">
                        <c:v>41152</c:v>
                      </c:pt>
                      <c:pt idx="32">
                        <c:v>41180</c:v>
                      </c:pt>
                      <c:pt idx="33">
                        <c:v>41213</c:v>
                      </c:pt>
                      <c:pt idx="34">
                        <c:v>41243</c:v>
                      </c:pt>
                      <c:pt idx="35">
                        <c:v>41274</c:v>
                      </c:pt>
                      <c:pt idx="36">
                        <c:v>41305</c:v>
                      </c:pt>
                      <c:pt idx="37">
                        <c:v>41333</c:v>
                      </c:pt>
                      <c:pt idx="38">
                        <c:v>41362</c:v>
                      </c:pt>
                      <c:pt idx="39">
                        <c:v>41394</c:v>
                      </c:pt>
                      <c:pt idx="40">
                        <c:v>41425</c:v>
                      </c:pt>
                      <c:pt idx="41">
                        <c:v>41453</c:v>
                      </c:pt>
                      <c:pt idx="42">
                        <c:v>41486</c:v>
                      </c:pt>
                      <c:pt idx="43">
                        <c:v>41516</c:v>
                      </c:pt>
                      <c:pt idx="44">
                        <c:v>41547</c:v>
                      </c:pt>
                      <c:pt idx="45">
                        <c:v>41578</c:v>
                      </c:pt>
                      <c:pt idx="46">
                        <c:v>41607</c:v>
                      </c:pt>
                      <c:pt idx="47">
                        <c:v>41639</c:v>
                      </c:pt>
                      <c:pt idx="48">
                        <c:v>41670</c:v>
                      </c:pt>
                      <c:pt idx="49">
                        <c:v>41698</c:v>
                      </c:pt>
                      <c:pt idx="50">
                        <c:v>41729</c:v>
                      </c:pt>
                      <c:pt idx="51">
                        <c:v>41759</c:v>
                      </c:pt>
                      <c:pt idx="52">
                        <c:v>41789</c:v>
                      </c:pt>
                      <c:pt idx="53">
                        <c:v>41820</c:v>
                      </c:pt>
                      <c:pt idx="54">
                        <c:v>41851</c:v>
                      </c:pt>
                      <c:pt idx="55">
                        <c:v>41880</c:v>
                      </c:pt>
                      <c:pt idx="56">
                        <c:v>41912</c:v>
                      </c:pt>
                      <c:pt idx="57">
                        <c:v>41943</c:v>
                      </c:pt>
                      <c:pt idx="58">
                        <c:v>41971</c:v>
                      </c:pt>
                      <c:pt idx="59">
                        <c:v>42004</c:v>
                      </c:pt>
                      <c:pt idx="60">
                        <c:v>42034</c:v>
                      </c:pt>
                      <c:pt idx="61">
                        <c:v>42062</c:v>
                      </c:pt>
                      <c:pt idx="62">
                        <c:v>42094</c:v>
                      </c:pt>
                      <c:pt idx="63">
                        <c:v>42124</c:v>
                      </c:pt>
                      <c:pt idx="64">
                        <c:v>42153</c:v>
                      </c:pt>
                      <c:pt idx="65">
                        <c:v>42185</c:v>
                      </c:pt>
                      <c:pt idx="66">
                        <c:v>42216</c:v>
                      </c:pt>
                      <c:pt idx="67">
                        <c:v>42247</c:v>
                      </c:pt>
                      <c:pt idx="68">
                        <c:v>42277</c:v>
                      </c:pt>
                      <c:pt idx="69">
                        <c:v>42307</c:v>
                      </c:pt>
                      <c:pt idx="70">
                        <c:v>42338</c:v>
                      </c:pt>
                      <c:pt idx="71">
                        <c:v>42369</c:v>
                      </c:pt>
                      <c:pt idx="72">
                        <c:v>42398</c:v>
                      </c:pt>
                      <c:pt idx="73">
                        <c:v>42429</c:v>
                      </c:pt>
                      <c:pt idx="74">
                        <c:v>42460</c:v>
                      </c:pt>
                      <c:pt idx="75">
                        <c:v>42489</c:v>
                      </c:pt>
                      <c:pt idx="76">
                        <c:v>42521</c:v>
                      </c:pt>
                      <c:pt idx="77">
                        <c:v>42551</c:v>
                      </c:pt>
                      <c:pt idx="78">
                        <c:v>42580</c:v>
                      </c:pt>
                      <c:pt idx="79">
                        <c:v>42613</c:v>
                      </c:pt>
                      <c:pt idx="80">
                        <c:v>42643</c:v>
                      </c:pt>
                      <c:pt idx="81">
                        <c:v>42674</c:v>
                      </c:pt>
                      <c:pt idx="82">
                        <c:v>42704</c:v>
                      </c:pt>
                      <c:pt idx="83">
                        <c:v>42734</c:v>
                      </c:pt>
                      <c:pt idx="84">
                        <c:v>42766</c:v>
                      </c:pt>
                      <c:pt idx="85">
                        <c:v>42794</c:v>
                      </c:pt>
                      <c:pt idx="86">
                        <c:v>42825</c:v>
                      </c:pt>
                      <c:pt idx="87">
                        <c:v>42853</c:v>
                      </c:pt>
                      <c:pt idx="88">
                        <c:v>42886</c:v>
                      </c:pt>
                      <c:pt idx="89">
                        <c:v>42916</c:v>
                      </c:pt>
                      <c:pt idx="90">
                        <c:v>42947</c:v>
                      </c:pt>
                      <c:pt idx="91">
                        <c:v>42978</c:v>
                      </c:pt>
                      <c:pt idx="92">
                        <c:v>43008</c:v>
                      </c:pt>
                      <c:pt idx="93">
                        <c:v>43038</c:v>
                      </c:pt>
                      <c:pt idx="94">
                        <c:v>43069</c:v>
                      </c:pt>
                      <c:pt idx="95">
                        <c:v>43100</c:v>
                      </c:pt>
                      <c:pt idx="96">
                        <c:v>43130</c:v>
                      </c:pt>
                      <c:pt idx="97">
                        <c:v>43158</c:v>
                      </c:pt>
                      <c:pt idx="98">
                        <c:v>43190</c:v>
                      </c:pt>
                      <c:pt idx="99">
                        <c:v>43220</c:v>
                      </c:pt>
                      <c:pt idx="100">
                        <c:v>43249</c:v>
                      </c:pt>
                      <c:pt idx="101">
                        <c:v>43281</c:v>
                      </c:pt>
                      <c:pt idx="102">
                        <c:v>43312</c:v>
                      </c:pt>
                      <c:pt idx="103">
                        <c:v>43343</c:v>
                      </c:pt>
                      <c:pt idx="104">
                        <c:v>43373</c:v>
                      </c:pt>
                      <c:pt idx="105">
                        <c:v>43403</c:v>
                      </c:pt>
                      <c:pt idx="106">
                        <c:v>43434</c:v>
                      </c:pt>
                      <c:pt idx="107">
                        <c:v>43465</c:v>
                      </c:pt>
                      <c:pt idx="108">
                        <c:v>43495</c:v>
                      </c:pt>
                      <c:pt idx="109">
                        <c:v>43523</c:v>
                      </c:pt>
                      <c:pt idx="110">
                        <c:v>43555</c:v>
                      </c:pt>
                      <c:pt idx="111">
                        <c:v>43585</c:v>
                      </c:pt>
                      <c:pt idx="112">
                        <c:v>43614</c:v>
                      </c:pt>
                      <c:pt idx="113">
                        <c:v>43646</c:v>
                      </c:pt>
                      <c:pt idx="114">
                        <c:v>43677</c:v>
                      </c:pt>
                      <c:pt idx="115">
                        <c:v>43708</c:v>
                      </c:pt>
                      <c:pt idx="116">
                        <c:v>43738</c:v>
                      </c:pt>
                      <c:pt idx="117">
                        <c:v>43768</c:v>
                      </c:pt>
                      <c:pt idx="118">
                        <c:v>43799</c:v>
                      </c:pt>
                      <c:pt idx="119">
                        <c:v>43830</c:v>
                      </c:pt>
                      <c:pt idx="120">
                        <c:v>43860</c:v>
                      </c:pt>
                      <c:pt idx="121">
                        <c:v>43888</c:v>
                      </c:pt>
                      <c:pt idx="122">
                        <c:v>43921</c:v>
                      </c:pt>
                      <c:pt idx="123">
                        <c:v>43951</c:v>
                      </c:pt>
                      <c:pt idx="124">
                        <c:v>43980</c:v>
                      </c:pt>
                      <c:pt idx="125">
                        <c:v>44012</c:v>
                      </c:pt>
                      <c:pt idx="126">
                        <c:v>44043</c:v>
                      </c:pt>
                      <c:pt idx="127">
                        <c:v>44074</c:v>
                      </c:pt>
                      <c:pt idx="128">
                        <c:v>44104</c:v>
                      </c:pt>
                      <c:pt idx="129">
                        <c:v>44134</c:v>
                      </c:pt>
                      <c:pt idx="130">
                        <c:v>44165</c:v>
                      </c:pt>
                      <c:pt idx="131">
                        <c:v>44196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 3 + 4'!#REF!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 + 4'!$K$18</c15:sqref>
                        </c15:formulaRef>
                      </c:ext>
                    </c:extLst>
                    <c:strCache>
                      <c:ptCount val="1"/>
                      <c:pt idx="0">
                        <c:v>prognóza 8:2016</c:v>
                      </c:pt>
                    </c:strCache>
                  </c:strRef>
                </c:tx>
                <c:spPr>
                  <a:ln w="19050" cap="rnd">
                    <a:solidFill>
                      <a:srgbClr val="7F7F7F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 + 4'!$I$19:$I$150</c15:sqref>
                        </c15:formulaRef>
                      </c:ext>
                    </c:extLst>
                    <c:numCache>
                      <c:formatCode>m/d/yyyy</c:formatCode>
                      <c:ptCount val="132"/>
                      <c:pt idx="0">
                        <c:v>40209</c:v>
                      </c:pt>
                      <c:pt idx="1">
                        <c:v>40235</c:v>
                      </c:pt>
                      <c:pt idx="2">
                        <c:v>40268</c:v>
                      </c:pt>
                      <c:pt idx="3">
                        <c:v>40298</c:v>
                      </c:pt>
                      <c:pt idx="4">
                        <c:v>40329</c:v>
                      </c:pt>
                      <c:pt idx="5">
                        <c:v>40359</c:v>
                      </c:pt>
                      <c:pt idx="6">
                        <c:v>40389</c:v>
                      </c:pt>
                      <c:pt idx="7">
                        <c:v>40421</c:v>
                      </c:pt>
                      <c:pt idx="8">
                        <c:v>40451</c:v>
                      </c:pt>
                      <c:pt idx="9">
                        <c:v>40480</c:v>
                      </c:pt>
                      <c:pt idx="10">
                        <c:v>40512</c:v>
                      </c:pt>
                      <c:pt idx="11">
                        <c:v>40543</c:v>
                      </c:pt>
                      <c:pt idx="12">
                        <c:v>40574</c:v>
                      </c:pt>
                      <c:pt idx="13">
                        <c:v>40602</c:v>
                      </c:pt>
                      <c:pt idx="14">
                        <c:v>40633</c:v>
                      </c:pt>
                      <c:pt idx="15">
                        <c:v>40662</c:v>
                      </c:pt>
                      <c:pt idx="16">
                        <c:v>40694</c:v>
                      </c:pt>
                      <c:pt idx="17">
                        <c:v>40724</c:v>
                      </c:pt>
                      <c:pt idx="18">
                        <c:v>40753</c:v>
                      </c:pt>
                      <c:pt idx="19">
                        <c:v>40786</c:v>
                      </c:pt>
                      <c:pt idx="20">
                        <c:v>40816</c:v>
                      </c:pt>
                      <c:pt idx="21">
                        <c:v>40847</c:v>
                      </c:pt>
                      <c:pt idx="22">
                        <c:v>40877</c:v>
                      </c:pt>
                      <c:pt idx="23">
                        <c:v>40907</c:v>
                      </c:pt>
                      <c:pt idx="24">
                        <c:v>40939</c:v>
                      </c:pt>
                      <c:pt idx="25">
                        <c:v>40968</c:v>
                      </c:pt>
                      <c:pt idx="26">
                        <c:v>40998</c:v>
                      </c:pt>
                      <c:pt idx="27">
                        <c:v>41029</c:v>
                      </c:pt>
                      <c:pt idx="28">
                        <c:v>41060</c:v>
                      </c:pt>
                      <c:pt idx="29">
                        <c:v>41089</c:v>
                      </c:pt>
                      <c:pt idx="30">
                        <c:v>41121</c:v>
                      </c:pt>
                      <c:pt idx="31">
                        <c:v>41152</c:v>
                      </c:pt>
                      <c:pt idx="32">
                        <c:v>41180</c:v>
                      </c:pt>
                      <c:pt idx="33">
                        <c:v>41213</c:v>
                      </c:pt>
                      <c:pt idx="34">
                        <c:v>41243</c:v>
                      </c:pt>
                      <c:pt idx="35">
                        <c:v>41274</c:v>
                      </c:pt>
                      <c:pt idx="36">
                        <c:v>41305</c:v>
                      </c:pt>
                      <c:pt idx="37">
                        <c:v>41333</c:v>
                      </c:pt>
                      <c:pt idx="38">
                        <c:v>41362</c:v>
                      </c:pt>
                      <c:pt idx="39">
                        <c:v>41394</c:v>
                      </c:pt>
                      <c:pt idx="40">
                        <c:v>41425</c:v>
                      </c:pt>
                      <c:pt idx="41">
                        <c:v>41453</c:v>
                      </c:pt>
                      <c:pt idx="42">
                        <c:v>41486</c:v>
                      </c:pt>
                      <c:pt idx="43">
                        <c:v>41516</c:v>
                      </c:pt>
                      <c:pt idx="44">
                        <c:v>41547</c:v>
                      </c:pt>
                      <c:pt idx="45">
                        <c:v>41578</c:v>
                      </c:pt>
                      <c:pt idx="46">
                        <c:v>41607</c:v>
                      </c:pt>
                      <c:pt idx="47">
                        <c:v>41639</c:v>
                      </c:pt>
                      <c:pt idx="48">
                        <c:v>41670</c:v>
                      </c:pt>
                      <c:pt idx="49">
                        <c:v>41698</c:v>
                      </c:pt>
                      <c:pt idx="50">
                        <c:v>41729</c:v>
                      </c:pt>
                      <c:pt idx="51">
                        <c:v>41759</c:v>
                      </c:pt>
                      <c:pt idx="52">
                        <c:v>41789</c:v>
                      </c:pt>
                      <c:pt idx="53">
                        <c:v>41820</c:v>
                      </c:pt>
                      <c:pt idx="54">
                        <c:v>41851</c:v>
                      </c:pt>
                      <c:pt idx="55">
                        <c:v>41880</c:v>
                      </c:pt>
                      <c:pt idx="56">
                        <c:v>41912</c:v>
                      </c:pt>
                      <c:pt idx="57">
                        <c:v>41943</c:v>
                      </c:pt>
                      <c:pt idx="58">
                        <c:v>41971</c:v>
                      </c:pt>
                      <c:pt idx="59">
                        <c:v>42004</c:v>
                      </c:pt>
                      <c:pt idx="60">
                        <c:v>42034</c:v>
                      </c:pt>
                      <c:pt idx="61">
                        <c:v>42062</c:v>
                      </c:pt>
                      <c:pt idx="62">
                        <c:v>42094</c:v>
                      </c:pt>
                      <c:pt idx="63">
                        <c:v>42124</c:v>
                      </c:pt>
                      <c:pt idx="64">
                        <c:v>42153</c:v>
                      </c:pt>
                      <c:pt idx="65">
                        <c:v>42185</c:v>
                      </c:pt>
                      <c:pt idx="66">
                        <c:v>42216</c:v>
                      </c:pt>
                      <c:pt idx="67">
                        <c:v>42247</c:v>
                      </c:pt>
                      <c:pt idx="68">
                        <c:v>42277</c:v>
                      </c:pt>
                      <c:pt idx="69">
                        <c:v>42307</c:v>
                      </c:pt>
                      <c:pt idx="70">
                        <c:v>42338</c:v>
                      </c:pt>
                      <c:pt idx="71">
                        <c:v>42369</c:v>
                      </c:pt>
                      <c:pt idx="72">
                        <c:v>42398</c:v>
                      </c:pt>
                      <c:pt idx="73">
                        <c:v>42429</c:v>
                      </c:pt>
                      <c:pt idx="74">
                        <c:v>42460</c:v>
                      </c:pt>
                      <c:pt idx="75">
                        <c:v>42489</c:v>
                      </c:pt>
                      <c:pt idx="76">
                        <c:v>42521</c:v>
                      </c:pt>
                      <c:pt idx="77">
                        <c:v>42551</c:v>
                      </c:pt>
                      <c:pt idx="78">
                        <c:v>42580</c:v>
                      </c:pt>
                      <c:pt idx="79">
                        <c:v>42613</c:v>
                      </c:pt>
                      <c:pt idx="80">
                        <c:v>42643</c:v>
                      </c:pt>
                      <c:pt idx="81">
                        <c:v>42674</c:v>
                      </c:pt>
                      <c:pt idx="82">
                        <c:v>42704</c:v>
                      </c:pt>
                      <c:pt idx="83">
                        <c:v>42734</c:v>
                      </c:pt>
                      <c:pt idx="84">
                        <c:v>42766</c:v>
                      </c:pt>
                      <c:pt idx="85">
                        <c:v>42794</c:v>
                      </c:pt>
                      <c:pt idx="86">
                        <c:v>42825</c:v>
                      </c:pt>
                      <c:pt idx="87">
                        <c:v>42853</c:v>
                      </c:pt>
                      <c:pt idx="88">
                        <c:v>42886</c:v>
                      </c:pt>
                      <c:pt idx="89">
                        <c:v>42916</c:v>
                      </c:pt>
                      <c:pt idx="90">
                        <c:v>42947</c:v>
                      </c:pt>
                      <c:pt idx="91">
                        <c:v>42978</c:v>
                      </c:pt>
                      <c:pt idx="92">
                        <c:v>43008</c:v>
                      </c:pt>
                      <c:pt idx="93">
                        <c:v>43038</c:v>
                      </c:pt>
                      <c:pt idx="94">
                        <c:v>43069</c:v>
                      </c:pt>
                      <c:pt idx="95">
                        <c:v>43100</c:v>
                      </c:pt>
                      <c:pt idx="96">
                        <c:v>43130</c:v>
                      </c:pt>
                      <c:pt idx="97">
                        <c:v>43158</c:v>
                      </c:pt>
                      <c:pt idx="98">
                        <c:v>43190</c:v>
                      </c:pt>
                      <c:pt idx="99">
                        <c:v>43220</c:v>
                      </c:pt>
                      <c:pt idx="100">
                        <c:v>43249</c:v>
                      </c:pt>
                      <c:pt idx="101">
                        <c:v>43281</c:v>
                      </c:pt>
                      <c:pt idx="102">
                        <c:v>43312</c:v>
                      </c:pt>
                      <c:pt idx="103">
                        <c:v>43343</c:v>
                      </c:pt>
                      <c:pt idx="104">
                        <c:v>43373</c:v>
                      </c:pt>
                      <c:pt idx="105">
                        <c:v>43403</c:v>
                      </c:pt>
                      <c:pt idx="106">
                        <c:v>43434</c:v>
                      </c:pt>
                      <c:pt idx="107">
                        <c:v>43465</c:v>
                      </c:pt>
                      <c:pt idx="108">
                        <c:v>43495</c:v>
                      </c:pt>
                      <c:pt idx="109">
                        <c:v>43523</c:v>
                      </c:pt>
                      <c:pt idx="110">
                        <c:v>43555</c:v>
                      </c:pt>
                      <c:pt idx="111">
                        <c:v>43585</c:v>
                      </c:pt>
                      <c:pt idx="112">
                        <c:v>43614</c:v>
                      </c:pt>
                      <c:pt idx="113">
                        <c:v>43646</c:v>
                      </c:pt>
                      <c:pt idx="114">
                        <c:v>43677</c:v>
                      </c:pt>
                      <c:pt idx="115">
                        <c:v>43708</c:v>
                      </c:pt>
                      <c:pt idx="116">
                        <c:v>43738</c:v>
                      </c:pt>
                      <c:pt idx="117">
                        <c:v>43768</c:v>
                      </c:pt>
                      <c:pt idx="118">
                        <c:v>43799</c:v>
                      </c:pt>
                      <c:pt idx="119">
                        <c:v>43830</c:v>
                      </c:pt>
                      <c:pt idx="120">
                        <c:v>43860</c:v>
                      </c:pt>
                      <c:pt idx="121">
                        <c:v>43888</c:v>
                      </c:pt>
                      <c:pt idx="122">
                        <c:v>43921</c:v>
                      </c:pt>
                      <c:pt idx="123">
                        <c:v>43951</c:v>
                      </c:pt>
                      <c:pt idx="124">
                        <c:v>43980</c:v>
                      </c:pt>
                      <c:pt idx="125">
                        <c:v>44012</c:v>
                      </c:pt>
                      <c:pt idx="126">
                        <c:v>44043</c:v>
                      </c:pt>
                      <c:pt idx="127">
                        <c:v>44074</c:v>
                      </c:pt>
                      <c:pt idx="128">
                        <c:v>44104</c:v>
                      </c:pt>
                      <c:pt idx="129">
                        <c:v>44134</c:v>
                      </c:pt>
                      <c:pt idx="130">
                        <c:v>44165</c:v>
                      </c:pt>
                      <c:pt idx="131">
                        <c:v>44196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 + 4'!$K$19:$K$58</c15:sqref>
                        </c15:formulaRef>
                      </c:ext>
                    </c:extLst>
                    <c:numCache>
                      <c:formatCode>General</c:formatCode>
                      <c:ptCount val="40"/>
                    </c:numCache>
                  </c:numRef>
                </c:val>
                <c:smooth val="0"/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 + 4'!$L$18</c15:sqref>
                        </c15:formulaRef>
                      </c:ext>
                    </c:extLst>
                    <c:strCache>
                      <c:ptCount val="1"/>
                      <c:pt idx="0">
                        <c:v>prognóza 1:2017</c:v>
                      </c:pt>
                    </c:strCache>
                  </c:strRef>
                </c:tx>
                <c:spPr>
                  <a:ln w="19050" cap="rnd">
                    <a:solidFill>
                      <a:srgbClr val="7030A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 + 4'!$I$19:$I$150</c15:sqref>
                        </c15:formulaRef>
                      </c:ext>
                    </c:extLst>
                    <c:numCache>
                      <c:formatCode>m/d/yyyy</c:formatCode>
                      <c:ptCount val="132"/>
                      <c:pt idx="0">
                        <c:v>40209</c:v>
                      </c:pt>
                      <c:pt idx="1">
                        <c:v>40235</c:v>
                      </c:pt>
                      <c:pt idx="2">
                        <c:v>40268</c:v>
                      </c:pt>
                      <c:pt idx="3">
                        <c:v>40298</c:v>
                      </c:pt>
                      <c:pt idx="4">
                        <c:v>40329</c:v>
                      </c:pt>
                      <c:pt idx="5">
                        <c:v>40359</c:v>
                      </c:pt>
                      <c:pt idx="6">
                        <c:v>40389</c:v>
                      </c:pt>
                      <c:pt idx="7">
                        <c:v>40421</c:v>
                      </c:pt>
                      <c:pt idx="8">
                        <c:v>40451</c:v>
                      </c:pt>
                      <c:pt idx="9">
                        <c:v>40480</c:v>
                      </c:pt>
                      <c:pt idx="10">
                        <c:v>40512</c:v>
                      </c:pt>
                      <c:pt idx="11">
                        <c:v>40543</c:v>
                      </c:pt>
                      <c:pt idx="12">
                        <c:v>40574</c:v>
                      </c:pt>
                      <c:pt idx="13">
                        <c:v>40602</c:v>
                      </c:pt>
                      <c:pt idx="14">
                        <c:v>40633</c:v>
                      </c:pt>
                      <c:pt idx="15">
                        <c:v>40662</c:v>
                      </c:pt>
                      <c:pt idx="16">
                        <c:v>40694</c:v>
                      </c:pt>
                      <c:pt idx="17">
                        <c:v>40724</c:v>
                      </c:pt>
                      <c:pt idx="18">
                        <c:v>40753</c:v>
                      </c:pt>
                      <c:pt idx="19">
                        <c:v>40786</c:v>
                      </c:pt>
                      <c:pt idx="20">
                        <c:v>40816</c:v>
                      </c:pt>
                      <c:pt idx="21">
                        <c:v>40847</c:v>
                      </c:pt>
                      <c:pt idx="22">
                        <c:v>40877</c:v>
                      </c:pt>
                      <c:pt idx="23">
                        <c:v>40907</c:v>
                      </c:pt>
                      <c:pt idx="24">
                        <c:v>40939</c:v>
                      </c:pt>
                      <c:pt idx="25">
                        <c:v>40968</c:v>
                      </c:pt>
                      <c:pt idx="26">
                        <c:v>40998</c:v>
                      </c:pt>
                      <c:pt idx="27">
                        <c:v>41029</c:v>
                      </c:pt>
                      <c:pt idx="28">
                        <c:v>41060</c:v>
                      </c:pt>
                      <c:pt idx="29">
                        <c:v>41089</c:v>
                      </c:pt>
                      <c:pt idx="30">
                        <c:v>41121</c:v>
                      </c:pt>
                      <c:pt idx="31">
                        <c:v>41152</c:v>
                      </c:pt>
                      <c:pt idx="32">
                        <c:v>41180</c:v>
                      </c:pt>
                      <c:pt idx="33">
                        <c:v>41213</c:v>
                      </c:pt>
                      <c:pt idx="34">
                        <c:v>41243</c:v>
                      </c:pt>
                      <c:pt idx="35">
                        <c:v>41274</c:v>
                      </c:pt>
                      <c:pt idx="36">
                        <c:v>41305</c:v>
                      </c:pt>
                      <c:pt idx="37">
                        <c:v>41333</c:v>
                      </c:pt>
                      <c:pt idx="38">
                        <c:v>41362</c:v>
                      </c:pt>
                      <c:pt idx="39">
                        <c:v>41394</c:v>
                      </c:pt>
                      <c:pt idx="40">
                        <c:v>41425</c:v>
                      </c:pt>
                      <c:pt idx="41">
                        <c:v>41453</c:v>
                      </c:pt>
                      <c:pt idx="42">
                        <c:v>41486</c:v>
                      </c:pt>
                      <c:pt idx="43">
                        <c:v>41516</c:v>
                      </c:pt>
                      <c:pt idx="44">
                        <c:v>41547</c:v>
                      </c:pt>
                      <c:pt idx="45">
                        <c:v>41578</c:v>
                      </c:pt>
                      <c:pt idx="46">
                        <c:v>41607</c:v>
                      </c:pt>
                      <c:pt idx="47">
                        <c:v>41639</c:v>
                      </c:pt>
                      <c:pt idx="48">
                        <c:v>41670</c:v>
                      </c:pt>
                      <c:pt idx="49">
                        <c:v>41698</c:v>
                      </c:pt>
                      <c:pt idx="50">
                        <c:v>41729</c:v>
                      </c:pt>
                      <c:pt idx="51">
                        <c:v>41759</c:v>
                      </c:pt>
                      <c:pt idx="52">
                        <c:v>41789</c:v>
                      </c:pt>
                      <c:pt idx="53">
                        <c:v>41820</c:v>
                      </c:pt>
                      <c:pt idx="54">
                        <c:v>41851</c:v>
                      </c:pt>
                      <c:pt idx="55">
                        <c:v>41880</c:v>
                      </c:pt>
                      <c:pt idx="56">
                        <c:v>41912</c:v>
                      </c:pt>
                      <c:pt idx="57">
                        <c:v>41943</c:v>
                      </c:pt>
                      <c:pt idx="58">
                        <c:v>41971</c:v>
                      </c:pt>
                      <c:pt idx="59">
                        <c:v>42004</c:v>
                      </c:pt>
                      <c:pt idx="60">
                        <c:v>42034</c:v>
                      </c:pt>
                      <c:pt idx="61">
                        <c:v>42062</c:v>
                      </c:pt>
                      <c:pt idx="62">
                        <c:v>42094</c:v>
                      </c:pt>
                      <c:pt idx="63">
                        <c:v>42124</c:v>
                      </c:pt>
                      <c:pt idx="64">
                        <c:v>42153</c:v>
                      </c:pt>
                      <c:pt idx="65">
                        <c:v>42185</c:v>
                      </c:pt>
                      <c:pt idx="66">
                        <c:v>42216</c:v>
                      </c:pt>
                      <c:pt idx="67">
                        <c:v>42247</c:v>
                      </c:pt>
                      <c:pt idx="68">
                        <c:v>42277</c:v>
                      </c:pt>
                      <c:pt idx="69">
                        <c:v>42307</c:v>
                      </c:pt>
                      <c:pt idx="70">
                        <c:v>42338</c:v>
                      </c:pt>
                      <c:pt idx="71">
                        <c:v>42369</c:v>
                      </c:pt>
                      <c:pt idx="72">
                        <c:v>42398</c:v>
                      </c:pt>
                      <c:pt idx="73">
                        <c:v>42429</c:v>
                      </c:pt>
                      <c:pt idx="74">
                        <c:v>42460</c:v>
                      </c:pt>
                      <c:pt idx="75">
                        <c:v>42489</c:v>
                      </c:pt>
                      <c:pt idx="76">
                        <c:v>42521</c:v>
                      </c:pt>
                      <c:pt idx="77">
                        <c:v>42551</c:v>
                      </c:pt>
                      <c:pt idx="78">
                        <c:v>42580</c:v>
                      </c:pt>
                      <c:pt idx="79">
                        <c:v>42613</c:v>
                      </c:pt>
                      <c:pt idx="80">
                        <c:v>42643</c:v>
                      </c:pt>
                      <c:pt idx="81">
                        <c:v>42674</c:v>
                      </c:pt>
                      <c:pt idx="82">
                        <c:v>42704</c:v>
                      </c:pt>
                      <c:pt idx="83">
                        <c:v>42734</c:v>
                      </c:pt>
                      <c:pt idx="84">
                        <c:v>42766</c:v>
                      </c:pt>
                      <c:pt idx="85">
                        <c:v>42794</c:v>
                      </c:pt>
                      <c:pt idx="86">
                        <c:v>42825</c:v>
                      </c:pt>
                      <c:pt idx="87">
                        <c:v>42853</c:v>
                      </c:pt>
                      <c:pt idx="88">
                        <c:v>42886</c:v>
                      </c:pt>
                      <c:pt idx="89">
                        <c:v>42916</c:v>
                      </c:pt>
                      <c:pt idx="90">
                        <c:v>42947</c:v>
                      </c:pt>
                      <c:pt idx="91">
                        <c:v>42978</c:v>
                      </c:pt>
                      <c:pt idx="92">
                        <c:v>43008</c:v>
                      </c:pt>
                      <c:pt idx="93">
                        <c:v>43038</c:v>
                      </c:pt>
                      <c:pt idx="94">
                        <c:v>43069</c:v>
                      </c:pt>
                      <c:pt idx="95">
                        <c:v>43100</c:v>
                      </c:pt>
                      <c:pt idx="96">
                        <c:v>43130</c:v>
                      </c:pt>
                      <c:pt idx="97">
                        <c:v>43158</c:v>
                      </c:pt>
                      <c:pt idx="98">
                        <c:v>43190</c:v>
                      </c:pt>
                      <c:pt idx="99">
                        <c:v>43220</c:v>
                      </c:pt>
                      <c:pt idx="100">
                        <c:v>43249</c:v>
                      </c:pt>
                      <c:pt idx="101">
                        <c:v>43281</c:v>
                      </c:pt>
                      <c:pt idx="102">
                        <c:v>43312</c:v>
                      </c:pt>
                      <c:pt idx="103">
                        <c:v>43343</c:v>
                      </c:pt>
                      <c:pt idx="104">
                        <c:v>43373</c:v>
                      </c:pt>
                      <c:pt idx="105">
                        <c:v>43403</c:v>
                      </c:pt>
                      <c:pt idx="106">
                        <c:v>43434</c:v>
                      </c:pt>
                      <c:pt idx="107">
                        <c:v>43465</c:v>
                      </c:pt>
                      <c:pt idx="108">
                        <c:v>43495</c:v>
                      </c:pt>
                      <c:pt idx="109">
                        <c:v>43523</c:v>
                      </c:pt>
                      <c:pt idx="110">
                        <c:v>43555</c:v>
                      </c:pt>
                      <c:pt idx="111">
                        <c:v>43585</c:v>
                      </c:pt>
                      <c:pt idx="112">
                        <c:v>43614</c:v>
                      </c:pt>
                      <c:pt idx="113">
                        <c:v>43646</c:v>
                      </c:pt>
                      <c:pt idx="114">
                        <c:v>43677</c:v>
                      </c:pt>
                      <c:pt idx="115">
                        <c:v>43708</c:v>
                      </c:pt>
                      <c:pt idx="116">
                        <c:v>43738</c:v>
                      </c:pt>
                      <c:pt idx="117">
                        <c:v>43768</c:v>
                      </c:pt>
                      <c:pt idx="118">
                        <c:v>43799</c:v>
                      </c:pt>
                      <c:pt idx="119">
                        <c:v>43830</c:v>
                      </c:pt>
                      <c:pt idx="120">
                        <c:v>43860</c:v>
                      </c:pt>
                      <c:pt idx="121">
                        <c:v>43888</c:v>
                      </c:pt>
                      <c:pt idx="122">
                        <c:v>43921</c:v>
                      </c:pt>
                      <c:pt idx="123">
                        <c:v>43951</c:v>
                      </c:pt>
                      <c:pt idx="124">
                        <c:v>43980</c:v>
                      </c:pt>
                      <c:pt idx="125">
                        <c:v>44012</c:v>
                      </c:pt>
                      <c:pt idx="126">
                        <c:v>44043</c:v>
                      </c:pt>
                      <c:pt idx="127">
                        <c:v>44074</c:v>
                      </c:pt>
                      <c:pt idx="128">
                        <c:v>44104</c:v>
                      </c:pt>
                      <c:pt idx="129">
                        <c:v>44134</c:v>
                      </c:pt>
                      <c:pt idx="130">
                        <c:v>44165</c:v>
                      </c:pt>
                      <c:pt idx="131">
                        <c:v>44196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3 + 4'!$L$19:$L$58</c15:sqref>
                        </c15:formulaRef>
                      </c:ext>
                    </c:extLst>
                    <c:numCache>
                      <c:formatCode>General</c:formatCode>
                      <c:ptCount val="40"/>
                    </c:numCache>
                  </c:numRef>
                </c:val>
                <c:smooth val="0"/>
              </c15:ser>
            </c15:filteredLineSeries>
          </c:ext>
        </c:extLst>
      </c:lineChart>
      <c:dateAx>
        <c:axId val="297109168"/>
        <c:scaling>
          <c:orientation val="minMax"/>
          <c:max val="44195"/>
          <c:min val="41640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7109560"/>
        <c:crosses val="autoZero"/>
        <c:auto val="1"/>
        <c:lblOffset val="100"/>
        <c:baseTimeUnit val="days"/>
        <c:majorUnit val="1"/>
        <c:majorTimeUnit val="years"/>
        <c:minorUnit val="1"/>
        <c:minorTimeUnit val="months"/>
      </c:dateAx>
      <c:valAx>
        <c:axId val="297109560"/>
        <c:scaling>
          <c:orientation val="minMax"/>
          <c:max val="120"/>
          <c:min val="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9710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6262393384101"/>
          <c:y val="0.13006579715510633"/>
          <c:w val="0.31066775332919011"/>
          <c:h val="0.3062065908428113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'Box 11_Graf 37 + 38'!$B$26</c:f>
              <c:strCache>
                <c:ptCount val="1"/>
                <c:pt idx="0">
                  <c:v>Výdavky 2015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'Box 11_Graf 37 + 38'!$C$25:$AU$25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'Box 11_Graf 37 + 38'!$C$26:$AU$26</c:f>
              <c:numCache>
                <c:formatCode>0.000%</c:formatCode>
                <c:ptCount val="45"/>
                <c:pt idx="0">
                  <c:v>8.7138106549055488E-2</c:v>
                </c:pt>
                <c:pt idx="1">
                  <c:v>8.6433025370603836E-2</c:v>
                </c:pt>
                <c:pt idx="2">
                  <c:v>8.5408516418291419E-2</c:v>
                </c:pt>
                <c:pt idx="3">
                  <c:v>8.4163072406238673E-2</c:v>
                </c:pt>
                <c:pt idx="4">
                  <c:v>8.411548858411691E-2</c:v>
                </c:pt>
                <c:pt idx="5">
                  <c:v>8.3665140339108643E-2</c:v>
                </c:pt>
                <c:pt idx="6">
                  <c:v>8.3483529265742831E-2</c:v>
                </c:pt>
                <c:pt idx="7">
                  <c:v>8.3253025971600156E-2</c:v>
                </c:pt>
                <c:pt idx="8">
                  <c:v>8.2863022471146644E-2</c:v>
                </c:pt>
                <c:pt idx="9">
                  <c:v>8.256530000493506E-2</c:v>
                </c:pt>
                <c:pt idx="10">
                  <c:v>8.1457425735056307E-2</c:v>
                </c:pt>
                <c:pt idx="11">
                  <c:v>8.1225286697118718E-2</c:v>
                </c:pt>
                <c:pt idx="12">
                  <c:v>8.0696476412955867E-2</c:v>
                </c:pt>
                <c:pt idx="13">
                  <c:v>8.0357897753187246E-2</c:v>
                </c:pt>
                <c:pt idx="14">
                  <c:v>8.0013989561639964E-2</c:v>
                </c:pt>
                <c:pt idx="15">
                  <c:v>7.9889659510333291E-2</c:v>
                </c:pt>
                <c:pt idx="16">
                  <c:v>8.0067472390790109E-2</c:v>
                </c:pt>
                <c:pt idx="17">
                  <c:v>7.9694830148649975E-2</c:v>
                </c:pt>
                <c:pt idx="18">
                  <c:v>8.0116168032593804E-2</c:v>
                </c:pt>
                <c:pt idx="19">
                  <c:v>8.0522541207138337E-2</c:v>
                </c:pt>
                <c:pt idx="20">
                  <c:v>8.1165069719844218E-2</c:v>
                </c:pt>
                <c:pt idx="21">
                  <c:v>8.1837460178690147E-2</c:v>
                </c:pt>
                <c:pt idx="22">
                  <c:v>8.2601275073119998E-2</c:v>
                </c:pt>
                <c:pt idx="23">
                  <c:v>8.3503130136252213E-2</c:v>
                </c:pt>
                <c:pt idx="24">
                  <c:v>8.492136711730415E-2</c:v>
                </c:pt>
                <c:pt idx="25">
                  <c:v>8.5366242315261284E-2</c:v>
                </c:pt>
                <c:pt idx="26">
                  <c:v>8.6536499502899905E-2</c:v>
                </c:pt>
                <c:pt idx="27">
                  <c:v>8.7466011696330198E-2</c:v>
                </c:pt>
                <c:pt idx="28">
                  <c:v>8.8627856683267295E-2</c:v>
                </c:pt>
                <c:pt idx="29">
                  <c:v>8.9685095056571212E-2</c:v>
                </c:pt>
                <c:pt idx="30">
                  <c:v>9.0742048809528769E-2</c:v>
                </c:pt>
                <c:pt idx="31">
                  <c:v>9.1885885047023858E-2</c:v>
                </c:pt>
                <c:pt idx="32">
                  <c:v>9.3137560538405856E-2</c:v>
                </c:pt>
                <c:pt idx="33">
                  <c:v>9.4642821829730481E-2</c:v>
                </c:pt>
                <c:pt idx="34">
                  <c:v>9.5100093029205371E-2</c:v>
                </c:pt>
                <c:pt idx="35">
                  <c:v>9.6490634590051971E-2</c:v>
                </c:pt>
                <c:pt idx="36">
                  <c:v>9.741701041750335E-2</c:v>
                </c:pt>
                <c:pt idx="37">
                  <c:v>9.8683176887403204E-2</c:v>
                </c:pt>
                <c:pt idx="38">
                  <c:v>0.10000573082235073</c:v>
                </c:pt>
                <c:pt idx="39">
                  <c:v>0.10144609047995966</c:v>
                </c:pt>
                <c:pt idx="40">
                  <c:v>0.10298720232818449</c:v>
                </c:pt>
                <c:pt idx="41">
                  <c:v>0.10454072870224221</c:v>
                </c:pt>
                <c:pt idx="42">
                  <c:v>0.10481208899967515</c:v>
                </c:pt>
                <c:pt idx="43">
                  <c:v>0.10599831865603974</c:v>
                </c:pt>
                <c:pt idx="44">
                  <c:v>0.10660600719841876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'Box 11_Graf 37 + 38'!$B$27</c:f>
              <c:strCache>
                <c:ptCount val="1"/>
                <c:pt idx="0">
                  <c:v>Príjmy 2015</c:v>
                </c:pt>
              </c:strCache>
            </c:strRef>
          </c:tx>
          <c:marker>
            <c:symbol val="none"/>
          </c:marker>
          <c:cat>
            <c:numRef>
              <c:f>'Box 11_Graf 37 + 38'!$C$25:$AU$25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'Box 11_Graf 37 + 38'!$C$27:$AU$27</c:f>
              <c:numCache>
                <c:formatCode>0.000%</c:formatCode>
                <c:ptCount val="45"/>
                <c:pt idx="0">
                  <c:v>6.0711403582392048E-2</c:v>
                </c:pt>
                <c:pt idx="1">
                  <c:v>5.9916322596213212E-2</c:v>
                </c:pt>
                <c:pt idx="2">
                  <c:v>5.9126589201497902E-2</c:v>
                </c:pt>
                <c:pt idx="3">
                  <c:v>5.8772135654389816E-2</c:v>
                </c:pt>
                <c:pt idx="4">
                  <c:v>5.8394231055381794E-2</c:v>
                </c:pt>
                <c:pt idx="5">
                  <c:v>5.8034383922179675E-2</c:v>
                </c:pt>
                <c:pt idx="6">
                  <c:v>5.7714367632978783E-2</c:v>
                </c:pt>
                <c:pt idx="7">
                  <c:v>5.74139431301686E-2</c:v>
                </c:pt>
                <c:pt idx="8">
                  <c:v>5.719820890456008E-2</c:v>
                </c:pt>
                <c:pt idx="9">
                  <c:v>5.7292742142380684E-2</c:v>
                </c:pt>
                <c:pt idx="10">
                  <c:v>5.7349600269845022E-2</c:v>
                </c:pt>
                <c:pt idx="11">
                  <c:v>5.7468719840253403E-2</c:v>
                </c:pt>
                <c:pt idx="12">
                  <c:v>5.761062650353322E-2</c:v>
                </c:pt>
                <c:pt idx="13">
                  <c:v>5.7761217732421793E-2</c:v>
                </c:pt>
                <c:pt idx="14">
                  <c:v>5.7921382077295337E-2</c:v>
                </c:pt>
                <c:pt idx="15">
                  <c:v>5.8090865420183907E-2</c:v>
                </c:pt>
                <c:pt idx="16">
                  <c:v>5.8232559241194304E-2</c:v>
                </c:pt>
                <c:pt idx="17">
                  <c:v>5.8327066312878054E-2</c:v>
                </c:pt>
                <c:pt idx="18">
                  <c:v>5.8515772125808073E-2</c:v>
                </c:pt>
                <c:pt idx="19">
                  <c:v>5.86824981633879E-2</c:v>
                </c:pt>
                <c:pt idx="20">
                  <c:v>5.8912434807369587E-2</c:v>
                </c:pt>
                <c:pt idx="21">
                  <c:v>5.9129524215731463E-2</c:v>
                </c:pt>
                <c:pt idx="22">
                  <c:v>5.9369738756485102E-2</c:v>
                </c:pt>
                <c:pt idx="23">
                  <c:v>5.9639127025369901E-2</c:v>
                </c:pt>
                <c:pt idx="24">
                  <c:v>5.9835982802796409E-2</c:v>
                </c:pt>
                <c:pt idx="25">
                  <c:v>5.9954654316483155E-2</c:v>
                </c:pt>
                <c:pt idx="26">
                  <c:v>6.021410110140505E-2</c:v>
                </c:pt>
                <c:pt idx="27">
                  <c:v>6.0418878202929412E-2</c:v>
                </c:pt>
                <c:pt idx="28">
                  <c:v>6.0709500255074267E-2</c:v>
                </c:pt>
                <c:pt idx="29">
                  <c:v>6.0955834789917861E-2</c:v>
                </c:pt>
                <c:pt idx="30">
                  <c:v>6.1192321276398232E-2</c:v>
                </c:pt>
                <c:pt idx="31">
                  <c:v>6.1435919310160361E-2</c:v>
                </c:pt>
                <c:pt idx="32">
                  <c:v>6.1675272535319535E-2</c:v>
                </c:pt>
                <c:pt idx="33">
                  <c:v>6.1844878491115647E-2</c:v>
                </c:pt>
                <c:pt idx="34">
                  <c:v>6.1937507923711964E-2</c:v>
                </c:pt>
                <c:pt idx="35">
                  <c:v>6.2099298036041854E-2</c:v>
                </c:pt>
                <c:pt idx="36">
                  <c:v>6.2275267374738395E-2</c:v>
                </c:pt>
                <c:pt idx="37">
                  <c:v>6.2414894301035681E-2</c:v>
                </c:pt>
                <c:pt idx="38">
                  <c:v>6.2518442831229495E-2</c:v>
                </c:pt>
                <c:pt idx="39">
                  <c:v>6.2619650709201932E-2</c:v>
                </c:pt>
                <c:pt idx="40">
                  <c:v>6.268296781737806E-2</c:v>
                </c:pt>
                <c:pt idx="41">
                  <c:v>6.2715774160936252E-2</c:v>
                </c:pt>
                <c:pt idx="42">
                  <c:v>6.2721001065119297E-2</c:v>
                </c:pt>
                <c:pt idx="43">
                  <c:v>6.2761700082919675E-2</c:v>
                </c:pt>
                <c:pt idx="44">
                  <c:v>6.2788533419696119E-2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'Box 11_Graf 37 + 38'!$B$28</c:f>
              <c:strCache>
                <c:ptCount val="1"/>
                <c:pt idx="0">
                  <c:v>Výdavky 2018</c:v>
                </c:pt>
              </c:strCache>
            </c:strRef>
          </c:tx>
          <c:marker>
            <c:symbol val="none"/>
          </c:marker>
          <c:cat>
            <c:numRef>
              <c:f>'Box 11_Graf 37 + 38'!$C$25:$AU$25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'Box 11_Graf 37 + 38'!$C$28:$AU$28</c:f>
              <c:numCache>
                <c:formatCode>0.0%</c:formatCode>
                <c:ptCount val="45"/>
                <c:pt idx="0">
                  <c:v>8.5871481888352155E-2</c:v>
                </c:pt>
                <c:pt idx="1">
                  <c:v>8.6677305100869809E-2</c:v>
                </c:pt>
                <c:pt idx="2">
                  <c:v>8.520475475949027E-2</c:v>
                </c:pt>
                <c:pt idx="3">
                  <c:v>8.3954429560400681E-2</c:v>
                </c:pt>
                <c:pt idx="4">
                  <c:v>8.2606795942409814E-2</c:v>
                </c:pt>
                <c:pt idx="5">
                  <c:v>8.1502444224115178E-2</c:v>
                </c:pt>
                <c:pt idx="6">
                  <c:v>8.0407518364979169E-2</c:v>
                </c:pt>
                <c:pt idx="7">
                  <c:v>7.8927445356057738E-2</c:v>
                </c:pt>
                <c:pt idx="8">
                  <c:v>7.8341249817429764E-2</c:v>
                </c:pt>
                <c:pt idx="9">
                  <c:v>7.7810968570015668E-2</c:v>
                </c:pt>
                <c:pt idx="10">
                  <c:v>7.7432845938762332E-2</c:v>
                </c:pt>
                <c:pt idx="11">
                  <c:v>7.7106868563674644E-2</c:v>
                </c:pt>
                <c:pt idx="12">
                  <c:v>7.7021917462112691E-2</c:v>
                </c:pt>
                <c:pt idx="13">
                  <c:v>7.6944386737856349E-2</c:v>
                </c:pt>
                <c:pt idx="14">
                  <c:v>7.6419553865300083E-2</c:v>
                </c:pt>
                <c:pt idx="15">
                  <c:v>7.5973153306615748E-2</c:v>
                </c:pt>
                <c:pt idx="16">
                  <c:v>7.5797821707383736E-2</c:v>
                </c:pt>
                <c:pt idx="17">
                  <c:v>7.56906681855853E-2</c:v>
                </c:pt>
                <c:pt idx="18">
                  <c:v>7.554121961678939E-2</c:v>
                </c:pt>
                <c:pt idx="19">
                  <c:v>7.5826307151761391E-2</c:v>
                </c:pt>
                <c:pt idx="20">
                  <c:v>7.6293726726426703E-2</c:v>
                </c:pt>
                <c:pt idx="21">
                  <c:v>7.6805361532191141E-2</c:v>
                </c:pt>
                <c:pt idx="22">
                  <c:v>7.6811800544056591E-2</c:v>
                </c:pt>
                <c:pt idx="23">
                  <c:v>7.7433057791686299E-2</c:v>
                </c:pt>
                <c:pt idx="24">
                  <c:v>7.8242739038634643E-2</c:v>
                </c:pt>
                <c:pt idx="25">
                  <c:v>7.9120460652798041E-2</c:v>
                </c:pt>
                <c:pt idx="26">
                  <c:v>7.9805356711749403E-2</c:v>
                </c:pt>
                <c:pt idx="27">
                  <c:v>8.0929679398695664E-2</c:v>
                </c:pt>
                <c:pt idx="28">
                  <c:v>8.2183581607906328E-2</c:v>
                </c:pt>
                <c:pt idx="29">
                  <c:v>8.3462907845251774E-2</c:v>
                </c:pt>
                <c:pt idx="30">
                  <c:v>8.4225390894183128E-2</c:v>
                </c:pt>
                <c:pt idx="31">
                  <c:v>8.5174112043768777E-2</c:v>
                </c:pt>
                <c:pt idx="32">
                  <c:v>8.5969665287297256E-2</c:v>
                </c:pt>
                <c:pt idx="33">
                  <c:v>8.6926106244429535E-2</c:v>
                </c:pt>
                <c:pt idx="34">
                  <c:v>8.7870405674924101E-2</c:v>
                </c:pt>
                <c:pt idx="35">
                  <c:v>8.9120382885227112E-2</c:v>
                </c:pt>
                <c:pt idx="36">
                  <c:v>9.0447875294912092E-2</c:v>
                </c:pt>
                <c:pt idx="37">
                  <c:v>9.162017140967732E-2</c:v>
                </c:pt>
                <c:pt idx="38">
                  <c:v>9.2640334383228884E-2</c:v>
                </c:pt>
                <c:pt idx="39">
                  <c:v>9.3568436496964752E-2</c:v>
                </c:pt>
                <c:pt idx="40">
                  <c:v>9.4725683461378857E-2</c:v>
                </c:pt>
                <c:pt idx="41">
                  <c:v>9.588651921399019E-2</c:v>
                </c:pt>
                <c:pt idx="42">
                  <c:v>9.6973036140939245E-2</c:v>
                </c:pt>
                <c:pt idx="43">
                  <c:v>9.7920190841806698E-2</c:v>
                </c:pt>
                <c:pt idx="44">
                  <c:v>9.8952835873394832E-2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'Box 11_Graf 37 + 38'!$B$29</c:f>
              <c:strCache>
                <c:ptCount val="1"/>
                <c:pt idx="0">
                  <c:v>Príjmy 2018</c:v>
                </c:pt>
              </c:strCache>
            </c:strRef>
          </c:tx>
          <c:marker>
            <c:symbol val="none"/>
          </c:marker>
          <c:cat>
            <c:numRef>
              <c:f>'Box 11_Graf 37 + 38'!$C$25:$AU$25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'Box 11_Graf 37 + 38'!$C$29:$AU$29</c:f>
              <c:numCache>
                <c:formatCode>0.0%</c:formatCode>
                <c:ptCount val="45"/>
                <c:pt idx="0">
                  <c:v>6.9186440834093976E-2</c:v>
                </c:pt>
                <c:pt idx="1">
                  <c:v>6.91424392497519E-2</c:v>
                </c:pt>
                <c:pt idx="2">
                  <c:v>6.8257672087286156E-2</c:v>
                </c:pt>
                <c:pt idx="3">
                  <c:v>6.8041541131014266E-2</c:v>
                </c:pt>
                <c:pt idx="4">
                  <c:v>6.7751786545823131E-2</c:v>
                </c:pt>
                <c:pt idx="5">
                  <c:v>6.7453926915921628E-2</c:v>
                </c:pt>
                <c:pt idx="6">
                  <c:v>6.7001742946343854E-2</c:v>
                </c:pt>
                <c:pt idx="7">
                  <c:v>6.6547417913319432E-2</c:v>
                </c:pt>
                <c:pt idx="8">
                  <c:v>6.6112809825356944E-2</c:v>
                </c:pt>
                <c:pt idx="9">
                  <c:v>6.6061189380120261E-2</c:v>
                </c:pt>
                <c:pt idx="10">
                  <c:v>6.6026721662224119E-2</c:v>
                </c:pt>
                <c:pt idx="11">
                  <c:v>6.6012927802927931E-2</c:v>
                </c:pt>
                <c:pt idx="12">
                  <c:v>6.602331781012323E-2</c:v>
                </c:pt>
                <c:pt idx="13">
                  <c:v>6.6036048443811349E-2</c:v>
                </c:pt>
                <c:pt idx="14">
                  <c:v>6.6057830921007629E-2</c:v>
                </c:pt>
                <c:pt idx="15">
                  <c:v>6.6075252158897216E-2</c:v>
                </c:pt>
                <c:pt idx="16">
                  <c:v>6.611279371690007E-2</c:v>
                </c:pt>
                <c:pt idx="17">
                  <c:v>6.6154344105160495E-2</c:v>
                </c:pt>
                <c:pt idx="18">
                  <c:v>6.6191966071179484E-2</c:v>
                </c:pt>
                <c:pt idx="19">
                  <c:v>6.62592652326955E-2</c:v>
                </c:pt>
                <c:pt idx="20">
                  <c:v>6.6344576170931993E-2</c:v>
                </c:pt>
                <c:pt idx="21">
                  <c:v>6.6438744253569618E-2</c:v>
                </c:pt>
                <c:pt idx="22">
                  <c:v>6.651682128549892E-2</c:v>
                </c:pt>
                <c:pt idx="23">
                  <c:v>6.6636758497044604E-2</c:v>
                </c:pt>
                <c:pt idx="24">
                  <c:v>6.6769520903627172E-2</c:v>
                </c:pt>
                <c:pt idx="25">
                  <c:v>6.6901293444707188E-2</c:v>
                </c:pt>
                <c:pt idx="26">
                  <c:v>6.7013146178084737E-2</c:v>
                </c:pt>
                <c:pt idx="27">
                  <c:v>6.7158208326007982E-2</c:v>
                </c:pt>
                <c:pt idx="28">
                  <c:v>6.7308472434864625E-2</c:v>
                </c:pt>
                <c:pt idx="29">
                  <c:v>6.7452066789932985E-2</c:v>
                </c:pt>
                <c:pt idx="30">
                  <c:v>6.7579828181477203E-2</c:v>
                </c:pt>
                <c:pt idx="31">
                  <c:v>6.7707118271255029E-2</c:v>
                </c:pt>
                <c:pt idx="32">
                  <c:v>6.7821646625493753E-2</c:v>
                </c:pt>
                <c:pt idx="33">
                  <c:v>6.794435468015414E-2</c:v>
                </c:pt>
                <c:pt idx="34">
                  <c:v>6.8053166725964689E-2</c:v>
                </c:pt>
                <c:pt idx="35">
                  <c:v>6.8163731248204615E-2</c:v>
                </c:pt>
                <c:pt idx="36">
                  <c:v>6.8259288846971078E-2</c:v>
                </c:pt>
                <c:pt idx="37">
                  <c:v>6.832358187850536E-2</c:v>
                </c:pt>
                <c:pt idx="38">
                  <c:v>6.8360917471684476E-2</c:v>
                </c:pt>
                <c:pt idx="39">
                  <c:v>6.8407092527135727E-2</c:v>
                </c:pt>
                <c:pt idx="40">
                  <c:v>6.8436414060989631E-2</c:v>
                </c:pt>
                <c:pt idx="41">
                  <c:v>6.8436723780079756E-2</c:v>
                </c:pt>
                <c:pt idx="42">
                  <c:v>6.8418660257394265E-2</c:v>
                </c:pt>
                <c:pt idx="43">
                  <c:v>6.8387169722497629E-2</c:v>
                </c:pt>
                <c:pt idx="44">
                  <c:v>6.8355565420259334E-2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33168"/>
        <c:axId val="305233560"/>
      </c:lineChart>
      <c:catAx>
        <c:axId val="305233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305233560"/>
        <c:crosses val="autoZero"/>
        <c:auto val="1"/>
        <c:lblAlgn val="ctr"/>
        <c:lblOffset val="100"/>
        <c:noMultiLvlLbl val="0"/>
      </c:catAx>
      <c:valAx>
        <c:axId val="305233560"/>
        <c:scaling>
          <c:orientation val="minMax"/>
          <c:min val="5.000000000000001E-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0523316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'Box 11_Graf 37 + 38'!$B$35</c:f>
              <c:strCache>
                <c:ptCount val="1"/>
                <c:pt idx="0">
                  <c:v>Reálny rast HDP, AR 2015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'Box 11_Graf 37 + 38'!$C$34:$AX$34</c:f>
              <c:numCache>
                <c:formatCode>General</c:formatCode>
                <c:ptCount val="4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  <c:pt idx="38">
                  <c:v>2051</c:v>
                </c:pt>
                <c:pt idx="39">
                  <c:v>2052</c:v>
                </c:pt>
                <c:pt idx="40">
                  <c:v>2053</c:v>
                </c:pt>
                <c:pt idx="41">
                  <c:v>2054</c:v>
                </c:pt>
                <c:pt idx="42">
                  <c:v>2055</c:v>
                </c:pt>
                <c:pt idx="43">
                  <c:v>2056</c:v>
                </c:pt>
                <c:pt idx="44">
                  <c:v>2057</c:v>
                </c:pt>
                <c:pt idx="45">
                  <c:v>2058</c:v>
                </c:pt>
                <c:pt idx="46">
                  <c:v>2059</c:v>
                </c:pt>
                <c:pt idx="47">
                  <c:v>2060</c:v>
                </c:pt>
              </c:numCache>
            </c:numRef>
          </c:cat>
          <c:val>
            <c:numRef>
              <c:f>'Box 11_Graf 37 + 38'!$C$35:$AX$35</c:f>
              <c:numCache>
                <c:formatCode>0.0</c:formatCode>
                <c:ptCount val="48"/>
                <c:pt idx="0">
                  <c:v>1.4906579115731011</c:v>
                </c:pt>
                <c:pt idx="1">
                  <c:v>2.5708553468352546</c:v>
                </c:pt>
                <c:pt idx="2">
                  <c:v>3.8310846235940721</c:v>
                </c:pt>
                <c:pt idx="3">
                  <c:v>3.2851495868252423</c:v>
                </c:pt>
                <c:pt idx="4">
                  <c:v>3.0286210728434293</c:v>
                </c:pt>
                <c:pt idx="5">
                  <c:v>3.5948021183181744</c:v>
                </c:pt>
                <c:pt idx="6">
                  <c:v>2.5529034480697765</c:v>
                </c:pt>
                <c:pt idx="7">
                  <c:v>2.4762455895946056</c:v>
                </c:pt>
                <c:pt idx="8">
                  <c:v>2.5920307227492501</c:v>
                </c:pt>
                <c:pt idx="9">
                  <c:v>2.8630266966422013</c:v>
                </c:pt>
                <c:pt idx="10">
                  <c:v>2.8898185203148685</c:v>
                </c:pt>
                <c:pt idx="11">
                  <c:v>2.9233807872740325</c:v>
                </c:pt>
                <c:pt idx="12">
                  <c:v>2.9256135816534856</c:v>
                </c:pt>
                <c:pt idx="13">
                  <c:v>2.9436017336164522</c:v>
                </c:pt>
                <c:pt idx="14">
                  <c:v>2.9382465862146145</c:v>
                </c:pt>
                <c:pt idx="15">
                  <c:v>2.9228904298593528</c:v>
                </c:pt>
                <c:pt idx="16">
                  <c:v>2.8909104537476846</c:v>
                </c:pt>
                <c:pt idx="17">
                  <c:v>2.8443676238187852</c:v>
                </c:pt>
                <c:pt idx="18">
                  <c:v>2.7643357090561058</c:v>
                </c:pt>
                <c:pt idx="19">
                  <c:v>2.6328718328863472</c:v>
                </c:pt>
                <c:pt idx="20">
                  <c:v>2.483558474346645</c:v>
                </c:pt>
                <c:pt idx="21">
                  <c:v>2.3414626923317789</c:v>
                </c:pt>
                <c:pt idx="22">
                  <c:v>2.1849258273755598</c:v>
                </c:pt>
                <c:pt idx="23">
                  <c:v>2.0270279694983531</c:v>
                </c:pt>
                <c:pt idx="24">
                  <c:v>1.9758678345968574</c:v>
                </c:pt>
                <c:pt idx="25">
                  <c:v>1.9287510506634167</c:v>
                </c:pt>
                <c:pt idx="26">
                  <c:v>1.8810272509055581</c:v>
                </c:pt>
                <c:pt idx="27">
                  <c:v>1.7608537923124818</c:v>
                </c:pt>
                <c:pt idx="28">
                  <c:v>1.6497452092690166</c:v>
                </c:pt>
                <c:pt idx="29">
                  <c:v>1.5400017215451292</c:v>
                </c:pt>
                <c:pt idx="30">
                  <c:v>1.4278829645272233</c:v>
                </c:pt>
                <c:pt idx="31">
                  <c:v>1.3160075258151227</c:v>
                </c:pt>
                <c:pt idx="32">
                  <c:v>1.2079541309699446</c:v>
                </c:pt>
                <c:pt idx="33">
                  <c:v>1.198335536550416</c:v>
                </c:pt>
                <c:pt idx="34">
                  <c:v>1.1914676357276068</c:v>
                </c:pt>
                <c:pt idx="35">
                  <c:v>1.1875321366166678</c:v>
                </c:pt>
                <c:pt idx="36">
                  <c:v>1.1862852146104212</c:v>
                </c:pt>
                <c:pt idx="37">
                  <c:v>1.1856960624191664</c:v>
                </c:pt>
                <c:pt idx="38">
                  <c:v>1.1166405933951695</c:v>
                </c:pt>
                <c:pt idx="39">
                  <c:v>1.1093401332041384</c:v>
                </c:pt>
                <c:pt idx="40">
                  <c:v>1.1150565942029294</c:v>
                </c:pt>
                <c:pt idx="41">
                  <c:v>1.1317082227006261</c:v>
                </c:pt>
                <c:pt idx="42">
                  <c:v>1.1493637655310562</c:v>
                </c:pt>
                <c:pt idx="43">
                  <c:v>1.1717730778941489</c:v>
                </c:pt>
                <c:pt idx="44">
                  <c:v>1.1919308956218926</c:v>
                </c:pt>
                <c:pt idx="45">
                  <c:v>1.2173513796400093</c:v>
                </c:pt>
                <c:pt idx="46">
                  <c:v>1.2327042987439216</c:v>
                </c:pt>
                <c:pt idx="47">
                  <c:v>1.2499353669144524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'Box 11_Graf 37 + 38'!$B$36</c:f>
              <c:strCache>
                <c:ptCount val="1"/>
                <c:pt idx="0">
                  <c:v>Reálny rast HDP, AR 2018</c:v>
                </c:pt>
              </c:strCache>
            </c:strRef>
          </c:tx>
          <c:marker>
            <c:symbol val="none"/>
          </c:marker>
          <c:cat>
            <c:numRef>
              <c:f>'Box 11_Graf 37 + 38'!$C$34:$AX$34</c:f>
              <c:numCache>
                <c:formatCode>General</c:formatCode>
                <c:ptCount val="4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  <c:pt idx="38">
                  <c:v>2051</c:v>
                </c:pt>
                <c:pt idx="39">
                  <c:v>2052</c:v>
                </c:pt>
                <c:pt idx="40">
                  <c:v>2053</c:v>
                </c:pt>
                <c:pt idx="41">
                  <c:v>2054</c:v>
                </c:pt>
                <c:pt idx="42">
                  <c:v>2055</c:v>
                </c:pt>
                <c:pt idx="43">
                  <c:v>2056</c:v>
                </c:pt>
                <c:pt idx="44">
                  <c:v>2057</c:v>
                </c:pt>
                <c:pt idx="45">
                  <c:v>2058</c:v>
                </c:pt>
                <c:pt idx="46">
                  <c:v>2059</c:v>
                </c:pt>
                <c:pt idx="47">
                  <c:v>2060</c:v>
                </c:pt>
              </c:numCache>
            </c:numRef>
          </c:cat>
          <c:val>
            <c:numRef>
              <c:f>'Box 11_Graf 37 + 38'!$C$36:$AX$36</c:f>
              <c:numCache>
                <c:formatCode>0.0</c:formatCode>
                <c:ptCount val="48"/>
                <c:pt idx="0">
                  <c:v>0.94082151124590396</c:v>
                </c:pt>
                <c:pt idx="1">
                  <c:v>2.1851989809477335</c:v>
                </c:pt>
                <c:pt idx="2">
                  <c:v>3.0507288432415125</c:v>
                </c:pt>
                <c:pt idx="3">
                  <c:v>3.437666145205065</c:v>
                </c:pt>
                <c:pt idx="4">
                  <c:v>3.4326912772188578</c:v>
                </c:pt>
                <c:pt idx="5">
                  <c:v>3.5491247690438987</c:v>
                </c:pt>
                <c:pt idx="6">
                  <c:v>2.542368539573725</c:v>
                </c:pt>
                <c:pt idx="7">
                  <c:v>2.5939547112274308</c:v>
                </c:pt>
                <c:pt idx="8">
                  <c:v>2.5932707834853908</c:v>
                </c:pt>
                <c:pt idx="9">
                  <c:v>2.5698606108765176</c:v>
                </c:pt>
                <c:pt idx="10">
                  <c:v>2.6161516721099121</c:v>
                </c:pt>
                <c:pt idx="11">
                  <c:v>2.9782504481963312</c:v>
                </c:pt>
                <c:pt idx="12">
                  <c:v>2.9777419231921529</c:v>
                </c:pt>
                <c:pt idx="13">
                  <c:v>2.9079113269540802</c:v>
                </c:pt>
                <c:pt idx="14">
                  <c:v>2.8269563373706674</c:v>
                </c:pt>
                <c:pt idx="15">
                  <c:v>2.7458098535096584</c:v>
                </c:pt>
                <c:pt idx="16">
                  <c:v>2.6561201057878039</c:v>
                </c:pt>
                <c:pt idx="17">
                  <c:v>2.5113100209708565</c:v>
                </c:pt>
                <c:pt idx="18">
                  <c:v>2.2931548910622235</c:v>
                </c:pt>
                <c:pt idx="19">
                  <c:v>2.0345921596699807</c:v>
                </c:pt>
                <c:pt idx="20">
                  <c:v>1.768420048292231</c:v>
                </c:pt>
                <c:pt idx="21">
                  <c:v>1.5088556659301813</c:v>
                </c:pt>
                <c:pt idx="22">
                  <c:v>1.3202569197861844</c:v>
                </c:pt>
                <c:pt idx="23">
                  <c:v>1.2561654921773211</c:v>
                </c:pt>
                <c:pt idx="24">
                  <c:v>1.2010520643930409</c:v>
                </c:pt>
                <c:pt idx="25">
                  <c:v>1.149461656635907</c:v>
                </c:pt>
                <c:pt idx="26">
                  <c:v>1.1131833983252313</c:v>
                </c:pt>
                <c:pt idx="27">
                  <c:v>0.69003059587092275</c:v>
                </c:pt>
                <c:pt idx="28">
                  <c:v>0.66468855183146136</c:v>
                </c:pt>
                <c:pt idx="29">
                  <c:v>0.64503979797117506</c:v>
                </c:pt>
                <c:pt idx="30">
                  <c:v>0.63230416467594397</c:v>
                </c:pt>
                <c:pt idx="31">
                  <c:v>0.61862195923993313</c:v>
                </c:pt>
                <c:pt idx="32">
                  <c:v>0.60663377391880302</c:v>
                </c:pt>
                <c:pt idx="33">
                  <c:v>0.57809410137199624</c:v>
                </c:pt>
                <c:pt idx="34">
                  <c:v>0.55731566287891887</c:v>
                </c:pt>
                <c:pt idx="35">
                  <c:v>0.54649550950644499</c:v>
                </c:pt>
                <c:pt idx="36">
                  <c:v>0.5430908878410392</c:v>
                </c:pt>
                <c:pt idx="37">
                  <c:v>0.5446825307117491</c:v>
                </c:pt>
                <c:pt idx="38">
                  <c:v>0.54737554422944612</c:v>
                </c:pt>
                <c:pt idx="39">
                  <c:v>0.55191941904928443</c:v>
                </c:pt>
                <c:pt idx="40">
                  <c:v>0.56105909284358968</c:v>
                </c:pt>
                <c:pt idx="41">
                  <c:v>0.5768774868075186</c:v>
                </c:pt>
                <c:pt idx="42">
                  <c:v>0.60013685656097548</c:v>
                </c:pt>
                <c:pt idx="43">
                  <c:v>0.63173299057776577</c:v>
                </c:pt>
                <c:pt idx="44">
                  <c:v>0.66557551585112029</c:v>
                </c:pt>
                <c:pt idx="45">
                  <c:v>0.69561002911703906</c:v>
                </c:pt>
                <c:pt idx="46">
                  <c:v>0.72361230325767401</c:v>
                </c:pt>
                <c:pt idx="47">
                  <c:v>0.75101153987157354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35912"/>
        <c:axId val="305236304"/>
      </c:lineChart>
      <c:catAx>
        <c:axId val="305235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305236304"/>
        <c:crosses val="autoZero"/>
        <c:auto val="1"/>
        <c:lblAlgn val="ctr"/>
        <c:lblOffset val="100"/>
        <c:noMultiLvlLbl val="0"/>
      </c:catAx>
      <c:valAx>
        <c:axId val="3052363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0523591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39'!$P$8</c:f>
              <c:strCache>
                <c:ptCount val="1"/>
                <c:pt idx="0">
                  <c:v>posúdené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2C9ADC"/>
              </a:solidFill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39'!$O$9:$O$23</c:f>
              <c:strCache>
                <c:ptCount val="15"/>
                <c:pt idx="0">
                  <c:v>Zdravotné poistenie</c:v>
                </c:pt>
                <c:pt idx="1">
                  <c:v>Min. dopravy a výst. + NDS, ŽSR, ŽSSK</c:v>
                </c:pt>
                <c:pt idx="2">
                  <c:v>Min. vnútra</c:v>
                </c:pt>
                <c:pt idx="3">
                  <c:v>Min. práce</c:v>
                </c:pt>
                <c:pt idx="4">
                  <c:v>Min. školstva</c:v>
                </c:pt>
                <c:pt idx="5">
                  <c:v>Min. obrany</c:v>
                </c:pt>
                <c:pt idx="6">
                  <c:v>Min. pôdohospodárstva</c:v>
                </c:pt>
                <c:pt idx="7">
                  <c:v>Sociálna poisťovňa a soc. zabezpečenie</c:v>
                </c:pt>
                <c:pt idx="8">
                  <c:v>Min. životného prostredia</c:v>
                </c:pt>
                <c:pt idx="9">
                  <c:v>Min. financií</c:v>
                </c:pt>
                <c:pt idx="10">
                  <c:v>Min. spravodlivosti</c:v>
                </c:pt>
                <c:pt idx="11">
                  <c:v>Min. kultúry</c:v>
                </c:pt>
                <c:pt idx="12">
                  <c:v>Min. hospodárstva</c:v>
                </c:pt>
                <c:pt idx="13">
                  <c:v>Min. zdravotníctva</c:v>
                </c:pt>
                <c:pt idx="14">
                  <c:v>Min. zahraničných vecí</c:v>
                </c:pt>
              </c:strCache>
            </c:strRef>
          </c:cat>
          <c:val>
            <c:numRef>
              <c:f>'Graf 39'!$P$9:$P$23</c:f>
              <c:numCache>
                <c:formatCode>0.0%</c:formatCode>
                <c:ptCount val="15"/>
                <c:pt idx="0">
                  <c:v>5.6060843594908788E-2</c:v>
                </c:pt>
                <c:pt idx="1">
                  <c:v>2.6705679277863621E-2</c:v>
                </c:pt>
                <c:pt idx="2">
                  <c:v>1.5332122944806117E-2</c:v>
                </c:pt>
                <c:pt idx="3">
                  <c:v>2.665924509444232E-2</c:v>
                </c:pt>
                <c:pt idx="4">
                  <c:v>1.5462171333796683E-2</c:v>
                </c:pt>
                <c:pt idx="5">
                  <c:v>1.7919400779693135E-4</c:v>
                </c:pt>
                <c:pt idx="6">
                  <c:v>6.7991179105650931E-5</c:v>
                </c:pt>
                <c:pt idx="7">
                  <c:v>9.8778258157805384E-3</c:v>
                </c:pt>
                <c:pt idx="8">
                  <c:v>5.9466907439413045E-3</c:v>
                </c:pt>
                <c:pt idx="9">
                  <c:v>1.9742177266376297E-3</c:v>
                </c:pt>
                <c:pt idx="10">
                  <c:v>4.087907393319627E-4</c:v>
                </c:pt>
                <c:pt idx="11">
                  <c:v>1.4825598985864324E-4</c:v>
                </c:pt>
                <c:pt idx="12">
                  <c:v>2.6728531622395234E-5</c:v>
                </c:pt>
                <c:pt idx="13">
                  <c:v>9.3116768787926109E-5</c:v>
                </c:pt>
                <c:pt idx="14">
                  <c:v>5.8757257157673994E-5</c:v>
                </c:pt>
              </c:numCache>
            </c:numRef>
          </c:val>
          <c:extLst/>
        </c:ser>
        <c:ser>
          <c:idx val="2"/>
          <c:order val="1"/>
          <c:tx>
            <c:strRef>
              <c:f>'Graf 39'!$Q$8</c:f>
              <c:strCache>
                <c:ptCount val="1"/>
                <c:pt idx="0">
                  <c:v>neposúdené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269640977702644E-17"/>
                  <c:y val="-4.6204620462046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4485431623910486E-16"/>
                  <c:y val="-4.290429042904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1.9826522610587893E-3"/>
                  <c:y val="-4.6204620462046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9826522610587893E-3"/>
                  <c:y val="-3.3003300330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"/>
                  <c:y val="-2.7649769585253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39'!$O$9:$O$23</c:f>
              <c:strCache>
                <c:ptCount val="15"/>
                <c:pt idx="0">
                  <c:v>Zdravotné poistenie</c:v>
                </c:pt>
                <c:pt idx="1">
                  <c:v>Min. dopravy a výst. + NDS, ŽSR, ŽSSK</c:v>
                </c:pt>
                <c:pt idx="2">
                  <c:v>Min. vnútra</c:v>
                </c:pt>
                <c:pt idx="3">
                  <c:v>Min. práce</c:v>
                </c:pt>
                <c:pt idx="4">
                  <c:v>Min. školstva</c:v>
                </c:pt>
                <c:pt idx="5">
                  <c:v>Min. obrany</c:v>
                </c:pt>
                <c:pt idx="6">
                  <c:v>Min. pôdohospodárstva</c:v>
                </c:pt>
                <c:pt idx="7">
                  <c:v>Sociálna poisťovňa a soc. zabezpečenie</c:v>
                </c:pt>
                <c:pt idx="8">
                  <c:v>Min. životného prostredia</c:v>
                </c:pt>
                <c:pt idx="9">
                  <c:v>Min. financií</c:v>
                </c:pt>
                <c:pt idx="10">
                  <c:v>Min. spravodlivosti</c:v>
                </c:pt>
                <c:pt idx="11">
                  <c:v>Min. kultúry</c:v>
                </c:pt>
                <c:pt idx="12">
                  <c:v>Min. hospodárstva</c:v>
                </c:pt>
                <c:pt idx="13">
                  <c:v>Min. zdravotníctva</c:v>
                </c:pt>
                <c:pt idx="14">
                  <c:v>Min. zahraničných vecí</c:v>
                </c:pt>
              </c:strCache>
            </c:strRef>
          </c:cat>
          <c:val>
            <c:numRef>
              <c:f>'Graf 39'!$Q$9:$Q$23</c:f>
              <c:numCache>
                <c:formatCode>0.0%</c:formatCode>
                <c:ptCount val="15"/>
                <c:pt idx="0">
                  <c:v>0</c:v>
                </c:pt>
                <c:pt idx="1">
                  <c:v>2.5607089023347582E-3</c:v>
                </c:pt>
                <c:pt idx="2">
                  <c:v>1.3474530544629605E-2</c:v>
                </c:pt>
                <c:pt idx="3">
                  <c:v>0</c:v>
                </c:pt>
                <c:pt idx="4">
                  <c:v>2.1288073678608827E-3</c:v>
                </c:pt>
                <c:pt idx="5">
                  <c:v>1.2612512808985852E-2</c:v>
                </c:pt>
                <c:pt idx="6">
                  <c:v>1.2422123575548023E-2</c:v>
                </c:pt>
                <c:pt idx="7">
                  <c:v>0</c:v>
                </c:pt>
                <c:pt idx="8">
                  <c:v>0</c:v>
                </c:pt>
                <c:pt idx="9">
                  <c:v>3.1243777424122638E-3</c:v>
                </c:pt>
                <c:pt idx="10">
                  <c:v>4.2390539468033115E-3</c:v>
                </c:pt>
                <c:pt idx="11">
                  <c:v>3.1339777513003427E-3</c:v>
                </c:pt>
                <c:pt idx="12">
                  <c:v>2.8432192849899493E-3</c:v>
                </c:pt>
                <c:pt idx="13">
                  <c:v>1.9196547427628875E-3</c:v>
                </c:pt>
                <c:pt idx="14">
                  <c:v>1.336272629099726E-3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305237088"/>
        <c:axId val="305237480"/>
      </c:barChart>
      <c:catAx>
        <c:axId val="30523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37480"/>
        <c:crosses val="autoZero"/>
        <c:auto val="1"/>
        <c:lblAlgn val="ctr"/>
        <c:lblOffset val="100"/>
        <c:noMultiLvlLbl val="0"/>
      </c:catAx>
      <c:valAx>
        <c:axId val="305237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3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8065208214672223"/>
          <c:y val="0.15391971164894711"/>
          <c:w val="0.35392217033882301"/>
          <c:h val="9.988383877757854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36425662273174E-2"/>
          <c:y val="4.9439966715796278E-2"/>
          <c:w val="0.90111632087744498"/>
          <c:h val="0.85141723009005499"/>
        </c:manualLayout>
      </c:layout>
      <c:lineChart>
        <c:grouping val="standard"/>
        <c:varyColors val="0"/>
        <c:ser>
          <c:idx val="7"/>
          <c:order val="0"/>
          <c:tx>
            <c:strRef>
              <c:f>'Graf 40 + 41 + 42'!$E$8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40 + 41 + 42'!$F$6:$T$6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'Graf 40 + 41 + 42'!$F$8:$T$8</c:f>
              <c:numCache>
                <c:formatCode>#\ ##0.0</c:formatCode>
                <c:ptCount val="15"/>
                <c:pt idx="0">
                  <c:v>3.9</c:v>
                </c:pt>
                <c:pt idx="1">
                  <c:v>3.5</c:v>
                </c:pt>
                <c:pt idx="2">
                  <c:v>3.5</c:v>
                </c:pt>
                <c:pt idx="3">
                  <c:v>4.2</c:v>
                </c:pt>
                <c:pt idx="4">
                  <c:v>4.2</c:v>
                </c:pt>
                <c:pt idx="5">
                  <c:v>4.0999999999999996</c:v>
                </c:pt>
                <c:pt idx="6">
                  <c:v>4.0999999999999996</c:v>
                </c:pt>
                <c:pt idx="7">
                  <c:v>4</c:v>
                </c:pt>
                <c:pt idx="8">
                  <c:v>4.0999999999999996</c:v>
                </c:pt>
                <c:pt idx="9">
                  <c:v>4.2</c:v>
                </c:pt>
                <c:pt idx="10" formatCode="#\ ##0.0_ ;\-#\ ##0.0\ ">
                  <c:v>3.9485784287417869</c:v>
                </c:pt>
                <c:pt idx="11" formatCode="0.0">
                  <c:v>3.9877732541530033</c:v>
                </c:pt>
                <c:pt idx="12" formatCode="0.0">
                  <c:v>3.9161046278818201</c:v>
                </c:pt>
                <c:pt idx="13" formatCode="0.0">
                  <c:v>4.2369741389582414</c:v>
                </c:pt>
                <c:pt idx="14" formatCode="0.0">
                  <c:v>4.0480515328353057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 40 + 41 + 42'!$E$7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40 + 41 + 42'!$F$6:$T$6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'Graf 40 + 41 + 42'!$F$7:$T$7</c:f>
              <c:numCache>
                <c:formatCode>#\ ##0.0</c:formatCode>
                <c:ptCount val="15"/>
                <c:pt idx="0">
                  <c:v>5</c:v>
                </c:pt>
                <c:pt idx="1">
                  <c:v>4.9000000000000004</c:v>
                </c:pt>
                <c:pt idx="2">
                  <c:v>5</c:v>
                </c:pt>
                <c:pt idx="3">
                  <c:v>5.3</c:v>
                </c:pt>
                <c:pt idx="4">
                  <c:v>5.3</c:v>
                </c:pt>
                <c:pt idx="5">
                  <c:v>5.0999999999999996</c:v>
                </c:pt>
                <c:pt idx="6">
                  <c:v>5</c:v>
                </c:pt>
                <c:pt idx="7" formatCode="#\ ##0.0_ ;\-#\ ##0.0\ ">
                  <c:v>5</c:v>
                </c:pt>
                <c:pt idx="8">
                  <c:v>5</c:v>
                </c:pt>
                <c:pt idx="9">
                  <c:v>4.9000000000000004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'Graf 40 + 41 + 42'!$E$9</c:f>
              <c:strCache>
                <c:ptCount val="1"/>
                <c:pt idx="0">
                  <c:v>V3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40 + 41 + 42'!$F$6:$T$6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'Graf 40 + 41 + 42'!$F$9:$T$9</c:f>
              <c:numCache>
                <c:formatCode>#\ ##0.0</c:formatCode>
                <c:ptCount val="15"/>
                <c:pt idx="0">
                  <c:v>5.5666666666666673</c:v>
                </c:pt>
                <c:pt idx="1">
                  <c:v>5.3</c:v>
                </c:pt>
                <c:pt idx="2">
                  <c:v>5.1999999999999993</c:v>
                </c:pt>
                <c:pt idx="3">
                  <c:v>5.2666666666666666</c:v>
                </c:pt>
                <c:pt idx="4">
                  <c:v>5.3666666666666671</c:v>
                </c:pt>
                <c:pt idx="5">
                  <c:v>5.2</c:v>
                </c:pt>
                <c:pt idx="6">
                  <c:v>5.0333333333333341</c:v>
                </c:pt>
                <c:pt idx="7">
                  <c:v>4.9999999999999991</c:v>
                </c:pt>
                <c:pt idx="8">
                  <c:v>5.1666666666666661</c:v>
                </c:pt>
                <c:pt idx="9">
                  <c:v>5.1000000000000005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38264"/>
        <c:axId val="305238656"/>
        <c:extLst/>
      </c:lineChart>
      <c:catAx>
        <c:axId val="305238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38656"/>
        <c:crosses val="autoZero"/>
        <c:auto val="1"/>
        <c:lblAlgn val="ctr"/>
        <c:lblOffset val="100"/>
        <c:noMultiLvlLbl val="0"/>
      </c:catAx>
      <c:valAx>
        <c:axId val="305238656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\ ##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38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635141256898113"/>
          <c:y val="0.72582472222222227"/>
          <c:w val="0.38079379787496909"/>
          <c:h val="3.36579428414618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05526295874471E-2"/>
          <c:y val="5.7117295196511562E-2"/>
          <c:w val="0.90111632087744498"/>
          <c:h val="0.85141723009005499"/>
        </c:manualLayout>
      </c:layout>
      <c:lineChart>
        <c:grouping val="standard"/>
        <c:varyColors val="0"/>
        <c:ser>
          <c:idx val="0"/>
          <c:order val="0"/>
          <c:tx>
            <c:strRef>
              <c:f>'Graf 40 + 41 + 42'!$E$13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00B0F0"/>
                </a:solidFill>
                <a:prstDash val="sysDot"/>
                <a:round/>
              </a:ln>
              <a:effectLst/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40 + 41 + 42'!$F$11:$T$11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'Graf 40 + 41 + 42'!$F$13:$T$13</c:f>
              <c:numCache>
                <c:formatCode>#\ ##0.0</c:formatCode>
                <c:ptCount val="15"/>
                <c:pt idx="0">
                  <c:v>10</c:v>
                </c:pt>
                <c:pt idx="1">
                  <c:v>9.6999999999999993</c:v>
                </c:pt>
                <c:pt idx="2">
                  <c:v>9.5</c:v>
                </c:pt>
                <c:pt idx="3">
                  <c:v>9.5</c:v>
                </c:pt>
                <c:pt idx="4">
                  <c:v>9.9</c:v>
                </c:pt>
                <c:pt idx="5">
                  <c:v>10.1</c:v>
                </c:pt>
                <c:pt idx="6">
                  <c:v>10</c:v>
                </c:pt>
                <c:pt idx="7">
                  <c:v>9.5</c:v>
                </c:pt>
                <c:pt idx="8">
                  <c:v>9.8000000000000007</c:v>
                </c:pt>
                <c:pt idx="9">
                  <c:v>9.3000000000000007</c:v>
                </c:pt>
                <c:pt idx="10" formatCode="0.0">
                  <c:v>9.7447492457143436</c:v>
                </c:pt>
                <c:pt idx="11" formatCode="0.0">
                  <c:v>9.7691440911536098</c:v>
                </c:pt>
                <c:pt idx="12" formatCode="0.0">
                  <c:v>9.9636747253693727</c:v>
                </c:pt>
                <c:pt idx="13" formatCode="0.0">
                  <c:v>10.796916379992892</c:v>
                </c:pt>
                <c:pt idx="14" formatCode="0.0">
                  <c:v>10.492329223052373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'Graf 40 + 41 + 42'!$E$12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40 + 41 + 42'!$F$11:$T$11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'Graf 40 + 41 + 42'!$F$12:$T$12</c:f>
              <c:numCache>
                <c:formatCode>#\ ##0.0</c:formatCode>
                <c:ptCount val="15"/>
                <c:pt idx="0">
                  <c:v>11</c:v>
                </c:pt>
                <c:pt idx="1">
                  <c:v>10.9</c:v>
                </c:pt>
                <c:pt idx="2">
                  <c:v>10.7</c:v>
                </c:pt>
                <c:pt idx="3">
                  <c:v>10.5</c:v>
                </c:pt>
                <c:pt idx="4">
                  <c:v>10.6</c:v>
                </c:pt>
                <c:pt idx="5">
                  <c:v>10.5</c:v>
                </c:pt>
                <c:pt idx="6">
                  <c:v>10.3</c:v>
                </c:pt>
                <c:pt idx="7">
                  <c:v>10.199999999999999</c:v>
                </c:pt>
                <c:pt idx="8">
                  <c:v>10.3</c:v>
                </c:pt>
                <c:pt idx="9">
                  <c:v>10.3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40 + 41 + 42'!$E$14</c:f>
              <c:strCache>
                <c:ptCount val="1"/>
                <c:pt idx="0">
                  <c:v>V3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40 + 41 + 42'!$F$11:$T$11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'Graf 40 + 41 + 42'!$F$14:$T$14</c:f>
              <c:numCache>
                <c:formatCode>#\ ##0.0</c:formatCode>
                <c:ptCount val="15"/>
                <c:pt idx="0">
                  <c:v>12.266666666666666</c:v>
                </c:pt>
                <c:pt idx="1">
                  <c:v>11.966666666666667</c:v>
                </c:pt>
                <c:pt idx="2">
                  <c:v>11.766666666666666</c:v>
                </c:pt>
                <c:pt idx="3">
                  <c:v>11.4</c:v>
                </c:pt>
                <c:pt idx="4">
                  <c:v>11.700000000000001</c:v>
                </c:pt>
                <c:pt idx="5">
                  <c:v>11.466666666666667</c:v>
                </c:pt>
                <c:pt idx="6">
                  <c:v>11.200000000000001</c:v>
                </c:pt>
                <c:pt idx="7">
                  <c:v>11.233333333333334</c:v>
                </c:pt>
                <c:pt idx="8">
                  <c:v>11.666666666666666</c:v>
                </c:pt>
                <c:pt idx="9">
                  <c:v>11.566666666666668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39440"/>
        <c:axId val="305239832"/>
        <c:extLst/>
      </c:lineChart>
      <c:catAx>
        <c:axId val="30523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39832"/>
        <c:crosses val="autoZero"/>
        <c:auto val="1"/>
        <c:lblAlgn val="ctr"/>
        <c:lblOffset val="100"/>
        <c:noMultiLvlLbl val="0"/>
      </c:catAx>
      <c:valAx>
        <c:axId val="305239832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\ ##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3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942684516658914"/>
          <c:y val="0.70818582306186995"/>
          <c:w val="0.29360452598320896"/>
          <c:h val="3.7898964042922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4135536336646446"/>
        </c:manualLayout>
      </c:layout>
      <c:lineChart>
        <c:grouping val="standard"/>
        <c:varyColors val="0"/>
        <c:ser>
          <c:idx val="5"/>
          <c:order val="0"/>
          <c:tx>
            <c:strRef>
              <c:f>'Graf 40 + 41 + 42'!$E$17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40 + 41 + 42'!$F$16:$J$16</c:f>
              <c:numCache>
                <c:formatCode>General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'Graf 40 + 41 + 42'!$F$17:$J$17</c:f>
              <c:numCache>
                <c:formatCode>0.0</c:formatCode>
                <c:ptCount val="5"/>
                <c:pt idx="0">
                  <c:v>483.67124999999999</c:v>
                </c:pt>
                <c:pt idx="1">
                  <c:v>482.29646666666667</c:v>
                </c:pt>
                <c:pt idx="2">
                  <c:v>488.13089999999994</c:v>
                </c:pt>
                <c:pt idx="3">
                  <c:v>471.86830000000003</c:v>
                </c:pt>
                <c:pt idx="4">
                  <c:v>462.83976666666666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'Graf 40 + 41 + 42'!$E$18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" lastClr="FFFFFF">
                  <a:lumMod val="75000"/>
                </a:sysClr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</c:dPt>
          <c:cat>
            <c:numRef>
              <c:f>'Graf 40 + 41 + 42'!$F$16:$J$16</c:f>
              <c:numCache>
                <c:formatCode>General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'Graf 40 + 41 + 42'!$F$18:$J$18</c:f>
              <c:numCache>
                <c:formatCode>0.0</c:formatCode>
                <c:ptCount val="5"/>
                <c:pt idx="0">
                  <c:v>493.95391666666671</c:v>
                </c:pt>
                <c:pt idx="1">
                  <c:v>498.17260000000005</c:v>
                </c:pt>
                <c:pt idx="2">
                  <c:v>495.75990000000002</c:v>
                </c:pt>
                <c:pt idx="3">
                  <c:v>502.38436666666666</c:v>
                </c:pt>
                <c:pt idx="4">
                  <c:v>489.67876666666666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'Graf 40 + 41 + 42'!$E$19</c:f>
              <c:strCache>
                <c:ptCount val="1"/>
                <c:pt idx="0">
                  <c:v>OECD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40 + 41 + 42'!$F$16:$J$16</c:f>
              <c:numCache>
                <c:formatCode>General</c:formatCode>
                <c:ptCount val="5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</c:numCache>
            </c:numRef>
          </c:cat>
          <c:val>
            <c:numRef>
              <c:f>'Graf 40 + 41 + 42'!$F$19:$J$19</c:f>
              <c:numCache>
                <c:formatCode>0.0</c:formatCode>
                <c:ptCount val="5"/>
                <c:pt idx="0">
                  <c:v>496.46605</c:v>
                </c:pt>
                <c:pt idx="1">
                  <c:v>493.44149999999996</c:v>
                </c:pt>
                <c:pt idx="2">
                  <c:v>496.75953333333331</c:v>
                </c:pt>
                <c:pt idx="3">
                  <c:v>497.0281333333333</c:v>
                </c:pt>
                <c:pt idx="4">
                  <c:v>491.94969999999995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40616"/>
        <c:axId val="305241008"/>
      </c:lineChart>
      <c:catAx>
        <c:axId val="305240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305241008"/>
        <c:crosses val="autoZero"/>
        <c:auto val="1"/>
        <c:lblAlgn val="ctr"/>
        <c:lblOffset val="100"/>
        <c:noMultiLvlLbl val="0"/>
      </c:catAx>
      <c:valAx>
        <c:axId val="305241008"/>
        <c:scaling>
          <c:orientation val="minMax"/>
          <c:max val="505"/>
          <c:min val="45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05240616"/>
        <c:crosses val="autoZero"/>
        <c:crossBetween val="between"/>
        <c:majorUnit val="10"/>
      </c:valAx>
    </c:plotArea>
    <c:legend>
      <c:legendPos val="l"/>
      <c:layout>
        <c:manualLayout>
          <c:xMode val="edge"/>
          <c:yMode val="edge"/>
          <c:x val="0.16207152230971128"/>
          <c:y val="0.66121845514514554"/>
          <c:w val="0.45865953992479963"/>
          <c:h val="8.7172449428837007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40 + 41 + 42'!$E$22</c:f>
              <c:strCache>
                <c:ptCount val="1"/>
                <c:pt idx="0">
                  <c:v>priemer (OECD 21 krajín)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40 + 41 + 42'!$F$21:$I$21</c:f>
              <c:strCache>
                <c:ptCount val="4"/>
                <c:pt idx="0">
                  <c:v>25-34 rokov </c:v>
                </c:pt>
                <c:pt idx="1">
                  <c:v>35-44 rokov</c:v>
                </c:pt>
                <c:pt idx="2">
                  <c:v>45-54 rokov</c:v>
                </c:pt>
                <c:pt idx="3">
                  <c:v>55-64 rokov</c:v>
                </c:pt>
              </c:strCache>
            </c:strRef>
          </c:cat>
          <c:val>
            <c:numRef>
              <c:f>'Graf 40 + 41 + 42'!$F$22:$I$22</c:f>
              <c:numCache>
                <c:formatCode>0%</c:formatCode>
                <c:ptCount val="4"/>
                <c:pt idx="0">
                  <c:v>0.91605480299362996</c:v>
                </c:pt>
                <c:pt idx="1">
                  <c:v>0.78981860319997832</c:v>
                </c:pt>
                <c:pt idx="2">
                  <c:v>0.79085147598975458</c:v>
                </c:pt>
                <c:pt idx="3">
                  <c:v>0.82809229973912835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'Graf 40 + 41 + 42'!$E$23</c:f>
              <c:strCache>
                <c:ptCount val="1"/>
                <c:pt idx="0">
                  <c:v>SK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40 + 41 + 42'!$F$21:$I$21</c:f>
              <c:strCache>
                <c:ptCount val="4"/>
                <c:pt idx="0">
                  <c:v>25-34 rokov </c:v>
                </c:pt>
                <c:pt idx="1">
                  <c:v>35-44 rokov</c:v>
                </c:pt>
                <c:pt idx="2">
                  <c:v>45-54 rokov</c:v>
                </c:pt>
                <c:pt idx="3">
                  <c:v>55-64 rokov</c:v>
                </c:pt>
              </c:strCache>
            </c:strRef>
          </c:cat>
          <c:val>
            <c:numRef>
              <c:f>'Graf 40 + 41 + 42'!$F$23:$I$23</c:f>
              <c:numCache>
                <c:formatCode>0%</c:formatCode>
                <c:ptCount val="4"/>
                <c:pt idx="0">
                  <c:v>0.5791712264903921</c:v>
                </c:pt>
                <c:pt idx="1">
                  <c:v>0.54175724340054165</c:v>
                </c:pt>
                <c:pt idx="2">
                  <c:v>0.63329113956653638</c:v>
                </c:pt>
                <c:pt idx="3">
                  <c:v>0.64320283946996715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241792"/>
        <c:axId val="305242184"/>
      </c:lineChart>
      <c:catAx>
        <c:axId val="3052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42184"/>
        <c:crosses val="autoZero"/>
        <c:auto val="1"/>
        <c:lblAlgn val="ctr"/>
        <c:lblOffset val="100"/>
        <c:noMultiLvlLbl val="0"/>
      </c:catAx>
      <c:valAx>
        <c:axId val="3052421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524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48206474190727"/>
          <c:y val="0.87643419572553416"/>
          <c:w val="0.6785912073490814"/>
          <c:h val="9.7050618672665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022573363431201"/>
          <c:y val="0.17439460516873601"/>
          <c:w val="0.68812534437710005"/>
          <c:h val="0.76114738466680398"/>
        </c:manualLayout>
      </c:layout>
      <c:radarChart>
        <c:radarStyle val="marker"/>
        <c:varyColors val="0"/>
        <c:ser>
          <c:idx val="3"/>
          <c:order val="0"/>
          <c:tx>
            <c:strRef>
              <c:f>'Graf 43 + 44'!$K$7</c:f>
              <c:strCache>
                <c:ptCount val="1"/>
                <c:pt idx="0">
                  <c:v>SR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8284654612888198E-2"/>
                  <c:y val="-0.150150126480791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9047619047619047"/>
                  <c:y val="-0.1374570446735395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4464534075104313"/>
                  <c:y val="0.1001000843205277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2332081407535853"/>
                  <c:y val="0.22739682528615937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797403801576267E-2"/>
                  <c:y val="-5.40540455330850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43 + 44'!$J$8:$J$12</c:f>
              <c:strCache>
                <c:ptCount val="5"/>
                <c:pt idx="0">
                  <c:v>Obyvateľstvo pripojené na čistiareň odpadových vôd, 2014</c:v>
                </c:pt>
                <c:pt idx="1">
                  <c:v>Koncentrácie častíc PM 2,5 v ovzduší, 2014</c:v>
                </c:pt>
                <c:pt idx="2">
                  <c:v>Podiel ohrozených druhov, 2015</c:v>
                </c:pt>
                <c:pt idx="3">
                  <c:v>Recyklácia odpadov, 2015</c:v>
                </c:pt>
                <c:pt idx="4">
                  <c:v>Emisie skleníkových plynov, 2015</c:v>
                </c:pt>
              </c:strCache>
            </c:strRef>
          </c:cat>
          <c:val>
            <c:numRef>
              <c:f>'Graf 43 + 44'!$K$8:$K$12</c:f>
              <c:numCache>
                <c:formatCode>#\ ##0.0_ ;\-#\ ##0.0\ </c:formatCode>
                <c:ptCount val="5"/>
                <c:pt idx="0">
                  <c:v>0.34167916827305628</c:v>
                </c:pt>
                <c:pt idx="1">
                  <c:v>0.29999999999999993</c:v>
                </c:pt>
                <c:pt idx="2">
                  <c:v>0.4</c:v>
                </c:pt>
                <c:pt idx="3" formatCode="General">
                  <c:v>0.1</c:v>
                </c:pt>
                <c:pt idx="4" formatCode="General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D6-41B3-975B-B22F15795DA4}"/>
            </c:ext>
          </c:extLst>
        </c:ser>
        <c:ser>
          <c:idx val="5"/>
          <c:order val="1"/>
          <c:tx>
            <c:strRef>
              <c:f>'Graf 43 + 44'!$L$7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elete val="1"/>
          </c:dLbls>
          <c:cat>
            <c:strRef>
              <c:f>'Graf 43 + 44'!$J$8:$J$12</c:f>
              <c:strCache>
                <c:ptCount val="5"/>
                <c:pt idx="0">
                  <c:v>Obyvateľstvo pripojené na čistiareň odpadových vôd, 2014</c:v>
                </c:pt>
                <c:pt idx="1">
                  <c:v>Koncentrácie častíc PM 2,5 v ovzduší, 2014</c:v>
                </c:pt>
                <c:pt idx="2">
                  <c:v>Podiel ohrozených druhov, 2015</c:v>
                </c:pt>
                <c:pt idx="3">
                  <c:v>Recyklácia odpadov, 2015</c:v>
                </c:pt>
                <c:pt idx="4">
                  <c:v>Emisie skleníkových plynov, 2015</c:v>
                </c:pt>
              </c:strCache>
            </c:strRef>
          </c:cat>
          <c:val>
            <c:numRef>
              <c:f>'Graf 43 + 44'!$L$8:$L$12</c:f>
              <c:numCache>
                <c:formatCode>#\ ##0.0_ ;\-#\ ##0.0\ </c:formatCode>
                <c:ptCount val="5"/>
                <c:pt idx="0">
                  <c:v>0.37713210358839305</c:v>
                </c:pt>
                <c:pt idx="1">
                  <c:v>0.1929824561403507</c:v>
                </c:pt>
                <c:pt idx="2">
                  <c:v>0.5</c:v>
                </c:pt>
                <c:pt idx="3" formatCode="General">
                  <c:v>0.5</c:v>
                </c:pt>
                <c:pt idx="4" formatCode="General">
                  <c:v>0.4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D6-41B3-975B-B22F15795DA4}"/>
            </c:ext>
          </c:extLst>
        </c:ser>
        <c:ser>
          <c:idx val="0"/>
          <c:order val="2"/>
          <c:tx>
            <c:strRef>
              <c:f>'Graf 43 + 44'!$M$7</c:f>
              <c:strCache>
                <c:ptCount val="1"/>
                <c:pt idx="0">
                  <c:v>Priemer vzorky*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Lbls>
            <c:delete val="1"/>
          </c:dLbls>
          <c:cat>
            <c:strRef>
              <c:f>'Graf 43 + 44'!$J$8:$J$12</c:f>
              <c:strCache>
                <c:ptCount val="5"/>
                <c:pt idx="0">
                  <c:v>Obyvateľstvo pripojené na čistiareň odpadových vôd, 2014</c:v>
                </c:pt>
                <c:pt idx="1">
                  <c:v>Koncentrácie častíc PM 2,5 v ovzduší, 2014</c:v>
                </c:pt>
                <c:pt idx="2">
                  <c:v>Podiel ohrozených druhov, 2015</c:v>
                </c:pt>
                <c:pt idx="3">
                  <c:v>Recyklácia odpadov, 2015</c:v>
                </c:pt>
                <c:pt idx="4">
                  <c:v>Emisie skleníkových plynov, 2015</c:v>
                </c:pt>
              </c:strCache>
            </c:strRef>
          </c:cat>
          <c:val>
            <c:numRef>
              <c:f>'Graf 43 + 44'!$M$8:$M$12</c:f>
              <c:numCache>
                <c:formatCode>#\ ##0.0_ ;\-#\ ##0.0\ </c:formatCode>
                <c:ptCount val="5"/>
                <c:pt idx="0">
                  <c:v>0.64947929324888909</c:v>
                </c:pt>
                <c:pt idx="1">
                  <c:v>0.50676691729323298</c:v>
                </c:pt>
                <c:pt idx="2">
                  <c:v>0.4</c:v>
                </c:pt>
                <c:pt idx="3" formatCode="General">
                  <c:v>0.5</c:v>
                </c:pt>
                <c:pt idx="4" formatCode="General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7D6-41B3-975B-B22F15795D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05242968"/>
        <c:axId val="305243360"/>
      </c:radarChart>
      <c:catAx>
        <c:axId val="305242968"/>
        <c:scaling>
          <c:orientation val="minMax"/>
        </c:scaling>
        <c:delete val="1"/>
        <c:axPos val="b"/>
        <c:majorGridlines/>
        <c:numFmt formatCode="General" sourceLinked="0"/>
        <c:majorTickMark val="out"/>
        <c:minorTickMark val="none"/>
        <c:tickLblPos val="low"/>
        <c:crossAx val="305243360"/>
        <c:crosses val="autoZero"/>
        <c:auto val="1"/>
        <c:lblAlgn val="ctr"/>
        <c:lblOffset val="100"/>
        <c:noMultiLvlLbl val="0"/>
      </c:catAx>
      <c:valAx>
        <c:axId val="3052433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0524296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"/>
          <c:y val="1.5015686421478307E-2"/>
          <c:w val="0.30294618359090852"/>
          <c:h val="0.18904383932545565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805744654378699"/>
          <c:y val="3.3598221436770798E-2"/>
          <c:w val="0.59789623362542499"/>
          <c:h val="0.67862677810930805"/>
        </c:manualLayout>
      </c:layout>
      <c:pieChart>
        <c:varyColors val="1"/>
        <c:ser>
          <c:idx val="0"/>
          <c:order val="0"/>
          <c:tx>
            <c:strRef>
              <c:f>'Graf 43 + 44'!$K$28</c:f>
              <c:strCache>
                <c:ptCount val="1"/>
                <c:pt idx="0">
                  <c:v>Podiel</c:v>
                </c:pt>
              </c:strCache>
            </c:strRef>
          </c:tx>
          <c:spPr>
            <a:solidFill>
              <a:srgbClr val="FF6600"/>
            </a:solidFill>
          </c:spPr>
          <c:dPt>
            <c:idx val="0"/>
            <c:bubble3D val="0"/>
            <c:spPr>
              <a:solidFill>
                <a:srgbClr val="F9C9BA"/>
              </a:solidFill>
              <a:ln>
                <a:solidFill>
                  <a:srgbClr val="F9C9BA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12C-406E-B9DF-7D5BC77F45A4}"/>
              </c:ext>
            </c:extLst>
          </c:dPt>
          <c:dPt>
            <c:idx val="1"/>
            <c:bubble3D val="0"/>
            <c:spPr>
              <a:solidFill>
                <a:srgbClr val="D9D3AB"/>
              </a:solidFill>
              <a:ln>
                <a:solidFill>
                  <a:srgbClr val="D9D3AB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12C-406E-B9DF-7D5BC77F45A4}"/>
              </c:ext>
            </c:extLst>
          </c:dPt>
          <c:dPt>
            <c:idx val="2"/>
            <c:bubble3D val="0"/>
            <c:spPr>
              <a:solidFill>
                <a:srgbClr val="2C9ADC"/>
              </a:solidFill>
              <a:ln>
                <a:solidFill>
                  <a:srgbClr val="2C9ADC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12C-406E-B9DF-7D5BC77F45A4}"/>
              </c:ext>
            </c:extLst>
          </c:dPt>
          <c:dPt>
            <c:idx val="3"/>
            <c:bubble3D val="0"/>
            <c:spPr>
              <a:solidFill>
                <a:srgbClr val="D3BEDE"/>
              </a:solidFill>
              <a:ln>
                <a:solidFill>
                  <a:srgbClr val="D3BEDE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12C-406E-B9DF-7D5BC77F45A4}"/>
              </c:ext>
            </c:extLst>
          </c:dPt>
          <c:dPt>
            <c:idx val="4"/>
            <c:bubble3D val="0"/>
            <c:spPr>
              <a:solidFill>
                <a:srgbClr val="AAD3F2"/>
              </a:solidFill>
              <a:ln>
                <a:solidFill>
                  <a:srgbClr val="AAD3F2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12C-406E-B9DF-7D5BC77F45A4}"/>
              </c:ext>
            </c:extLst>
          </c:dPt>
          <c:dPt>
            <c:idx val="5"/>
            <c:bubble3D val="0"/>
            <c:spPr>
              <a:solidFill>
                <a:srgbClr val="B0D6AF"/>
              </a:solidFill>
              <a:ln>
                <a:solidFill>
                  <a:srgbClr val="B0D6AF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12C-406E-B9DF-7D5BC77F45A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64AF3A2-1EF6-4CB3-88A9-9BC3865B8FC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07ADB98-4DE6-4788-ADF6-327055B014F3}" type="PERCENTAGE">
                      <a:rPr lang="en-US"/>
                      <a:pPr/>
                      <a:t>[PERCENTO]</a:t>
                    </a:fld>
                    <a:endParaRPr lang="en-GB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2C8DFAA-9597-4872-91A2-FA72C90BCD0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7FDC511-377A-4510-A4FA-4869B467D3AB}" type="PERCENTAGE">
                      <a:rPr lang="en-US"/>
                      <a:pPr/>
                      <a:t>[PERCENTO]</a:t>
                    </a:fld>
                    <a:endParaRPr lang="en-GB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1384D78-65F8-4C04-9E3D-DD6D0CD463A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19B8E20-E69B-4ECB-96AD-B0BB6DC931F3}" type="PERCENTAGE">
                      <a:rPr lang="en-US"/>
                      <a:pPr/>
                      <a:t>[PERCENTO]</a:t>
                    </a:fld>
                    <a:endParaRPr lang="en-GB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7B3BE2D-145D-423B-8455-67063F5F510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9C4541D-24F0-40FC-9BC2-50486B3520EE}" type="PERCENTAGE">
                      <a:rPr lang="en-US"/>
                      <a:pPr/>
                      <a:t>[PERCENTO]</a:t>
                    </a:fld>
                    <a:endParaRPr lang="en-GB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B44D0C6-6A5F-45E0-AFD5-F60FA000C62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BD6FD38-696E-4291-B3F7-2CB5868C8A7F}" type="PERCENTAGE">
                      <a:rPr lang="en-US"/>
                      <a:pPr/>
                      <a:t>[PERCENTO]</a:t>
                    </a:fld>
                    <a:endParaRPr lang="en-GB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5EF5CE7-936F-4081-A356-A3EEB182E65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B6E8A3D-C642-4023-A830-6596B16AE995}" type="PERCENTAGE">
                      <a:rPr lang="en-US"/>
                      <a:pPr/>
                      <a:t>[PERCENTO]</a:t>
                    </a:fld>
                    <a:endParaRPr lang="en-GB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'Graf 43 + 44'!$J$29:$J$34</c:f>
              <c:strCache>
                <c:ptCount val="6"/>
                <c:pt idx="0">
                  <c:v>Protipovodňové opatrenia</c:v>
                </c:pt>
                <c:pt idx="1">
                  <c:v>Odpadové hospodárstvo</c:v>
                </c:pt>
                <c:pt idx="2">
                  <c:v>Manažment odpadových vôd a zásobovanie pitnou vodou</c:v>
                </c:pt>
                <c:pt idx="3">
                  <c:v>Znižovanie znečistenia</c:v>
                </c:pt>
                <c:pt idx="4">
                  <c:v>Ochrana prírody a krajiny</c:v>
                </c:pt>
                <c:pt idx="5">
                  <c:v>Prevádzkové náklady, informatizácia, environmentálna výchova, kultúrne služby a iné</c:v>
                </c:pt>
              </c:strCache>
            </c:strRef>
          </c:cat>
          <c:val>
            <c:numRef>
              <c:f>'Graf 43 + 44'!$K$29:$K$34</c:f>
              <c:numCache>
                <c:formatCode>0.0%</c:formatCode>
                <c:ptCount val="6"/>
                <c:pt idx="0">
                  <c:v>0.12018237697841677</c:v>
                </c:pt>
                <c:pt idx="1">
                  <c:v>0.1489120335512161</c:v>
                </c:pt>
                <c:pt idx="2">
                  <c:v>0.43475992174967665</c:v>
                </c:pt>
                <c:pt idx="3">
                  <c:v>0.12378604480874149</c:v>
                </c:pt>
                <c:pt idx="4">
                  <c:v>4.1669991153842532E-2</c:v>
                </c:pt>
                <c:pt idx="5">
                  <c:v>0.13068963175810633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212C-406E-B9DF-7D5BC77F45A4}"/>
            </c:ext>
            <c:ext xmlns:c15="http://schemas.microsoft.com/office/drawing/2012/chart" uri="{02D57815-91ED-43cb-92C2-25804820EDAC}">
              <c15:datalabelsRange>
                <c15:f>'Graf 43 + 44'!$L$29:$L$34</c15:f>
                <c15:dlblRangeCache>
                  <c:ptCount val="6"/>
                  <c:pt idx="0">
                    <c:v>334 mil. eur</c:v>
                  </c:pt>
                  <c:pt idx="1">
                    <c:v>414 mil. eur</c:v>
                  </c:pt>
                  <c:pt idx="2">
                    <c:v>1 208 mil. eur</c:v>
                  </c:pt>
                  <c:pt idx="3">
                    <c:v>344 mil. eur</c:v>
                  </c:pt>
                  <c:pt idx="4">
                    <c:v>116 mil. eur</c:v>
                  </c:pt>
                  <c:pt idx="5">
                    <c:v>363 mil. eur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'Graf 43 + 44'!$L$28</c:f>
              <c:strCache>
                <c:ptCount val="1"/>
                <c:pt idx="0">
                  <c:v>Mil. eur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 43 + 44'!$J$29:$J$34</c:f>
              <c:strCache>
                <c:ptCount val="6"/>
                <c:pt idx="0">
                  <c:v>Protipovodňové opatrenia</c:v>
                </c:pt>
                <c:pt idx="1">
                  <c:v>Odpadové hospodárstvo</c:v>
                </c:pt>
                <c:pt idx="2">
                  <c:v>Manažment odpadových vôd a zásobovanie pitnou vodou</c:v>
                </c:pt>
                <c:pt idx="3">
                  <c:v>Znižovanie znečistenia</c:v>
                </c:pt>
                <c:pt idx="4">
                  <c:v>Ochrana prírody a krajiny</c:v>
                </c:pt>
                <c:pt idx="5">
                  <c:v>Prevádzkové náklady, informatizácia, environmentálna výchova, kultúrne služby a iné</c:v>
                </c:pt>
              </c:strCache>
            </c:strRef>
          </c:cat>
          <c:val>
            <c:numRef>
              <c:f>'Graf 43 + 44'!$L$29:$L$34</c:f>
              <c:numCache>
                <c:formatCode>#\ ##0" mil. eur"</c:formatCode>
                <c:ptCount val="6"/>
                <c:pt idx="0">
                  <c:v>333.87447741</c:v>
                </c:pt>
                <c:pt idx="1">
                  <c:v>413.68733613000001</c:v>
                </c:pt>
                <c:pt idx="2">
                  <c:v>1207.7914027199997</c:v>
                </c:pt>
                <c:pt idx="3">
                  <c:v>343.88570154999996</c:v>
                </c:pt>
                <c:pt idx="4">
                  <c:v>115.76195171000001</c:v>
                </c:pt>
                <c:pt idx="5">
                  <c:v>363.06431610999999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1.1071968148450972E-2"/>
          <c:y val="0.51368723029529073"/>
          <c:w val="0.33096085466380926"/>
          <c:h val="0.38433684210526309"/>
        </c:manualLayout>
      </c:layout>
      <c:overlay val="0"/>
      <c:txPr>
        <a:bodyPr/>
        <a:lstStyle/>
        <a:p>
          <a:pPr rtl="0">
            <a:defRPr sz="75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269998316718723"/>
          <c:y val="5.5989219678389678E-2"/>
          <c:w val="0.93616132135260999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45 + 46'!$D$10</c:f>
              <c:strCache>
                <c:ptCount val="1"/>
                <c:pt idx="0">
                  <c:v>Celkové verejné výdavky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2C9AD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45 + 46'!$E$9:$H$9</c:f>
              <c:strCache>
                <c:ptCount val="4"/>
                <c:pt idx="0">
                  <c:v>1996-2000</c:v>
                </c:pt>
                <c:pt idx="1">
                  <c:v>2001-2005</c:v>
                </c:pt>
                <c:pt idx="2">
                  <c:v>2006-2010</c:v>
                </c:pt>
                <c:pt idx="3">
                  <c:v>2011-2015</c:v>
                </c:pt>
              </c:strCache>
            </c:strRef>
          </c:cat>
          <c:val>
            <c:numRef>
              <c:f>'Graf 45 + 46'!$E$10:$H$10</c:f>
              <c:numCache>
                <c:formatCode>0.0%</c:formatCode>
                <c:ptCount val="4"/>
                <c:pt idx="0">
                  <c:v>0.10162345678563071</c:v>
                </c:pt>
                <c:pt idx="1">
                  <c:v>6.577187505916568E-2</c:v>
                </c:pt>
                <c:pt idx="2">
                  <c:v>0.12906366229862412</c:v>
                </c:pt>
                <c:pt idx="3">
                  <c:v>4.7814083673681902E-2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E1-4887-A5E9-D8853B0B9B8F}"/>
            </c:ext>
          </c:extLst>
        </c:ser>
        <c:ser>
          <c:idx val="2"/>
          <c:order val="1"/>
          <c:tx>
            <c:strRef>
              <c:f>'Graf 45 + 46'!$D$11</c:f>
              <c:strCache>
                <c:ptCount val="1"/>
                <c:pt idx="0">
                  <c:v>Verejné výdavky na životné prostredie</c:v>
                </c:pt>
              </c:strCache>
            </c:strRef>
          </c:tx>
          <c:spPr>
            <a:solidFill>
              <a:srgbClr val="AAD3F2"/>
            </a:solidFill>
            <a:ln>
              <a:solidFill>
                <a:srgbClr val="AAD3F2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45 + 46'!$E$9:$H$9</c:f>
              <c:strCache>
                <c:ptCount val="4"/>
                <c:pt idx="0">
                  <c:v>1996-2000</c:v>
                </c:pt>
                <c:pt idx="1">
                  <c:v>2001-2005</c:v>
                </c:pt>
                <c:pt idx="2">
                  <c:v>2006-2010</c:v>
                </c:pt>
                <c:pt idx="3">
                  <c:v>2011-2015</c:v>
                </c:pt>
              </c:strCache>
            </c:strRef>
          </c:cat>
          <c:val>
            <c:numRef>
              <c:f>'Graf 45 + 46'!$E$11:$H$11</c:f>
              <c:numCache>
                <c:formatCode>0.0%</c:formatCode>
                <c:ptCount val="4"/>
                <c:pt idx="0">
                  <c:v>6.8111626097088762E-2</c:v>
                </c:pt>
                <c:pt idx="1">
                  <c:v>3.1789442855384792E-2</c:v>
                </c:pt>
                <c:pt idx="2">
                  <c:v>0.13143387447291902</c:v>
                </c:pt>
                <c:pt idx="3">
                  <c:v>6.8285687611261234E-2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E1-4887-A5E9-D8853B0B9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00592"/>
        <c:axId val="302700984"/>
      </c:barChart>
      <c:catAx>
        <c:axId val="30270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2700984"/>
        <c:crosses val="autoZero"/>
        <c:auto val="1"/>
        <c:lblAlgn val="ctr"/>
        <c:lblOffset val="100"/>
        <c:noMultiLvlLbl val="0"/>
      </c:catAx>
      <c:valAx>
        <c:axId val="302700984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2700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691959526437"/>
          <c:y val="5.78846563098532E-3"/>
          <c:w val="0.37822560923624027"/>
          <c:h val="0.2456047897885709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 + 6'!$J$8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5 + 6'!$K$6:$P$6</c:f>
              <c:strCache>
                <c:ptCount val="6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</c:strCache>
            </c:strRef>
          </c:cat>
          <c:val>
            <c:numRef>
              <c:f>'Graf 5 + 6'!$K$8:$P$8</c:f>
              <c:numCache>
                <c:formatCode>0.0</c:formatCode>
                <c:ptCount val="6"/>
                <c:pt idx="0">
                  <c:v>1.4271813150431487</c:v>
                </c:pt>
                <c:pt idx="1">
                  <c:v>1.6447119332406228</c:v>
                </c:pt>
                <c:pt idx="2">
                  <c:v>1.2607976352488532</c:v>
                </c:pt>
                <c:pt idx="3">
                  <c:v>1.658496169735318</c:v>
                </c:pt>
                <c:pt idx="4">
                  <c:v>1.7899869189091322</c:v>
                </c:pt>
                <c:pt idx="5">
                  <c:v>1.8322101249862586</c:v>
                </c:pt>
              </c:numCache>
            </c:numRef>
          </c:val>
        </c:ser>
        <c:ser>
          <c:idx val="2"/>
          <c:order val="2"/>
          <c:tx>
            <c:strRef>
              <c:f>'Graf 5 + 6'!$J$9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'Graf 5 + 6'!$K$6:$P$6</c:f>
              <c:strCache>
                <c:ptCount val="6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</c:strCache>
            </c:strRef>
          </c:cat>
          <c:val>
            <c:numRef>
              <c:f>'Graf 5 + 6'!$K$9:$P$9</c:f>
              <c:numCache>
                <c:formatCode>0.0</c:formatCode>
                <c:ptCount val="6"/>
                <c:pt idx="0">
                  <c:v>0.66134614323848773</c:v>
                </c:pt>
                <c:pt idx="1">
                  <c:v>0.46366068356940615</c:v>
                </c:pt>
                <c:pt idx="2">
                  <c:v>0.36149904440514713</c:v>
                </c:pt>
                <c:pt idx="3">
                  <c:v>-0.22128408134133828</c:v>
                </c:pt>
                <c:pt idx="4">
                  <c:v>-0.12971505249732251</c:v>
                </c:pt>
                <c:pt idx="5">
                  <c:v>-1.9016424217414653E-2</c:v>
                </c:pt>
              </c:numCache>
            </c:numRef>
          </c:val>
        </c:ser>
        <c:ser>
          <c:idx val="3"/>
          <c:order val="3"/>
          <c:tx>
            <c:strRef>
              <c:f>'Graf 5 + 6'!$J$10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strRef>
              <c:f>'Graf 5 + 6'!$K$6:$P$6</c:f>
              <c:strCache>
                <c:ptCount val="6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</c:strCache>
            </c:strRef>
          </c:cat>
          <c:val>
            <c:numRef>
              <c:f>'Graf 5 + 6'!$K$10:$P$10</c:f>
              <c:numCache>
                <c:formatCode>0.0</c:formatCode>
                <c:ptCount val="6"/>
                <c:pt idx="0">
                  <c:v>0.32920824541514926</c:v>
                </c:pt>
                <c:pt idx="1">
                  <c:v>-0.24961152439997644</c:v>
                </c:pt>
                <c:pt idx="2">
                  <c:v>-4.1275026546234583</c:v>
                </c:pt>
                <c:pt idx="3">
                  <c:v>-4.2326448569124597</c:v>
                </c:pt>
                <c:pt idx="4">
                  <c:v>0.16382495856640081</c:v>
                </c:pt>
                <c:pt idx="5">
                  <c:v>-1.4255664446255356</c:v>
                </c:pt>
              </c:numCache>
            </c:numRef>
          </c:val>
        </c:ser>
        <c:ser>
          <c:idx val="4"/>
          <c:order val="4"/>
          <c:tx>
            <c:strRef>
              <c:f>'Graf 5 + 6'!$J$11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'Graf 5 + 6'!$K$6:$P$6</c:f>
              <c:strCache>
                <c:ptCount val="6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</c:strCache>
            </c:strRef>
          </c:cat>
          <c:val>
            <c:numRef>
              <c:f>'Graf 5 + 6'!$K$11:$P$11</c:f>
              <c:numCache>
                <c:formatCode>0.0</c:formatCode>
                <c:ptCount val="6"/>
                <c:pt idx="0">
                  <c:v>5.4147071755196743E-2</c:v>
                </c:pt>
                <c:pt idx="1">
                  <c:v>2.2223630748748087</c:v>
                </c:pt>
                <c:pt idx="2">
                  <c:v>3.3312970573981651</c:v>
                </c:pt>
                <c:pt idx="3">
                  <c:v>1.9973931622506249</c:v>
                </c:pt>
                <c:pt idx="4">
                  <c:v>0.96526661820175663</c:v>
                </c:pt>
                <c:pt idx="5">
                  <c:v>0.32612354865166604</c:v>
                </c:pt>
              </c:numCache>
            </c:numRef>
          </c:val>
        </c:ser>
        <c:ser>
          <c:idx val="5"/>
          <c:order val="5"/>
          <c:tx>
            <c:strRef>
              <c:f>'Graf 5 + 6'!$J$12</c:f>
              <c:strCache>
                <c:ptCount val="1"/>
                <c:pt idx="0">
                  <c:v>zásoby a štat. disk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5 + 6'!$K$6:$P$6</c:f>
              <c:strCache>
                <c:ptCount val="6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</c:strCache>
            </c:strRef>
          </c:cat>
          <c:val>
            <c:numRef>
              <c:f>'Graf 5 + 6'!$K$12:$P$12</c:f>
              <c:numCache>
                <c:formatCode>0.0</c:formatCode>
                <c:ptCount val="6"/>
                <c:pt idx="0">
                  <c:v>0.91317608881789225</c:v>
                </c:pt>
                <c:pt idx="1">
                  <c:v>-0.26135490924112348</c:v>
                </c:pt>
                <c:pt idx="2">
                  <c:v>2.1282670907369967</c:v>
                </c:pt>
                <c:pt idx="3">
                  <c:v>3.8189051220814498</c:v>
                </c:pt>
                <c:pt idx="4">
                  <c:v>0.27291799094151459</c:v>
                </c:pt>
                <c:pt idx="5">
                  <c:v>2.5484344870980076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7108776"/>
        <c:axId val="297108384"/>
      </c:barChart>
      <c:lineChart>
        <c:grouping val="standard"/>
        <c:varyColors val="0"/>
        <c:ser>
          <c:idx val="0"/>
          <c:order val="0"/>
          <c:tx>
            <c:strRef>
              <c:f>'Graf 5 + 6'!$J$7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4345436507936505E-2"/>
                  <c:y val="-7.1128888888888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5 + 6'!$K$6:$P$6</c:f>
              <c:strCache>
                <c:ptCount val="6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</c:strCache>
            </c:strRef>
          </c:cat>
          <c:val>
            <c:numRef>
              <c:f>'Graf 5 + 6'!$K$7:$P$7</c:f>
              <c:numCache>
                <c:formatCode>0.0</c:formatCode>
                <c:ptCount val="6"/>
                <c:pt idx="0">
                  <c:v>3.3850588642698964</c:v>
                </c:pt>
                <c:pt idx="1">
                  <c:v>3.8197692580437481</c:v>
                </c:pt>
                <c:pt idx="2">
                  <c:v>2.9543581731657165</c:v>
                </c:pt>
                <c:pt idx="3">
                  <c:v>3.0208655158135977</c:v>
                </c:pt>
                <c:pt idx="4">
                  <c:v>3.0622814341214832</c:v>
                </c:pt>
                <c:pt idx="5">
                  <c:v>3.2621852918929939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08776"/>
        <c:axId val="297108384"/>
      </c:lineChart>
      <c:catAx>
        <c:axId val="297108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1"/>
            </a:pPr>
            <a:endParaRPr lang="en-US"/>
          </a:p>
        </c:txPr>
        <c:crossAx val="297108384"/>
        <c:crosses val="autoZero"/>
        <c:auto val="1"/>
        <c:lblAlgn val="ctr"/>
        <c:lblOffset val="100"/>
        <c:noMultiLvlLbl val="0"/>
      </c:catAx>
      <c:valAx>
        <c:axId val="297108384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7108776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06E-2"/>
          <c:y val="0.151882512740382"/>
          <c:w val="0.91819511922711805"/>
          <c:h val="0.71869644699081903"/>
        </c:manualLayout>
      </c:layout>
      <c:lineChart>
        <c:grouping val="standard"/>
        <c:varyColors val="0"/>
        <c:ser>
          <c:idx val="3"/>
          <c:order val="0"/>
          <c:tx>
            <c:strRef>
              <c:f>'Graf 45 + 46'!$D$25:$E$25</c:f>
              <c:strCache>
                <c:ptCount val="2"/>
                <c:pt idx="0">
                  <c:v>% z výdavkov</c:v>
                </c:pt>
                <c:pt idx="1">
                  <c:v>EU28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'Graf 45 + 46'!$F$24:$O$24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'Graf 45 + 46'!$F$25:$O$25</c:f>
              <c:numCache>
                <c:formatCode>_-* #\ ##0.0\ _€_-;\-* #\ ##0.0\ _€_-;_-* "-"??\ _€_-;_-@_-</c:formatCode>
                <c:ptCount val="10"/>
                <c:pt idx="0">
                  <c:v>1.7</c:v>
                </c:pt>
                <c:pt idx="1">
                  <c:v>1.7</c:v>
                </c:pt>
                <c:pt idx="2">
                  <c:v>1.7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776-4924-8555-6A2F724C9BF3}"/>
            </c:ext>
          </c:extLst>
        </c:ser>
        <c:ser>
          <c:idx val="2"/>
          <c:order val="1"/>
          <c:tx>
            <c:strRef>
              <c:f>'Graf 45 + 46'!$D$26:$E$26</c:f>
              <c:strCache>
                <c:ptCount val="2"/>
                <c:pt idx="0">
                  <c:v>% z výdavkov</c:v>
                </c:pt>
                <c:pt idx="1">
                  <c:v>V3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'Graf 45 + 46'!$F$24:$O$24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'Graf 45 + 46'!$F$26:$O$26</c:f>
              <c:numCache>
                <c:formatCode>_-* #\ ##0.0\ _€_-;\-* #\ ##0.0\ _€_-;_-* "-"??\ _€_-;_-@_-</c:formatCode>
                <c:ptCount val="10"/>
                <c:pt idx="0">
                  <c:v>1.8333333333333333</c:v>
                </c:pt>
                <c:pt idx="1">
                  <c:v>1.6666666666666667</c:v>
                </c:pt>
                <c:pt idx="2">
                  <c:v>1.7</c:v>
                </c:pt>
                <c:pt idx="3">
                  <c:v>1.4333333333333336</c:v>
                </c:pt>
                <c:pt idx="4">
                  <c:v>1.7</c:v>
                </c:pt>
                <c:pt idx="5">
                  <c:v>2</c:v>
                </c:pt>
                <c:pt idx="6">
                  <c:v>1.9333333333333336</c:v>
                </c:pt>
                <c:pt idx="7">
                  <c:v>1.9333333333333333</c:v>
                </c:pt>
                <c:pt idx="8">
                  <c:v>2.1333333333333333</c:v>
                </c:pt>
                <c:pt idx="9">
                  <c:v>2.1999999999999997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776-4924-8555-6A2F724C9BF3}"/>
            </c:ext>
          </c:extLst>
        </c:ser>
        <c:ser>
          <c:idx val="1"/>
          <c:order val="2"/>
          <c:tx>
            <c:strRef>
              <c:f>'Graf 45 + 46'!$D$27:$E$27</c:f>
              <c:strCache>
                <c:ptCount val="2"/>
                <c:pt idx="0">
                  <c:v>% z výdavkov</c:v>
                </c:pt>
                <c:pt idx="1">
                  <c:v>Slovensko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'Graf 45 + 46'!$F$24:$O$24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'Graf 45 + 46'!$F$27:$O$27</c:f>
              <c:numCache>
                <c:formatCode>_-* #\ ##0.0\ _€_-;\-* #\ ##0.0\ _€_-;_-* "-"??\ _€_-;_-@_-</c:formatCode>
                <c:ptCount val="10"/>
                <c:pt idx="0">
                  <c:v>2.1</c:v>
                </c:pt>
                <c:pt idx="1">
                  <c:v>2</c:v>
                </c:pt>
                <c:pt idx="2">
                  <c:v>2.1</c:v>
                </c:pt>
                <c:pt idx="3">
                  <c:v>2.2000000000000002</c:v>
                </c:pt>
                <c:pt idx="4">
                  <c:v>2.1</c:v>
                </c:pt>
                <c:pt idx="5">
                  <c:v>1.9</c:v>
                </c:pt>
                <c:pt idx="6">
                  <c:v>2</c:v>
                </c:pt>
                <c:pt idx="7">
                  <c:v>1.9</c:v>
                </c:pt>
                <c:pt idx="8">
                  <c:v>2</c:v>
                </c:pt>
                <c:pt idx="9">
                  <c:v>2.2999999999999998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776-4924-8555-6A2F724C9BF3}"/>
            </c:ext>
          </c:extLst>
        </c:ser>
        <c:ser>
          <c:idx val="0"/>
          <c:order val="3"/>
          <c:tx>
            <c:strRef>
              <c:f>'Graf 45 + 46'!$D$28:$E$28</c:f>
              <c:strCache>
                <c:ptCount val="2"/>
                <c:pt idx="0">
                  <c:v>% HDP</c:v>
                </c:pt>
                <c:pt idx="1">
                  <c:v>EU28</c:v>
                </c:pt>
              </c:strCache>
            </c:strRef>
          </c:tx>
          <c:spPr>
            <a:ln w="19050">
              <a:solidFill>
                <a:srgbClr val="D3BEDE"/>
              </a:solidFill>
              <a:prstDash val="solid"/>
            </a:ln>
          </c:spPr>
          <c:marker>
            <c:symbol val="none"/>
          </c:marker>
          <c:cat>
            <c:numRef>
              <c:f>'Graf 45 + 46'!$F$24:$O$24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'Graf 45 + 46'!$F$28:$O$28</c:f>
              <c:numCache>
                <c:formatCode>_-* #\ ##0.0\ _€_-;\-* #\ ##0.0\ _€_-;_-* "-"??\ _€_-;_-@_-</c:formatCode>
                <c:ptCount val="10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776-4924-8555-6A2F724C9BF3}"/>
            </c:ext>
          </c:extLst>
        </c:ser>
        <c:ser>
          <c:idx val="5"/>
          <c:order val="4"/>
          <c:tx>
            <c:strRef>
              <c:f>'Graf 45 + 46'!$D$29:$E$29</c:f>
              <c:strCache>
                <c:ptCount val="2"/>
                <c:pt idx="0">
                  <c:v>% HDP</c:v>
                </c:pt>
                <c:pt idx="1">
                  <c:v>V3</c:v>
                </c:pt>
              </c:strCache>
            </c:strRef>
          </c:tx>
          <c:spPr>
            <a:ln w="19050">
              <a:solidFill>
                <a:srgbClr val="2C9ADC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4776-4924-8555-6A2F724C9BF3}"/>
              </c:ext>
            </c:extLst>
          </c:dPt>
          <c:cat>
            <c:numRef>
              <c:f>'Graf 45 + 46'!$F$24:$O$24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'Graf 45 + 46'!$F$29:$O$29</c:f>
              <c:numCache>
                <c:formatCode>_-* #\ ##0.0\ _€_-;\-* #\ ##0.0\ _€_-;_-* "-"??\ _€_-;_-@_-</c:formatCode>
                <c:ptCount val="10"/>
                <c:pt idx="0">
                  <c:v>0.83333333333333337</c:v>
                </c:pt>
                <c:pt idx="1">
                  <c:v>0.70000000000000007</c:v>
                </c:pt>
                <c:pt idx="2">
                  <c:v>0.73333333333333339</c:v>
                </c:pt>
                <c:pt idx="3">
                  <c:v>0.66666666666666663</c:v>
                </c:pt>
                <c:pt idx="4">
                  <c:v>0.76666666666666661</c:v>
                </c:pt>
                <c:pt idx="5">
                  <c:v>0.9</c:v>
                </c:pt>
                <c:pt idx="6">
                  <c:v>0.8666666666666667</c:v>
                </c:pt>
                <c:pt idx="7">
                  <c:v>0.83333333333333337</c:v>
                </c:pt>
                <c:pt idx="8">
                  <c:v>0.93333333333333346</c:v>
                </c:pt>
                <c:pt idx="9">
                  <c:v>0.96666666666666667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776-4924-8555-6A2F724C9BF3}"/>
            </c:ext>
          </c:extLst>
        </c:ser>
        <c:ser>
          <c:idx val="4"/>
          <c:order val="5"/>
          <c:tx>
            <c:strRef>
              <c:f>'Graf 45 + 46'!$D$30:$E$30</c:f>
              <c:strCache>
                <c:ptCount val="2"/>
                <c:pt idx="0">
                  <c:v>% HDP</c:v>
                </c:pt>
                <c:pt idx="1">
                  <c:v>Slovensko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45 + 46'!$F$24:$O$24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'Graf 45 + 46'!$F$30:$O$30</c:f>
              <c:numCache>
                <c:formatCode>_-* #\ ##0.0\ _€_-;\-* #\ ##0.0\ _€_-;_-* "-"??\ _€_-;_-@_-</c:formatCode>
                <c:ptCount val="10"/>
                <c:pt idx="0">
                  <c:v>0.8</c:v>
                </c:pt>
                <c:pt idx="1">
                  <c:v>0.7</c:v>
                </c:pt>
                <c:pt idx="2">
                  <c:v>0.8</c:v>
                </c:pt>
                <c:pt idx="3">
                  <c:v>1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776-4924-8555-6A2F724C9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701768"/>
        <c:axId val="302702160"/>
      </c:lineChart>
      <c:catAx>
        <c:axId val="302701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02702160"/>
        <c:crosses val="autoZero"/>
        <c:auto val="1"/>
        <c:lblAlgn val="ctr"/>
        <c:lblOffset val="100"/>
        <c:noMultiLvlLbl val="0"/>
      </c:catAx>
      <c:valAx>
        <c:axId val="302702160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270176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6.2926856270081474E-2"/>
          <c:y val="1.1511790598159666E-3"/>
          <c:w val="0.93707314372991857"/>
          <c:h val="0.1545227080078029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ivotFmts>
      <c:pivotFmt>
        <c:idx val="0"/>
        <c:spPr>
          <a:solidFill>
            <a:srgbClr val="2C9ADC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rgbClr val="2C4D75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333F50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D9D9D9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rgbClr val="2777CF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tx2">
              <a:lumMod val="500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9.4902289233932499E-2"/>
          <c:y val="6.1111111111111109E-2"/>
          <c:w val="0.85488086529699647"/>
          <c:h val="0.80190638670166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47 + 48'!$K$9</c:f>
              <c:strCache>
                <c:ptCount val="1"/>
                <c:pt idx="0">
                  <c:v>SK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2C9ADC"/>
              </a:solidFill>
            </a:ln>
            <a:effectLst/>
          </c:spPr>
          <c:invertIfNegative val="0"/>
          <c:cat>
            <c:strRef>
              <c:f>'Graf 47 + 48'!$L$8:$T$8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Cieľ 2020</c:v>
                </c:pt>
              </c:strCache>
            </c:strRef>
          </c:cat>
          <c:val>
            <c:numRef>
              <c:f>'Graf 47 + 48'!$L$9:$T$9</c:f>
              <c:numCache>
                <c:formatCode>General</c:formatCode>
                <c:ptCount val="9"/>
                <c:pt idx="0">
                  <c:v>66.400000000000006</c:v>
                </c:pt>
                <c:pt idx="1">
                  <c:v>64.599999999999994</c:v>
                </c:pt>
                <c:pt idx="2">
                  <c:v>65</c:v>
                </c:pt>
                <c:pt idx="3">
                  <c:v>65.099999999999994</c:v>
                </c:pt>
                <c:pt idx="4">
                  <c:v>65</c:v>
                </c:pt>
                <c:pt idx="5">
                  <c:v>65.900000000000006</c:v>
                </c:pt>
                <c:pt idx="6">
                  <c:v>67.7</c:v>
                </c:pt>
                <c:pt idx="7">
                  <c:v>69.8</c:v>
                </c:pt>
                <c:pt idx="8">
                  <c:v>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2A-46A6-BC93-E65B2F33F54C}"/>
            </c:ext>
          </c:extLst>
        </c:ser>
        <c:ser>
          <c:idx val="1"/>
          <c:order val="1"/>
          <c:tx>
            <c:strRef>
              <c:f>'Graf 47 + 48'!$K$10</c:f>
              <c:strCache>
                <c:ptCount val="1"/>
                <c:pt idx="0">
                  <c:v>EÚ</c:v>
                </c:pt>
              </c:strCache>
            </c:strRef>
          </c:tx>
          <c:spPr>
            <a:solidFill>
              <a:srgbClr val="AAD3F2"/>
            </a:solidFill>
            <a:ln>
              <a:solidFill>
                <a:srgbClr val="AAD3F2"/>
              </a:solidFill>
            </a:ln>
            <a:effectLst/>
          </c:spPr>
          <c:invertIfNegative val="0"/>
          <c:cat>
            <c:strRef>
              <c:f>'Graf 47 + 48'!$L$8:$T$8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Cieľ 2020</c:v>
                </c:pt>
              </c:strCache>
            </c:strRef>
          </c:cat>
          <c:val>
            <c:numRef>
              <c:f>'Graf 47 + 48'!$L$10:$T$10</c:f>
              <c:numCache>
                <c:formatCode>General</c:formatCode>
                <c:ptCount val="9"/>
                <c:pt idx="0">
                  <c:v>69</c:v>
                </c:pt>
                <c:pt idx="1">
                  <c:v>68.599999999999994</c:v>
                </c:pt>
                <c:pt idx="2">
                  <c:v>68.599999999999994</c:v>
                </c:pt>
                <c:pt idx="3">
                  <c:v>68.400000000000006</c:v>
                </c:pt>
                <c:pt idx="4">
                  <c:v>68.400000000000006</c:v>
                </c:pt>
                <c:pt idx="5">
                  <c:v>69.2</c:v>
                </c:pt>
                <c:pt idx="6">
                  <c:v>70.099999999999994</c:v>
                </c:pt>
                <c:pt idx="7">
                  <c:v>71.099999999999994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2A-46A6-BC93-E65B2F33F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2702944"/>
        <c:axId val="302703336"/>
      </c:barChart>
      <c:catAx>
        <c:axId val="30270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3336"/>
        <c:crosses val="autoZero"/>
        <c:auto val="1"/>
        <c:lblAlgn val="ctr"/>
        <c:lblOffset val="100"/>
        <c:noMultiLvlLbl val="0"/>
      </c:catAx>
      <c:valAx>
        <c:axId val="30270333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95000"/>
                </a:sys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9112351281955299"/>
          <c:y val="6.4257028112449793E-2"/>
          <c:w val="0.20870079631084801"/>
          <c:h val="8.614784597708420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extLst xmlns:c16r2="http://schemas.microsoft.com/office/drawing/2015/06/chart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865097794295195E-2"/>
          <c:y val="6.1111111111111109E-2"/>
          <c:w val="0.85340859369751942"/>
          <c:h val="0.8029068241469817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'Graf 47 + 48'!$K$24</c:f>
              <c:strCache>
                <c:ptCount val="1"/>
                <c:pt idx="0">
                  <c:v>Miera chudoby SR</c:v>
                </c:pt>
              </c:strCache>
            </c:strRef>
          </c:tx>
          <c:spPr>
            <a:solidFill>
              <a:srgbClr val="2C9ADC"/>
            </a:solidFill>
            <a:ln>
              <a:solidFill>
                <a:srgbClr val="2C9ADC"/>
              </a:solidFill>
            </a:ln>
            <a:effectLst/>
          </c:spPr>
          <c:invertIfNegative val="0"/>
          <c:cat>
            <c:numRef>
              <c:f>'Graf 47 + 48'!$L$22:$Q$22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47 + 48'!$L$24:$Q$24</c:f>
              <c:numCache>
                <c:formatCode>General</c:formatCode>
                <c:ptCount val="6"/>
                <c:pt idx="0">
                  <c:v>13</c:v>
                </c:pt>
                <c:pt idx="1">
                  <c:v>13.2</c:v>
                </c:pt>
                <c:pt idx="2">
                  <c:v>12.8</c:v>
                </c:pt>
                <c:pt idx="3">
                  <c:v>12.6</c:v>
                </c:pt>
                <c:pt idx="4">
                  <c:v>12.3</c:v>
                </c:pt>
                <c:pt idx="5">
                  <c:v>12.7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16-4803-9EE2-00E8517D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6"/>
        <c:axId val="302704120"/>
        <c:axId val="302704512"/>
      </c:barChart>
      <c:lineChart>
        <c:grouping val="standard"/>
        <c:varyColors val="0"/>
        <c:ser>
          <c:idx val="0"/>
          <c:order val="0"/>
          <c:tx>
            <c:strRef>
              <c:f>'Graf 47 + 48'!$K$23</c:f>
              <c:strCache>
                <c:ptCount val="1"/>
                <c:pt idx="0">
                  <c:v>Miera chudoby EÚ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2"/>
            <c:spPr>
              <a:solidFill>
                <a:srgbClr val="AAD3F2"/>
              </a:solidFill>
              <a:ln w="9525">
                <a:noFill/>
              </a:ln>
              <a:effectLst/>
            </c:spPr>
          </c:marker>
          <c:cat>
            <c:numRef>
              <c:f>'Graf 47 + 48'!$L$22:$Q$22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 47 + 48'!$L$23:$Q$23</c:f>
              <c:numCache>
                <c:formatCode>General</c:formatCode>
                <c:ptCount val="6"/>
                <c:pt idx="0">
                  <c:v>16.8</c:v>
                </c:pt>
                <c:pt idx="1">
                  <c:v>16.8</c:v>
                </c:pt>
                <c:pt idx="2">
                  <c:v>16.7</c:v>
                </c:pt>
                <c:pt idx="3">
                  <c:v>17.2</c:v>
                </c:pt>
                <c:pt idx="4">
                  <c:v>17.3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C16-4803-9EE2-00E8517D2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704120"/>
        <c:axId val="302704512"/>
      </c:lineChart>
      <c:catAx>
        <c:axId val="30270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4512"/>
        <c:crosses val="autoZero"/>
        <c:auto val="1"/>
        <c:lblAlgn val="ctr"/>
        <c:lblOffset val="100"/>
        <c:noMultiLvlLbl val="0"/>
      </c:catAx>
      <c:valAx>
        <c:axId val="3027045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95000"/>
                </a:sys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4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rgbClr val="2C9ADC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rgbClr val="2C4D75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333F50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D9D9D9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rgbClr val="2777CF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tx2">
              <a:lumMod val="50000"/>
            </a:schemeClr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5.0170871498205601E-2"/>
          <c:y val="5.1342592592592599E-2"/>
          <c:w val="0.939669464393874"/>
          <c:h val="0.795128608923884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49 + 50'!$Q$3</c:f>
              <c:strCache>
                <c:ptCount val="1"/>
                <c:pt idx="0">
                  <c:v>Verejné výdavky 
na sociálne zabezpečenie (% HDP)</c:v>
                </c:pt>
              </c:strCache>
            </c:strRef>
          </c:tx>
          <c:spPr>
            <a:solidFill>
              <a:srgbClr val="AAD3F2"/>
            </a:solidFill>
            <a:ln>
              <a:solidFill>
                <a:srgbClr val="AAD3F2"/>
              </a:solidFill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2C9ADC"/>
              </a:solidFill>
              <a:ln>
                <a:solidFill>
                  <a:srgbClr val="2C9ADC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DC-4772-91C9-018D38CB766D}"/>
              </c:ext>
            </c:extLst>
          </c:dPt>
          <c:cat>
            <c:strRef>
              <c:f>'Graf 49 + 50'!$P$4:$P$32</c:f>
              <c:strCache>
                <c:ptCount val="29"/>
                <c:pt idx="0">
                  <c:v>Írsko</c:v>
                </c:pt>
                <c:pt idx="1">
                  <c:v>Litva</c:v>
                </c:pt>
                <c:pt idx="2">
                  <c:v>Lotyšsko</c:v>
                </c:pt>
                <c:pt idx="3">
                  <c:v>Rumunsko</c:v>
                </c:pt>
                <c:pt idx="4">
                  <c:v>Cyprus</c:v>
                </c:pt>
                <c:pt idx="5">
                  <c:v>Malta</c:v>
                </c:pt>
                <c:pt idx="6">
                  <c:v>Česká republika</c:v>
                </c:pt>
                <c:pt idx="7">
                  <c:v>Estónsko</c:v>
                </c:pt>
                <c:pt idx="8">
                  <c:v>Bulharsko</c:v>
                </c:pt>
                <c:pt idx="9">
                  <c:v>Maďarsko</c:v>
                </c:pt>
                <c:pt idx="10">
                  <c:v>Slovensko</c:v>
                </c:pt>
                <c:pt idx="11">
                  <c:v>Chorvátsko</c:v>
                </c:pt>
                <c:pt idx="12">
                  <c:v>Poľsko</c:v>
                </c:pt>
                <c:pt idx="13">
                  <c:v>Veľká Británia</c:v>
                </c:pt>
                <c:pt idx="14">
                  <c:v>Holandsko</c:v>
                </c:pt>
                <c:pt idx="15">
                  <c:v>Španielsko</c:v>
                </c:pt>
                <c:pt idx="16">
                  <c:v>Slovinsko</c:v>
                </c:pt>
                <c:pt idx="17">
                  <c:v>Portugalsko</c:v>
                </c:pt>
                <c:pt idx="18">
                  <c:v>Luxembursko</c:v>
                </c:pt>
                <c:pt idx="19">
                  <c:v>Nemecko</c:v>
                </c:pt>
                <c:pt idx="20">
                  <c:v>EU28</c:v>
                </c:pt>
                <c:pt idx="21">
                  <c:v>Belgicko</c:v>
                </c:pt>
                <c:pt idx="22">
                  <c:v>Grécko</c:v>
                </c:pt>
                <c:pt idx="23">
                  <c:v>Švédsko</c:v>
                </c:pt>
                <c:pt idx="24">
                  <c:v>Taliansko</c:v>
                </c:pt>
                <c:pt idx="25">
                  <c:v>Rakúsko</c:v>
                </c:pt>
                <c:pt idx="26">
                  <c:v>Dánsko</c:v>
                </c:pt>
                <c:pt idx="27">
                  <c:v>Francúzsko</c:v>
                </c:pt>
                <c:pt idx="28">
                  <c:v>Fínsko</c:v>
                </c:pt>
              </c:strCache>
            </c:strRef>
          </c:cat>
          <c:val>
            <c:numRef>
              <c:f>'Graf 49 + 50'!$Q$4:$Q$32</c:f>
              <c:numCache>
                <c:formatCode>General</c:formatCode>
                <c:ptCount val="29"/>
                <c:pt idx="0">
                  <c:v>9.6</c:v>
                </c:pt>
                <c:pt idx="1">
                  <c:v>11.1</c:v>
                </c:pt>
                <c:pt idx="2">
                  <c:v>11.5</c:v>
                </c:pt>
                <c:pt idx="3">
                  <c:v>11.5</c:v>
                </c:pt>
                <c:pt idx="4">
                  <c:v>12</c:v>
                </c:pt>
                <c:pt idx="5">
                  <c:v>12.4</c:v>
                </c:pt>
                <c:pt idx="6">
                  <c:v>12.7</c:v>
                </c:pt>
                <c:pt idx="7">
                  <c:v>12.9</c:v>
                </c:pt>
                <c:pt idx="8">
                  <c:v>13.3</c:v>
                </c:pt>
                <c:pt idx="9">
                  <c:v>15</c:v>
                </c:pt>
                <c:pt idx="10">
                  <c:v>15</c:v>
                </c:pt>
                <c:pt idx="11">
                  <c:v>15.1</c:v>
                </c:pt>
                <c:pt idx="12">
                  <c:v>15.9</c:v>
                </c:pt>
                <c:pt idx="13">
                  <c:v>16.399999999999999</c:v>
                </c:pt>
                <c:pt idx="14">
                  <c:v>16.600000000000001</c:v>
                </c:pt>
                <c:pt idx="15">
                  <c:v>17.100000000000001</c:v>
                </c:pt>
                <c:pt idx="16">
                  <c:v>17.399999999999999</c:v>
                </c:pt>
                <c:pt idx="17">
                  <c:v>18.3</c:v>
                </c:pt>
                <c:pt idx="18">
                  <c:v>18.899999999999999</c:v>
                </c:pt>
                <c:pt idx="19">
                  <c:v>19</c:v>
                </c:pt>
                <c:pt idx="20">
                  <c:v>19.2</c:v>
                </c:pt>
                <c:pt idx="21">
                  <c:v>20.2</c:v>
                </c:pt>
                <c:pt idx="22">
                  <c:v>20.5</c:v>
                </c:pt>
                <c:pt idx="23">
                  <c:v>20.9</c:v>
                </c:pt>
                <c:pt idx="24">
                  <c:v>21.5</c:v>
                </c:pt>
                <c:pt idx="25">
                  <c:v>21.7</c:v>
                </c:pt>
                <c:pt idx="26">
                  <c:v>23.6</c:v>
                </c:pt>
                <c:pt idx="27">
                  <c:v>24.6</c:v>
                </c:pt>
                <c:pt idx="28">
                  <c:v>25.6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ADC-4772-91C9-018D38CB7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2705296"/>
        <c:axId val="302705688"/>
      </c:barChart>
      <c:catAx>
        <c:axId val="30270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5688"/>
        <c:crosses val="autoZero"/>
        <c:auto val="1"/>
        <c:lblAlgn val="ctr"/>
        <c:lblOffset val="100"/>
        <c:noMultiLvlLbl val="0"/>
      </c:catAx>
      <c:valAx>
        <c:axId val="30270568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95000"/>
                </a:sys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5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extLst xmlns:c16r2="http://schemas.microsoft.com/office/drawing/2015/06/chart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677344472068381"/>
          <c:y val="3.732429279673375E-2"/>
          <c:w val="0.54645311055863244"/>
          <c:h val="0.74142218333819432"/>
        </c:manualLayout>
      </c:layout>
      <c:pieChart>
        <c:varyColors val="1"/>
        <c:ser>
          <c:idx val="0"/>
          <c:order val="0"/>
          <c:tx>
            <c:strRef>
              <c:f>'Graf 49 + 50'!$Q$39</c:f>
              <c:strCache>
                <c:ptCount val="1"/>
                <c:pt idx="0">
                  <c:v>2018 N</c:v>
                </c:pt>
              </c:strCache>
            </c:strRef>
          </c:tx>
          <c:spPr>
            <a:solidFill>
              <a:srgbClr val="2C9ADC"/>
            </a:solidFill>
          </c:spPr>
          <c:dPt>
            <c:idx val="0"/>
            <c:bubble3D val="0"/>
            <c:spPr>
              <a:solidFill>
                <a:srgbClr val="D3BEDE"/>
              </a:solidFill>
              <a:ln>
                <a:solidFill>
                  <a:srgbClr val="D3BEDE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732-4BA3-8070-483D62B73150}"/>
              </c:ext>
            </c:extLst>
          </c:dPt>
          <c:dPt>
            <c:idx val="1"/>
            <c:bubble3D val="0"/>
            <c:spPr>
              <a:solidFill>
                <a:srgbClr val="B0D6A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732-4BA3-8070-483D62B73150}"/>
              </c:ext>
            </c:extLst>
          </c:dPt>
          <c:dPt>
            <c:idx val="2"/>
            <c:bubble3D val="0"/>
            <c:spPr>
              <a:solidFill>
                <a:sysClr val="window" lastClr="FFFFFF">
                  <a:lumMod val="85000"/>
                </a:sysClr>
              </a:solidFill>
              <a:ln>
                <a:solidFill>
                  <a:sysClr val="window" lastClr="FFFFFF">
                    <a:lumMod val="85000"/>
                  </a:sys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732-4BA3-8070-483D62B73150}"/>
              </c:ext>
            </c:extLst>
          </c:dPt>
          <c:dPt>
            <c:idx val="3"/>
            <c:bubble3D val="0"/>
            <c:spPr>
              <a:solidFill>
                <a:srgbClr val="2C9ADC"/>
              </a:solidFill>
              <a:ln>
                <a:solidFill>
                  <a:srgbClr val="2C9ADC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732-4BA3-8070-483D62B73150}"/>
              </c:ext>
            </c:extLst>
          </c:dPt>
          <c:dPt>
            <c:idx val="4"/>
            <c:bubble3D val="0"/>
            <c:spPr>
              <a:solidFill>
                <a:srgbClr val="F9C9BA"/>
              </a:solidFill>
              <a:ln>
                <a:solidFill>
                  <a:srgbClr val="F9C9BA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732-4BA3-8070-483D62B73150}"/>
              </c:ext>
            </c:extLst>
          </c:dPt>
          <c:dPt>
            <c:idx val="5"/>
            <c:bubble3D val="0"/>
            <c:spPr>
              <a:solidFill>
                <a:srgbClr val="AAD3F2"/>
              </a:solidFill>
              <a:ln>
                <a:solidFill>
                  <a:srgbClr val="AAD3F2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732-4BA3-8070-483D62B73150}"/>
              </c:ext>
            </c:extLst>
          </c:dPt>
          <c:dPt>
            <c:idx val="6"/>
            <c:bubble3D val="0"/>
            <c:spPr>
              <a:solidFill>
                <a:srgbClr val="D9D3AB"/>
              </a:solidFill>
              <a:ln>
                <a:solidFill>
                  <a:srgbClr val="D9D3AB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732-4BA3-8070-483D62B73150}"/>
              </c:ext>
            </c:extLst>
          </c:dPt>
          <c:dLbls>
            <c:dLbl>
              <c:idx val="6"/>
              <c:layout>
                <c:manualLayout>
                  <c:x val="-1.5807847914038369E-2"/>
                  <c:y val="2.7309837830112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732-4BA3-8070-483D62B7315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 49 + 50'!$P$40:$P$46</c:f>
              <c:strCache>
                <c:ptCount val="7"/>
                <c:pt idx="0">
                  <c:v>Služby zamestnanosti</c:v>
                </c:pt>
                <c:pt idx="1">
                  <c:v>Prevádzkové výdavky</c:v>
                </c:pt>
                <c:pt idx="2">
                  <c:v>Pomoc v hmotnej núdzi</c:v>
                </c:pt>
                <c:pt idx="3">
                  <c:v>Podpora rodiny</c:v>
                </c:pt>
                <c:pt idx="4">
                  <c:v>Kompenzácia ŤZP</c:v>
                </c:pt>
                <c:pt idx="5">
                  <c:v>Ostatné sociálna inklúzia</c:v>
                </c:pt>
                <c:pt idx="6">
                  <c:v>Ostatné</c:v>
                </c:pt>
              </c:strCache>
            </c:strRef>
          </c:cat>
          <c:val>
            <c:numRef>
              <c:f>'Graf 49 + 50'!$Q$40:$Q$46</c:f>
              <c:numCache>
                <c:formatCode>General</c:formatCode>
                <c:ptCount val="7"/>
                <c:pt idx="0">
                  <c:v>268</c:v>
                </c:pt>
                <c:pt idx="1">
                  <c:v>169</c:v>
                </c:pt>
                <c:pt idx="2">
                  <c:v>173</c:v>
                </c:pt>
                <c:pt idx="3">
                  <c:v>1045</c:v>
                </c:pt>
                <c:pt idx="4">
                  <c:v>281</c:v>
                </c:pt>
                <c:pt idx="5">
                  <c:v>387</c:v>
                </c:pt>
                <c:pt idx="6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6732-4BA3-8070-483D62B73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4.8221593660015757E-2"/>
          <c:y val="0.80380796150481204"/>
          <c:w val="0.90355681267996824"/>
          <c:h val="0.19619187692654577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704286964129"/>
          <c:y val="6.6066066066066104E-2"/>
          <c:w val="0.81197472538155002"/>
          <c:h val="0.646268946111466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51 + 52'!$N$6</c:f>
              <c:strCache>
                <c:ptCount val="1"/>
                <c:pt idx="0">
                  <c:v>Program Stability 2017-2020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51 + 52'!$O$5:$T$5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51 + 52'!$O$6:$T$6</c:f>
              <c:numCache>
                <c:formatCode>0.0</c:formatCode>
                <c:ptCount val="6"/>
                <c:pt idx="0">
                  <c:v>-2.3215508695872575</c:v>
                </c:pt>
                <c:pt idx="1">
                  <c:v>-1.3881204053720908</c:v>
                </c:pt>
                <c:pt idx="2">
                  <c:v>-1.0124596682186437</c:v>
                </c:pt>
                <c:pt idx="3">
                  <c:v>-0.40487011073020646</c:v>
                </c:pt>
                <c:pt idx="4">
                  <c:v>-0.24007295457461639</c:v>
                </c:pt>
                <c:pt idx="5">
                  <c:v>-0.36551718565750513</c:v>
                </c:pt>
              </c:numCache>
            </c:numRef>
          </c:val>
        </c:ser>
        <c:ser>
          <c:idx val="1"/>
          <c:order val="1"/>
          <c:tx>
            <c:strRef>
              <c:f>'Graf 51 + 52'!$N$7</c:f>
              <c:strCache>
                <c:ptCount val="1"/>
                <c:pt idx="0">
                  <c:v>Návrh rozpočtového plánu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51 + 52'!$O$5:$T$5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51 + 52'!$O$7:$T$7</c:f>
              <c:numCache>
                <c:formatCode>0.0</c:formatCode>
                <c:ptCount val="6"/>
                <c:pt idx="0">
                  <c:v>-2.4474453061036785</c:v>
                </c:pt>
                <c:pt idx="1">
                  <c:v>-2.0651216795301686</c:v>
                </c:pt>
                <c:pt idx="2">
                  <c:v>-1.6864954172610547</c:v>
                </c:pt>
                <c:pt idx="3">
                  <c:v>-1.1308129031222216</c:v>
                </c:pt>
                <c:pt idx="4">
                  <c:v>-0.63012461205133019</c:v>
                </c:pt>
                <c:pt idx="5">
                  <c:v>-0.52742428767737259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06864"/>
        <c:axId val="302707256"/>
      </c:barChart>
      <c:catAx>
        <c:axId val="30270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7256"/>
        <c:crosses val="autoZero"/>
        <c:auto val="1"/>
        <c:lblAlgn val="ctr"/>
        <c:lblOffset val="100"/>
        <c:noMultiLvlLbl val="0"/>
      </c:catAx>
      <c:valAx>
        <c:axId val="30270725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35574900963467"/>
          <c:y val="0.82777019539224261"/>
          <c:w val="0.73432915330028203"/>
          <c:h val="0.172229552387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0072448060975"/>
          <c:y val="6.4046579330422099E-2"/>
          <c:w val="0.83004094843824905"/>
          <c:h val="0.5884743664683840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'Graf 51 + 52'!$N$9</c:f>
              <c:strCache>
                <c:ptCount val="1"/>
                <c:pt idx="0">
                  <c:v>z toho: zmena cyklickej zložky</c:v>
                </c:pt>
              </c:strCache>
            </c:strRef>
          </c:tx>
          <c:spPr>
            <a:solidFill>
              <a:srgbClr val="AAD3F2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numRef>
              <c:f>'Graf 51 + 52'!$O$5:$T$5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51 + 52'!$O$9:$T$9</c:f>
              <c:numCache>
                <c:formatCode>0.0</c:formatCode>
                <c:ptCount val="6"/>
                <c:pt idx="0">
                  <c:v>-0.12589443651642124</c:v>
                </c:pt>
                <c:pt idx="1">
                  <c:v>-0.16763100855715679</c:v>
                </c:pt>
                <c:pt idx="2">
                  <c:v>-0.28808141462180198</c:v>
                </c:pt>
                <c:pt idx="3">
                  <c:v>-0.39594309476287226</c:v>
                </c:pt>
                <c:pt idx="4">
                  <c:v>-0.2900515195612865</c:v>
                </c:pt>
                <c:pt idx="5">
                  <c:v>-0.16190710201986747</c:v>
                </c:pt>
              </c:numCache>
            </c:numRef>
          </c:val>
        </c:ser>
        <c:ser>
          <c:idx val="4"/>
          <c:order val="4"/>
          <c:tx>
            <c:strRef>
              <c:f>'Graf 51 + 52'!$N$10</c:f>
              <c:strCache>
                <c:ptCount val="1"/>
                <c:pt idx="0">
                  <c:v>z toho: zmena nominálneho salda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>
              <a:noFill/>
            </a:ln>
            <a:effectLst/>
          </c:spPr>
          <c:invertIfNegative val="0"/>
          <c:cat>
            <c:numRef>
              <c:f>'Graf 51 + 52'!$O$5:$T$5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51 + 52'!$O$10:$T$10</c:f>
              <c:numCache>
                <c:formatCode>0.0</c:formatCode>
                <c:ptCount val="6"/>
                <c:pt idx="0">
                  <c:v>0</c:v>
                </c:pt>
                <c:pt idx="1">
                  <c:v>-0.50937026560092091</c:v>
                </c:pt>
                <c:pt idx="2">
                  <c:v>-0.38595433442060911</c:v>
                </c:pt>
                <c:pt idx="3">
                  <c:v>-0.32999969762914283</c:v>
                </c:pt>
                <c:pt idx="4">
                  <c:v>-0.10000013791542728</c:v>
                </c:pt>
                <c:pt idx="5">
                  <c:v>0</c:v>
                </c:pt>
              </c:numCache>
            </c:numRef>
          </c:val>
        </c:ser>
        <c:ser>
          <c:idx val="5"/>
          <c:order val="5"/>
          <c:tx>
            <c:strRef>
              <c:f>'Graf 51 + 52'!$N$11</c:f>
              <c:strCache>
                <c:ptCount val="1"/>
                <c:pt idx="0">
                  <c:v>z toho: zmena jednorazových opatrení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f>'Graf 51 + 52'!$O$5:$T$5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51 + 52'!$O$11:$T$11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708040"/>
        <c:axId val="302708432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 51 + 52'!$N$7</c15:sqref>
                        </c15:formulaRef>
                      </c:ext>
                    </c:extLst>
                    <c:strCache>
                      <c:ptCount val="1"/>
                      <c:pt idx="0">
                        <c:v>Návrh rozpočtového plánu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'Graf 51 + 52'!$O$5:$T$5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 51 + 52'!$O$7:$T$7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-2.4474453061036785</c:v>
                      </c:pt>
                      <c:pt idx="1">
                        <c:v>-2.0651216795301686</c:v>
                      </c:pt>
                      <c:pt idx="2">
                        <c:v>-1.6864954172610547</c:v>
                      </c:pt>
                      <c:pt idx="3">
                        <c:v>-1.1308129031222216</c:v>
                      </c:pt>
                      <c:pt idx="4">
                        <c:v>-0.63012461205133019</c:v>
                      </c:pt>
                      <c:pt idx="5">
                        <c:v>-0.52742428767737259</c:v>
                      </c:pt>
                    </c:numCache>
                  </c:numRef>
                </c:val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51 + 52'!$N$6</c15:sqref>
                        </c15:formulaRef>
                      </c:ext>
                    </c:extLst>
                    <c:strCache>
                      <c:ptCount val="1"/>
                      <c:pt idx="0">
                        <c:v>Program Stability 2017-2020</c:v>
                      </c:pt>
                    </c:strCache>
                  </c:strRef>
                </c:tx>
                <c:spPr>
                  <a:solidFill>
                    <a:srgbClr val="2C9ADC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51 + 52'!$O$5:$T$5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51 + 52'!$O$6:$T$6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-2.3215508695872575</c:v>
                      </c:pt>
                      <c:pt idx="1">
                        <c:v>-1.3881204053720908</c:v>
                      </c:pt>
                      <c:pt idx="2">
                        <c:v>-1.0124596682186437</c:v>
                      </c:pt>
                      <c:pt idx="3">
                        <c:v>-0.40487011073020646</c:v>
                      </c:pt>
                      <c:pt idx="4">
                        <c:v>-0.24007295457461639</c:v>
                      </c:pt>
                      <c:pt idx="5">
                        <c:v>-0.36551718565750513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'Graf 51 + 52'!$N$8</c:f>
              <c:strCache>
                <c:ptCount val="1"/>
                <c:pt idx="0">
                  <c:v>Revízia štrukturálneho salda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'Graf 51 + 52'!$O$5:$T$5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51 + 52'!$O$8:$T$8</c:f>
              <c:numCache>
                <c:formatCode>0.0</c:formatCode>
                <c:ptCount val="6"/>
                <c:pt idx="0">
                  <c:v>-0.12589443651642124</c:v>
                </c:pt>
                <c:pt idx="1">
                  <c:v>-0.67700127415807776</c:v>
                </c:pt>
                <c:pt idx="2">
                  <c:v>-0.67403574904241093</c:v>
                </c:pt>
                <c:pt idx="3">
                  <c:v>-0.7259427923920152</c:v>
                </c:pt>
                <c:pt idx="4">
                  <c:v>-0.39005165747671378</c:v>
                </c:pt>
                <c:pt idx="5">
                  <c:v>-0.16190710201986747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708040"/>
        <c:axId val="302708432"/>
      </c:lineChart>
      <c:catAx>
        <c:axId val="3027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8432"/>
        <c:crosses val="autoZero"/>
        <c:auto val="1"/>
        <c:lblAlgn val="ctr"/>
        <c:lblOffset val="100"/>
        <c:noMultiLvlLbl val="0"/>
      </c:catAx>
      <c:valAx>
        <c:axId val="30270843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027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451000606709697E-2"/>
          <c:y val="0.75349173056424701"/>
          <c:w val="0.95954908316526721"/>
          <c:h val="0.24650834870930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98434917857495E-2"/>
          <c:y val="4.5901882699239803E-2"/>
          <c:w val="0.81812983523330596"/>
          <c:h val="0.6157087211233790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5 + 6'!$J$18</c:f>
              <c:strCache>
                <c:ptCount val="1"/>
                <c:pt idx="0">
                  <c:v>súkromná 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5 + 6'!$K$16:$P$16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 + 6'!$K$18:$P$18</c:f>
              <c:numCache>
                <c:formatCode>0.0</c:formatCode>
                <c:ptCount val="6"/>
                <c:pt idx="0">
                  <c:v>1.1418279136507206</c:v>
                </c:pt>
                <c:pt idx="1">
                  <c:v>1.4973313752289328</c:v>
                </c:pt>
                <c:pt idx="2">
                  <c:v>1.6969260112867839</c:v>
                </c:pt>
                <c:pt idx="3">
                  <c:v>1.5069237040574042</c:v>
                </c:pt>
                <c:pt idx="4">
                  <c:v>1.4621284211418559</c:v>
                </c:pt>
                <c:pt idx="5">
                  <c:v>1.4522771471281917</c:v>
                </c:pt>
              </c:numCache>
            </c:numRef>
          </c:val>
        </c:ser>
        <c:ser>
          <c:idx val="2"/>
          <c:order val="2"/>
          <c:tx>
            <c:strRef>
              <c:f>'Graf 5 + 6'!$J$19</c:f>
              <c:strCache>
                <c:ptCount val="1"/>
                <c:pt idx="0">
                  <c:v>verejná spotreba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numRef>
              <c:f>'Graf 5 + 6'!$K$16:$P$16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 + 6'!$K$19:$P$19</c:f>
              <c:numCache>
                <c:formatCode>0.0</c:formatCode>
                <c:ptCount val="6"/>
                <c:pt idx="0">
                  <c:v>1.0085796145021475</c:v>
                </c:pt>
                <c:pt idx="1">
                  <c:v>0.30445221895657587</c:v>
                </c:pt>
                <c:pt idx="2">
                  <c:v>6.7994716224466553E-2</c:v>
                </c:pt>
                <c:pt idx="3">
                  <c:v>0.24226110588555969</c:v>
                </c:pt>
                <c:pt idx="4">
                  <c:v>0.27843307346215374</c:v>
                </c:pt>
                <c:pt idx="5">
                  <c:v>0.2660819984952752</c:v>
                </c:pt>
              </c:numCache>
            </c:numRef>
          </c:val>
        </c:ser>
        <c:ser>
          <c:idx val="3"/>
          <c:order val="3"/>
          <c:tx>
            <c:strRef>
              <c:f>'Graf 5 + 6'!$J$20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5 + 6'!$K$16:$P$16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 + 6'!$K$20:$P$20</c:f>
              <c:numCache>
                <c:formatCode>0.0</c:formatCode>
                <c:ptCount val="6"/>
                <c:pt idx="0">
                  <c:v>3.5152992172789479</c:v>
                </c:pt>
                <c:pt idx="1">
                  <c:v>-2.1713362661064233</c:v>
                </c:pt>
                <c:pt idx="2">
                  <c:v>0.62130978281499127</c:v>
                </c:pt>
                <c:pt idx="3">
                  <c:v>0.86570273065434622</c:v>
                </c:pt>
                <c:pt idx="4">
                  <c:v>0.65788955402342764</c:v>
                </c:pt>
                <c:pt idx="5">
                  <c:v>0.64873576758808871</c:v>
                </c:pt>
              </c:numCache>
            </c:numRef>
          </c:val>
        </c:ser>
        <c:ser>
          <c:idx val="4"/>
          <c:order val="4"/>
          <c:tx>
            <c:strRef>
              <c:f>'Graf 5 + 6'!$J$21</c:f>
              <c:strCache>
                <c:ptCount val="1"/>
                <c:pt idx="0">
                  <c:v>čistý export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'Graf 5 + 6'!$K$16:$P$16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 + 6'!$K$21:$P$21</c:f>
              <c:numCache>
                <c:formatCode>0.0</c:formatCode>
                <c:ptCount val="6"/>
                <c:pt idx="0">
                  <c:v>-0.54725411155262427</c:v>
                </c:pt>
                <c:pt idx="1">
                  <c:v>1.9599202463784198</c:v>
                </c:pt>
                <c:pt idx="2">
                  <c:v>0.56899089853183471</c:v>
                </c:pt>
                <c:pt idx="3">
                  <c:v>1.5798507834515263</c:v>
                </c:pt>
                <c:pt idx="4">
                  <c:v>2.0302851366011407</c:v>
                </c:pt>
                <c:pt idx="5">
                  <c:v>1.5220276648093201</c:v>
                </c:pt>
              </c:numCache>
            </c:numRef>
          </c:val>
        </c:ser>
        <c:ser>
          <c:idx val="5"/>
          <c:order val="5"/>
          <c:tx>
            <c:strRef>
              <c:f>'Graf 5 + 6'!$J$22</c:f>
              <c:strCache>
                <c:ptCount val="1"/>
                <c:pt idx="0">
                  <c:v>zásoby a štat. Disk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numRef>
              <c:f>'Graf 5 + 6'!$K$16:$P$16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 + 6'!$K$22:$P$22</c:f>
              <c:numCache>
                <c:formatCode>0.0</c:formatCode>
                <c:ptCount val="6"/>
                <c:pt idx="0">
                  <c:v>-1.2873678539773505</c:v>
                </c:pt>
                <c:pt idx="1">
                  <c:v>1.6947821414559403</c:v>
                </c:pt>
                <c:pt idx="2">
                  <c:v>0.37922236230611883</c:v>
                </c:pt>
                <c:pt idx="3">
                  <c:v>-2.8481853240437345E-2</c:v>
                </c:pt>
                <c:pt idx="4">
                  <c:v>-5.5284586977247391E-2</c:v>
                </c:pt>
                <c:pt idx="5">
                  <c:v>-1.0784990238934014E-2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0127912"/>
        <c:axId val="300128304"/>
      </c:barChart>
      <c:lineChart>
        <c:grouping val="standard"/>
        <c:varyColors val="0"/>
        <c:ser>
          <c:idx val="0"/>
          <c:order val="0"/>
          <c:tx>
            <c:strRef>
              <c:f>'Graf 5 + 6'!$J$17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5 + 6'!$K$16:$P$16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5 + 6'!$K$17:$P$17</c:f>
              <c:numCache>
                <c:formatCode>0.0</c:formatCode>
                <c:ptCount val="6"/>
                <c:pt idx="0">
                  <c:v>3.8310847799018415</c:v>
                </c:pt>
                <c:pt idx="1">
                  <c:v>3.2851497159134415</c:v>
                </c:pt>
                <c:pt idx="2">
                  <c:v>3.3344437711642048</c:v>
                </c:pt>
                <c:pt idx="3">
                  <c:v>4.1662564708083929</c:v>
                </c:pt>
                <c:pt idx="4">
                  <c:v>4.3734515982513269</c:v>
                </c:pt>
                <c:pt idx="5">
                  <c:v>3.8783375877819415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127912"/>
        <c:axId val="300128304"/>
      </c:lineChart>
      <c:catAx>
        <c:axId val="300127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b="1"/>
            </a:pPr>
            <a:endParaRPr lang="en-US"/>
          </a:p>
        </c:txPr>
        <c:crossAx val="300128304"/>
        <c:crosses val="autoZero"/>
        <c:auto val="1"/>
        <c:lblAlgn val="ctr"/>
        <c:lblOffset val="100"/>
        <c:noMultiLvlLbl val="0"/>
      </c:catAx>
      <c:valAx>
        <c:axId val="300128304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00127912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"/>
          <c:y val="0.74005565717392408"/>
          <c:w val="0.97757243517401204"/>
          <c:h val="0.22390691247728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7 + 8'!$L$9</c:f>
              <c:strCache>
                <c:ptCount val="1"/>
                <c:pt idx="0">
                  <c:v>Verejná správa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7 + 8'!$O$7:$T$7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+ 8'!$O$9:$T$9</c:f>
              <c:numCache>
                <c:formatCode>0.0</c:formatCode>
                <c:ptCount val="6"/>
                <c:pt idx="0" formatCode="0.00">
                  <c:v>0.26804321257819697</c:v>
                </c:pt>
                <c:pt idx="1">
                  <c:v>0.35927002682284803</c:v>
                </c:pt>
                <c:pt idx="2">
                  <c:v>0.12877914740592736</c:v>
                </c:pt>
                <c:pt idx="3">
                  <c:v>9.7022331864354855E-2</c:v>
                </c:pt>
                <c:pt idx="4">
                  <c:v>9.9871425835707933E-2</c:v>
                </c:pt>
                <c:pt idx="5">
                  <c:v>7.2108547072144369E-2</c:v>
                </c:pt>
              </c:numCache>
            </c:numRef>
          </c:val>
        </c:ser>
        <c:ser>
          <c:idx val="2"/>
          <c:order val="2"/>
          <c:tx>
            <c:strRef>
              <c:f>'Graf 7 + 8'!$L$10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7 + 8'!$O$7:$T$7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+ 8'!$O$10:$T$10</c:f>
              <c:numCache>
                <c:formatCode>0.0</c:formatCode>
                <c:ptCount val="6"/>
                <c:pt idx="0" formatCode="0.00">
                  <c:v>1.227583036494617</c:v>
                </c:pt>
                <c:pt idx="1">
                  <c:v>1.0035741743736675</c:v>
                </c:pt>
                <c:pt idx="2">
                  <c:v>0.93482120933221846</c:v>
                </c:pt>
                <c:pt idx="3">
                  <c:v>0.78383247795860678</c:v>
                </c:pt>
                <c:pt idx="4">
                  <c:v>0.52629446638406263</c:v>
                </c:pt>
                <c:pt idx="5">
                  <c:v>0.52517102098101776</c:v>
                </c:pt>
              </c:numCache>
            </c:numRef>
          </c:val>
        </c:ser>
        <c:ser>
          <c:idx val="3"/>
          <c:order val="3"/>
          <c:tx>
            <c:strRef>
              <c:f>'Graf 7 + 8'!$L$11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'Graf 7 + 8'!$O$7:$T$7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+ 8'!$O$11:$T$11</c:f>
              <c:numCache>
                <c:formatCode>0.0</c:formatCode>
                <c:ptCount val="6"/>
                <c:pt idx="0" formatCode="0.00">
                  <c:v>0.48377324236926972</c:v>
                </c:pt>
                <c:pt idx="1">
                  <c:v>0.82510805669099763</c:v>
                </c:pt>
                <c:pt idx="2">
                  <c:v>0.91260408548031713</c:v>
                </c:pt>
                <c:pt idx="3">
                  <c:v>0.43223627083158378</c:v>
                </c:pt>
                <c:pt idx="4">
                  <c:v>0.33036304920468162</c:v>
                </c:pt>
                <c:pt idx="5">
                  <c:v>0.31940227088246564</c:v>
                </c:pt>
              </c:numCache>
            </c:numRef>
          </c:val>
        </c:ser>
        <c:ser>
          <c:idx val="4"/>
          <c:order val="4"/>
          <c:tx>
            <c:strRef>
              <c:f>'Graf 7 + 8'!$L$12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numRef>
              <c:f>'Graf 7 + 8'!$O$7:$T$7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+ 8'!$O$12:$T$12</c:f>
              <c:numCache>
                <c:formatCode>0.0</c:formatCode>
                <c:ptCount val="6"/>
                <c:pt idx="0" formatCode="0.00">
                  <c:v>-4.4756334370752167E-2</c:v>
                </c:pt>
                <c:pt idx="1">
                  <c:v>0.23554351666470524</c:v>
                </c:pt>
                <c:pt idx="2">
                  <c:v>0.11351067986931745</c:v>
                </c:pt>
                <c:pt idx="3">
                  <c:v>0.11904831849677444</c:v>
                </c:pt>
                <c:pt idx="4">
                  <c:v>8.5124642527987959E-2</c:v>
                </c:pt>
                <c:pt idx="5">
                  <c:v>8.7063290298923457E-2</c:v>
                </c:pt>
              </c:numCache>
            </c:numRef>
          </c:val>
        </c:ser>
        <c:ser>
          <c:idx val="5"/>
          <c:order val="5"/>
          <c:tx>
            <c:strRef>
              <c:f>'Graf 7 + 8'!$L$13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val>
            <c:numRef>
              <c:f>'Graf 7 + 8'!$O$13:$T$13</c:f>
              <c:numCache>
                <c:formatCode>0.0</c:formatCode>
                <c:ptCount val="6"/>
                <c:pt idx="0" formatCode="0.00">
                  <c:v>4.2192403658053879E-2</c:v>
                </c:pt>
                <c:pt idx="1">
                  <c:v>-4.3712289328599517E-2</c:v>
                </c:pt>
                <c:pt idx="2">
                  <c:v>-4.9186165393319124E-2</c:v>
                </c:pt>
                <c:pt idx="3">
                  <c:v>-3.007095251398522E-2</c:v>
                </c:pt>
                <c:pt idx="4">
                  <c:v>-4.0395579402858317E-2</c:v>
                </c:pt>
                <c:pt idx="5">
                  <c:v>-2.8667622451479642E-2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0129088"/>
        <c:axId val="300129480"/>
      </c:barChart>
      <c:lineChart>
        <c:grouping val="standard"/>
        <c:varyColors val="0"/>
        <c:ser>
          <c:idx val="0"/>
          <c:order val="0"/>
          <c:tx>
            <c:strRef>
              <c:f>'Graf 7 + 8'!$L$8</c:f>
              <c:strCache>
                <c:ptCount val="1"/>
                <c:pt idx="0">
                  <c:v>Zamestnanosť 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302681992337162E-2"/>
                  <c:y val="-8.7074829931972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130268199233721E-2"/>
                  <c:y val="-3.8095238095238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1940845679504086E-2"/>
                  <c:y val="-6.782856463808523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9339809535302342E-2"/>
                  <c:y val="-5.0871498205581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453092788688771E-2"/>
                  <c:y val="-5.4842144731908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4988887883267651E-2"/>
                  <c:y val="-6.23862017247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164507407702448E-2"/>
                  <c:y val="-5.0871423478563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8905727983768722E-2"/>
                  <c:y val="-6.7828564638085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7 + 8'!$O$7:$T$7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+ 8'!$O$8:$T$8</c:f>
              <c:numCache>
                <c:formatCode>0.0</c:formatCode>
                <c:ptCount val="6"/>
                <c:pt idx="0" formatCode="0.00">
                  <c:v>1.9768355607293842</c:v>
                </c:pt>
                <c:pt idx="1">
                  <c:v>2.3797834852236299</c:v>
                </c:pt>
                <c:pt idx="2">
                  <c:v>2.0405289566944651</c:v>
                </c:pt>
                <c:pt idx="3">
                  <c:v>1.4020684466373279</c:v>
                </c:pt>
                <c:pt idx="4">
                  <c:v>1.0012580045495989</c:v>
                </c:pt>
                <c:pt idx="5">
                  <c:v>0.97507750678305083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129088"/>
        <c:axId val="300129480"/>
      </c:lineChart>
      <c:catAx>
        <c:axId val="3001290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300129480"/>
        <c:crosses val="autoZero"/>
        <c:auto val="1"/>
        <c:lblAlgn val="ctr"/>
        <c:lblOffset val="100"/>
        <c:noMultiLvlLbl val="1"/>
      </c:catAx>
      <c:valAx>
        <c:axId val="300129480"/>
        <c:scaling>
          <c:orientation val="minMax"/>
          <c:min val="-1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0129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425500145815107"/>
          <c:y val="6.3739675721539435E-2"/>
          <c:w val="0.27761609798775155"/>
          <c:h val="0.325051107664161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7121314891892E-2"/>
          <c:y val="5.0925925925925923E-2"/>
          <c:w val="0.92708287868510864"/>
          <c:h val="0.898148148148148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7 + 8'!$L$18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'Graf 7 + 8'!$M$16:$R$16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+ 8'!$M$18:$R$18</c:f>
              <c:numCache>
                <c:formatCode>0.0</c:formatCode>
                <c:ptCount val="6"/>
                <c:pt idx="0">
                  <c:v>7.8157485447352168E-2</c:v>
                </c:pt>
                <c:pt idx="1">
                  <c:v>0.16919492251933388</c:v>
                </c:pt>
                <c:pt idx="2">
                  <c:v>0.99977982315449221</c:v>
                </c:pt>
                <c:pt idx="3">
                  <c:v>1.2828366040876906</c:v>
                </c:pt>
                <c:pt idx="4">
                  <c:v>1.5079605139031997</c:v>
                </c:pt>
                <c:pt idx="5">
                  <c:v>1.6964555781410999</c:v>
                </c:pt>
              </c:numCache>
            </c:numRef>
          </c:val>
        </c:ser>
        <c:ser>
          <c:idx val="2"/>
          <c:order val="2"/>
          <c:tx>
            <c:strRef>
              <c:f>'Graf 7 + 8'!$L$19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'Graf 7 + 8'!$M$16:$R$16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+ 8'!$M$19:$R$19</c:f>
              <c:numCache>
                <c:formatCode>0.0</c:formatCode>
                <c:ptCount val="6"/>
                <c:pt idx="0">
                  <c:v>-6.6929511343656045E-2</c:v>
                </c:pt>
                <c:pt idx="1">
                  <c:v>-0.13945876843896124</c:v>
                </c:pt>
                <c:pt idx="2">
                  <c:v>0.58602591149007399</c:v>
                </c:pt>
                <c:pt idx="3">
                  <c:v>0.24937650739524916</c:v>
                </c:pt>
                <c:pt idx="4">
                  <c:v>0.30348405298417097</c:v>
                </c:pt>
                <c:pt idx="5">
                  <c:v>0.37094006742810115</c:v>
                </c:pt>
              </c:numCache>
            </c:numRef>
          </c:val>
        </c:ser>
        <c:ser>
          <c:idx val="3"/>
          <c:order val="3"/>
          <c:tx>
            <c:strRef>
              <c:f>'Graf 7 + 8'!$L$20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7 + 8'!$M$16:$R$16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+ 8'!$M$20:$R$20</c:f>
              <c:numCache>
                <c:formatCode>0.0</c:formatCode>
                <c:ptCount val="6"/>
                <c:pt idx="0">
                  <c:v>-0.32255705192231005</c:v>
                </c:pt>
                <c:pt idx="1">
                  <c:v>-0.24084408727310827</c:v>
                </c:pt>
                <c:pt idx="2">
                  <c:v>-0.38871316197698413</c:v>
                </c:pt>
                <c:pt idx="3">
                  <c:v>0.20629429954798456</c:v>
                </c:pt>
                <c:pt idx="4">
                  <c:v>3.788723664076387E-2</c:v>
                </c:pt>
                <c:pt idx="5">
                  <c:v>3.788723664075936E-2</c:v>
                </c:pt>
              </c:numCache>
            </c:numRef>
          </c:val>
        </c:ser>
        <c:ser>
          <c:idx val="4"/>
          <c:order val="4"/>
          <c:tx>
            <c:strRef>
              <c:f>'Graf 7 + 8'!$L$21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rgbClr val="BFBFBF"/>
            </a:solidFill>
          </c:spPr>
          <c:invertIfNegative val="0"/>
          <c:cat>
            <c:numRef>
              <c:f>'Graf 7 + 8'!$M$16:$R$16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+ 8'!$M$21:$R$21</c:f>
              <c:numCache>
                <c:formatCode>General</c:formatCode>
                <c:ptCount val="6"/>
                <c:pt idx="0">
                  <c:v>0</c:v>
                </c:pt>
                <c:pt idx="1">
                  <c:v>-0.32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7107600"/>
        <c:axId val="300130264"/>
      </c:barChart>
      <c:lineChart>
        <c:grouping val="standard"/>
        <c:varyColors val="0"/>
        <c:ser>
          <c:idx val="0"/>
          <c:order val="0"/>
          <c:tx>
            <c:strRef>
              <c:f>'Graf 7 + 8'!$L$17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7 + 8'!$M$16:$R$16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7 + 8'!$M$17:$R$17</c:f>
              <c:numCache>
                <c:formatCode>0.0</c:formatCode>
                <c:ptCount val="6"/>
                <c:pt idx="0">
                  <c:v>-0.34381384224428935</c:v>
                </c:pt>
                <c:pt idx="1">
                  <c:v>-0.48166666666665803</c:v>
                </c:pt>
                <c:pt idx="2">
                  <c:v>1.2670925726675821</c:v>
                </c:pt>
                <c:pt idx="3">
                  <c:v>1.7385074110309244</c:v>
                </c:pt>
                <c:pt idx="4">
                  <c:v>1.8993318035281346</c:v>
                </c:pt>
                <c:pt idx="5">
                  <c:v>2.1052828822099605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07600"/>
        <c:axId val="300130264"/>
      </c:lineChart>
      <c:catAx>
        <c:axId val="29710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00130264"/>
        <c:crosses val="autoZero"/>
        <c:auto val="1"/>
        <c:lblAlgn val="ctr"/>
        <c:lblOffset val="100"/>
        <c:noMultiLvlLbl val="1"/>
      </c:catAx>
      <c:valAx>
        <c:axId val="300130264"/>
        <c:scaling>
          <c:orientation val="minMax"/>
          <c:max val="2.2000000000000002"/>
          <c:min val="-0.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97107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217106118720101"/>
          <c:y val="2.7695713850110684E-2"/>
          <c:w val="0.68041029354089355"/>
          <c:h val="0.1630826340001856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'Box 1_ Graf 9_ Tabuľka 1+2'!$L$10</c:f>
              <c:strCache>
                <c:ptCount val="1"/>
                <c:pt idx="0">
                  <c:v>metodika EK s prognózou MF</c:v>
                </c:pt>
              </c:strCache>
            </c:strRef>
          </c:tx>
          <c:marker>
            <c:symbol val="none"/>
          </c:marker>
          <c:val>
            <c:numRef>
              <c:f>'Box 1_ Graf 9_ Tabuľka 1+2'!$M$10:$AF$10</c:f>
              <c:numCache>
                <c:formatCode>0.0</c:formatCode>
                <c:ptCount val="20"/>
                <c:pt idx="0">
                  <c:v>-3.6691919999999998</c:v>
                </c:pt>
                <c:pt idx="1">
                  <c:v>-3.2583120000000001</c:v>
                </c:pt>
                <c:pt idx="2">
                  <c:v>-2.029468</c:v>
                </c:pt>
                <c:pt idx="3">
                  <c:v>-1.24343</c:v>
                </c:pt>
                <c:pt idx="4">
                  <c:v>5.7502999999999999E-2</c:v>
                </c:pt>
                <c:pt idx="5">
                  <c:v>2.5412520000000001</c:v>
                </c:pt>
                <c:pt idx="6">
                  <c:v>7.1261900000000002</c:v>
                </c:pt>
                <c:pt idx="7">
                  <c:v>7.277997</c:v>
                </c:pt>
                <c:pt idx="8">
                  <c:v>-1.969068</c:v>
                </c:pt>
                <c:pt idx="9">
                  <c:v>-0.44147799999999998</c:v>
                </c:pt>
                <c:pt idx="10">
                  <c:v>-1.097855</c:v>
                </c:pt>
                <c:pt idx="11">
                  <c:v>-2.0098769999999999</c:v>
                </c:pt>
                <c:pt idx="12">
                  <c:v>-2.7016969999999998</c:v>
                </c:pt>
                <c:pt idx="13">
                  <c:v>-2.1894</c:v>
                </c:pt>
                <c:pt idx="14">
                  <c:v>-1.24312</c:v>
                </c:pt>
                <c:pt idx="15">
                  <c:v>-0.52944400000000003</c:v>
                </c:pt>
                <c:pt idx="16">
                  <c:v>-0.45072499999999999</c:v>
                </c:pt>
                <c:pt idx="17">
                  <c:v>9.4612000000000002E-2</c:v>
                </c:pt>
                <c:pt idx="18">
                  <c:v>0.84714500000000004</c:v>
                </c:pt>
                <c:pt idx="19">
                  <c:v>1.1838519999999999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'Box 1_ Graf 9_ Tabuľka 1+2'!$L$9</c:f>
              <c:strCache>
                <c:ptCount val="1"/>
                <c:pt idx="0">
                  <c:v>národna metodika MF 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'Box 1_ Graf 9_ Tabuľka 1+2'!$M$7:$AF$7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'Box 1_ Graf 9_ Tabuľka 1+2'!$M$9:$AF$9</c:f>
              <c:numCache>
                <c:formatCode>0.0</c:formatCode>
                <c:ptCount val="20"/>
                <c:pt idx="0">
                  <c:v>-1.3503859443255672</c:v>
                </c:pt>
                <c:pt idx="1">
                  <c:v>-1.1251347827135303</c:v>
                </c:pt>
                <c:pt idx="2">
                  <c:v>-0.66158016512855411</c:v>
                </c:pt>
                <c:pt idx="3">
                  <c:v>-1.3264983456888684</c:v>
                </c:pt>
                <c:pt idx="4">
                  <c:v>-1.7628294460214422</c:v>
                </c:pt>
                <c:pt idx="5">
                  <c:v>-1.1260288491925134</c:v>
                </c:pt>
                <c:pt idx="6">
                  <c:v>2.1611949793378669</c:v>
                </c:pt>
                <c:pt idx="7">
                  <c:v>2.4331977154343649</c:v>
                </c:pt>
                <c:pt idx="8">
                  <c:v>-4.4903640946039252</c:v>
                </c:pt>
                <c:pt idx="9">
                  <c:v>-1.0377285646708476</c:v>
                </c:pt>
                <c:pt idx="10">
                  <c:v>-0.79757498961619122</c:v>
                </c:pt>
                <c:pt idx="11">
                  <c:v>-1.1492135150198222</c:v>
                </c:pt>
                <c:pt idx="12">
                  <c:v>-1.9531714805497817</c:v>
                </c:pt>
                <c:pt idx="13">
                  <c:v>-1.5715085583752106</c:v>
                </c:pt>
                <c:pt idx="14">
                  <c:v>-0.75531757863283056</c:v>
                </c:pt>
                <c:pt idx="15">
                  <c:v>-0.20997029082948238</c:v>
                </c:pt>
                <c:pt idx="16">
                  <c:v>0.1538964153457161</c:v>
                </c:pt>
                <c:pt idx="17">
                  <c:v>0.76466660384759766</c:v>
                </c:pt>
                <c:pt idx="18">
                  <c:v>1.3475754184047233</c:v>
                </c:pt>
                <c:pt idx="19">
                  <c:v>1.3407115494943964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'Box 1_ Graf 9_ Tabuľka 1+2'!$L$8</c:f>
              <c:strCache>
                <c:ptCount val="1"/>
                <c:pt idx="0">
                  <c:v>odhad EK (AMECO)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'Box 1_ Graf 9_ Tabuľka 1+2'!$M$7:$AF$7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'Box 1_ Graf 9_ Tabuľka 1+2'!$M$8:$AF$8</c:f>
              <c:numCache>
                <c:formatCode>0.0</c:formatCode>
                <c:ptCount val="20"/>
                <c:pt idx="0">
                  <c:v>-3.6686223999999998</c:v>
                </c:pt>
                <c:pt idx="1">
                  <c:v>-3.2566951</c:v>
                </c:pt>
                <c:pt idx="2">
                  <c:v>-2.0267119</c:v>
                </c:pt>
                <c:pt idx="3">
                  <c:v>-1.2396041</c:v>
                </c:pt>
                <c:pt idx="4">
                  <c:v>6.1910399999999997E-2</c:v>
                </c:pt>
                <c:pt idx="5">
                  <c:v>2.5448879</c:v>
                </c:pt>
                <c:pt idx="6">
                  <c:v>7.1261736000000004</c:v>
                </c:pt>
                <c:pt idx="7">
                  <c:v>7.2695026</c:v>
                </c:pt>
                <c:pt idx="8">
                  <c:v>-1.9903925</c:v>
                </c:pt>
                <c:pt idx="9">
                  <c:v>-0.48357230000000001</c:v>
                </c:pt>
                <c:pt idx="10">
                  <c:v>-1.1651898000000001</c:v>
                </c:pt>
                <c:pt idx="11">
                  <c:v>-2.1016713</c:v>
                </c:pt>
                <c:pt idx="12">
                  <c:v>-2.8058998000000002</c:v>
                </c:pt>
                <c:pt idx="13">
                  <c:v>-2.2749334999999999</c:v>
                </c:pt>
                <c:pt idx="14">
                  <c:v>-1.2465624</c:v>
                </c:pt>
                <c:pt idx="15">
                  <c:v>-0.3455896</c:v>
                </c:pt>
                <c:pt idx="16">
                  <c:v>0.16022429999999999</c:v>
                </c:pt>
                <c:pt idx="17">
                  <c:v>0.83143469999999997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131048"/>
        <c:axId val="300131440"/>
      </c:lineChart>
      <c:catAx>
        <c:axId val="300131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300131440"/>
        <c:crosses val="autoZero"/>
        <c:auto val="1"/>
        <c:lblAlgn val="ctr"/>
        <c:lblOffset val="100"/>
        <c:noMultiLvlLbl val="0"/>
      </c:catAx>
      <c:valAx>
        <c:axId val="30013144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0013104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50946059278822042"/>
          <c:y val="8.1089077822327396E-2"/>
          <c:w val="0.32732988903659299"/>
          <c:h val="0.31825181908054501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hyperlink" Target="#'Obsah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hyperlink" Target="#'Obsah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Obsah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hyperlink" Target="#'Obsah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'Obsah'!A1"/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hyperlink" Target="#'Obsah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hyperlink" Target="#'Obsah'!A1"/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hyperlink" Target="#Obsah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hyperlink" Target="#'Obsah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hyperlink" Target="#'Obsah'!A1"/><Relationship Id="rId4" Type="http://schemas.openxmlformats.org/officeDocument/2006/relationships/chart" Target="../charts/chart41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hyperlink" Target="#'Obsah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hyperlink" Target="#'Obsah'!A1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hyperlink" Target="#'Obsah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hyperlink" Target="#'Obsah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hyperlink" Target="#'Obsah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hyperlink" Target="#'Obsah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hyperlink" Target="#'Obsah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23425" y="37465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0400" y="2603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</xdr:row>
      <xdr:rowOff>95249</xdr:rowOff>
    </xdr:from>
    <xdr:to>
      <xdr:col>9</xdr:col>
      <xdr:colOff>9525</xdr:colOff>
      <xdr:row>21</xdr:row>
      <xdr:rowOff>47625</xdr:rowOff>
    </xdr:to>
    <xdr:graphicFrame macro="">
      <xdr:nvGraphicFramePr>
        <xdr:cNvPr id="2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323850</xdr:colOff>
      <xdr:row>22</xdr:row>
      <xdr:rowOff>123825</xdr:rowOff>
    </xdr:from>
    <xdr:to>
      <xdr:col>9</xdr:col>
      <xdr:colOff>733425</xdr:colOff>
      <xdr:row>40</xdr:row>
      <xdr:rowOff>114300</xdr:rowOff>
    </xdr:to>
    <xdr:graphicFrame macro="">
      <xdr:nvGraphicFramePr>
        <xdr:cNvPr id="3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8489950" y="7556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0.26485</cdr:x>
      <cdr:y>0.16818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146" y="113713"/>
          <a:ext cx="714286" cy="386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0.03987</cdr:x>
      <cdr:y>0.87874</cdr:y>
    </cdr:from>
    <cdr:to>
      <cdr:x>0.31481</cdr:x>
      <cdr:y>0.97897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549" y="2946228"/>
          <a:ext cx="989925" cy="336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0.55163</cdr:x>
      <cdr:y>0.02721</cdr:y>
    </cdr:from>
    <cdr:to>
      <cdr:x>0.60902</cdr:x>
      <cdr:y>0.64075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1503176" y="1046208"/>
          <a:ext cx="2156425" cy="2552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</a:t>
          </a:r>
          <a:r>
            <a:rPr lang="sk-SK" sz="900" b="1" i="0" u="none" strike="noStrike" baseline="0">
              <a:solidFill>
                <a:srgbClr val="000000"/>
              </a:solidFill>
              <a:latin typeface="Arial Narrow"/>
            </a:rPr>
            <a:t>štrukturálneho</a:t>
          </a: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 salda (% HDP)</a:t>
          </a:r>
        </a:p>
      </cdr:txBody>
    </cdr:sp>
  </cdr:relSizeAnchor>
  <cdr:relSizeAnchor xmlns:cdr="http://schemas.openxmlformats.org/drawingml/2006/chartDrawing">
    <cdr:from>
      <cdr:x>0.7381</cdr:x>
      <cdr:y>0.03677</cdr:y>
    </cdr:from>
    <cdr:to>
      <cdr:x>0.95842</cdr:x>
      <cdr:y>0.19318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7475" y="123281"/>
          <a:ext cx="793269" cy="5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0.73474</cdr:x>
      <cdr:y>0.85784</cdr:y>
    </cdr:from>
    <cdr:to>
      <cdr:x>0.94748</cdr:x>
      <cdr:y>0.95807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8285" y="2786275"/>
          <a:ext cx="926041" cy="325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9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0.0389</cdr:x>
      <cdr:y>0.7437</cdr:y>
    </cdr:from>
    <cdr:to>
      <cdr:x>0.50389</cdr:x>
      <cdr:y>0.79431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52301" y="3279772"/>
          <a:ext cx="1820330" cy="223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900" b="1">
              <a:latin typeface="Arial Narrow" panose="020B0606020202030204" pitchFamily="34" charset="0"/>
            </a:rPr>
            <a:t>Produčná medzera (% HDP)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0.00807</cdr:x>
      <cdr:y>0.05322</cdr:y>
    </cdr:from>
    <cdr:to>
      <cdr:x>0.23331</cdr:x>
      <cdr:y>0.26537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93" y="156631"/>
          <a:ext cx="836711" cy="6244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0.01293</cdr:x>
      <cdr:y>0.90652</cdr:y>
    </cdr:from>
    <cdr:to>
      <cdr:x>0.33333</cdr:x>
      <cdr:y>1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45" y="3048000"/>
          <a:ext cx="1126130" cy="314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0.43927</cdr:x>
      <cdr:y>0.04479</cdr:y>
    </cdr:from>
    <cdr:to>
      <cdr:x>0.48984</cdr:x>
      <cdr:y>0.74953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448001" y="1246521"/>
          <a:ext cx="2369565" cy="1777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</a:t>
          </a:r>
          <a:r>
            <a:rPr lang="sk-SK" sz="900" b="1" i="0" baseline="0">
              <a:effectLst/>
              <a:latin typeface="Arial Narrow" panose="020B0606020202030204" pitchFamily="34" charset="0"/>
              <a:ea typeface="+mn-ea"/>
              <a:cs typeface="+mn-cs"/>
            </a:rPr>
            <a:t>štrukturálneho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 salda (% HDP)</a:t>
          </a:r>
          <a:endParaRPr lang="sk-SK" sz="800">
            <a:effectLst/>
          </a:endParaRPr>
        </a:p>
        <a:p xmlns:a="http://schemas.openxmlformats.org/drawingml/2006/main">
          <a:pPr algn="l" rtl="0">
            <a:defRPr sz="1000"/>
          </a:pPr>
          <a:endParaRPr lang="sk-SK" sz="800" b="1" i="0" u="none" strike="noStrike" baseline="0">
            <a:solidFill>
              <a:schemeClr val="tx1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0.74486</cdr:x>
      <cdr:y>0.066</cdr:y>
    </cdr:from>
    <cdr:to>
      <cdr:x>0.94615</cdr:x>
      <cdr:y>0.18733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6983" y="194249"/>
          <a:ext cx="747742" cy="357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900" b="1" i="0" strike="noStrike">
              <a:solidFill>
                <a:sysClr val="windowText" lastClr="000000"/>
              </a:solidFill>
              <a:latin typeface="Arial Narrow"/>
            </a:rPr>
            <a:t>fiškálna reštrikcia</a:t>
          </a:r>
        </a:p>
      </cdr:txBody>
    </cdr:sp>
  </cdr:relSizeAnchor>
  <cdr:relSizeAnchor xmlns:cdr="http://schemas.openxmlformats.org/drawingml/2006/chartDrawing">
    <cdr:from>
      <cdr:x>0.66396</cdr:x>
      <cdr:y>0.90935</cdr:y>
    </cdr:from>
    <cdr:to>
      <cdr:x>0.96491</cdr:x>
      <cdr:y>0.9977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3626" y="3057525"/>
          <a:ext cx="1057768" cy="297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9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900" b="1" i="0" strike="noStrike">
              <a:solidFill>
                <a:sysClr val="windowText" lastClr="000000"/>
              </a:solidFill>
              <a:latin typeface="Arial Narrow"/>
            </a:rPr>
            <a:t>fiškálna expanzia</a:t>
          </a:r>
        </a:p>
      </cdr:txBody>
    </cdr:sp>
  </cdr:relSizeAnchor>
  <cdr:relSizeAnchor xmlns:cdr="http://schemas.openxmlformats.org/drawingml/2006/chartDrawing">
    <cdr:from>
      <cdr:x>0.02416</cdr:x>
      <cdr:y>0.7762</cdr:y>
    </cdr:from>
    <cdr:to>
      <cdr:x>0.46612</cdr:x>
      <cdr:y>0.83717</cdr:y>
    </cdr:to>
    <cdr:sp macro="" textlink="">
      <cdr:nvSpPr>
        <cdr:cNvPr id="9" name="BlokTextu 3"/>
        <cdr:cNvSpPr txBox="1"/>
      </cdr:nvSpPr>
      <cdr:spPr>
        <a:xfrm xmlns:a="http://schemas.openxmlformats.org/drawingml/2006/main">
          <a:off x="84916" y="2609851"/>
          <a:ext cx="1553384" cy="2049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</a:t>
          </a:r>
          <a:r>
            <a:rPr lang="sk-SK" sz="900" b="1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produkčnej</a:t>
          </a:r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medzery (p.b.)</a:t>
          </a:r>
          <a:endParaRPr lang="sk-SK" sz="800" b="1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717550" y="260350"/>
          <a:ext cx="619125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647699</xdr:colOff>
      <xdr:row>5</xdr:row>
      <xdr:rowOff>9525</xdr:rowOff>
    </xdr:from>
    <xdr:to>
      <xdr:col>8</xdr:col>
      <xdr:colOff>66674</xdr:colOff>
      <xdr:row>20</xdr:row>
      <xdr:rowOff>104775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22</xdr:row>
      <xdr:rowOff>95251</xdr:rowOff>
    </xdr:from>
    <xdr:to>
      <xdr:col>8</xdr:col>
      <xdr:colOff>438150</xdr:colOff>
      <xdr:row>38</xdr:row>
      <xdr:rowOff>38101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84800" y="50800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384800" y="50800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318500" y="381000"/>
          <a:ext cx="7588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</xdr:colOff>
      <xdr:row>4</xdr:row>
      <xdr:rowOff>84667</xdr:rowOff>
    </xdr:from>
    <xdr:to>
      <xdr:col>7</xdr:col>
      <xdr:colOff>447675</xdr:colOff>
      <xdr:row>20</xdr:row>
      <xdr:rowOff>21166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318500" y="381000"/>
          <a:ext cx="7588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571500</xdr:colOff>
      <xdr:row>3</xdr:row>
      <xdr:rowOff>201083</xdr:rowOff>
    </xdr:from>
    <xdr:to>
      <xdr:col>11</xdr:col>
      <xdr:colOff>42333</xdr:colOff>
      <xdr:row>19</xdr:row>
      <xdr:rowOff>81491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166688</xdr:rowOff>
    </xdr:from>
    <xdr:to>
      <xdr:col>2</xdr:col>
      <xdr:colOff>3762375</xdr:colOff>
      <xdr:row>19</xdr:row>
      <xdr:rowOff>180975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2</xdr:col>
      <xdr:colOff>3724276</xdr:colOff>
      <xdr:row>38</xdr:row>
      <xdr:rowOff>66676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790575" y="209550"/>
          <a:ext cx="863600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318500" y="368300"/>
          <a:ext cx="758825" cy="2476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77106</xdr:colOff>
      <xdr:row>3</xdr:row>
      <xdr:rowOff>220738</xdr:rowOff>
    </xdr:from>
    <xdr:to>
      <xdr:col>10</xdr:col>
      <xdr:colOff>538239</xdr:colOff>
      <xdr:row>17</xdr:row>
      <xdr:rowOff>93738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3</xdr:row>
      <xdr:rowOff>130628</xdr:rowOff>
    </xdr:from>
    <xdr:to>
      <xdr:col>6</xdr:col>
      <xdr:colOff>0</xdr:colOff>
      <xdr:row>21</xdr:row>
      <xdr:rowOff>95249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2"/>
        </xdr:cNvPr>
        <xdr:cNvSpPr/>
      </xdr:nvSpPr>
      <xdr:spPr>
        <a:xfrm>
          <a:off x="7432675" y="431800"/>
          <a:ext cx="561975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7432675" y="431800"/>
          <a:ext cx="561975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571500</xdr:colOff>
      <xdr:row>4</xdr:row>
      <xdr:rowOff>114301</xdr:rowOff>
    </xdr:from>
    <xdr:to>
      <xdr:col>7</xdr:col>
      <xdr:colOff>19050</xdr:colOff>
      <xdr:row>16</xdr:row>
      <xdr:rowOff>76201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390526</xdr:colOff>
      <xdr:row>20</xdr:row>
      <xdr:rowOff>57150</xdr:rowOff>
    </xdr:from>
    <xdr:to>
      <xdr:col>7</xdr:col>
      <xdr:colOff>361951</xdr:colOff>
      <xdr:row>33</xdr:row>
      <xdr:rowOff>22412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3</xdr:row>
      <xdr:rowOff>42862</xdr:rowOff>
    </xdr:from>
    <xdr:to>
      <xdr:col>6</xdr:col>
      <xdr:colOff>561975</xdr:colOff>
      <xdr:row>18</xdr:row>
      <xdr:rowOff>57150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133350</xdr:colOff>
      <xdr:row>3</xdr:row>
      <xdr:rowOff>85725</xdr:rowOff>
    </xdr:from>
    <xdr:to>
      <xdr:col>13</xdr:col>
      <xdr:colOff>409575</xdr:colOff>
      <xdr:row>18</xdr:row>
      <xdr:rowOff>28575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9524</xdr:rowOff>
    </xdr:from>
    <xdr:to>
      <xdr:col>10</xdr:col>
      <xdr:colOff>1304925</xdr:colOff>
      <xdr:row>17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19050</xdr:rowOff>
    </xdr:from>
    <xdr:to>
      <xdr:col>4</xdr:col>
      <xdr:colOff>542925</xdr:colOff>
      <xdr:row>18</xdr:row>
      <xdr:rowOff>57150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92075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635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7</xdr:col>
      <xdr:colOff>457200</xdr:colOff>
      <xdr:row>18</xdr:row>
      <xdr:rowOff>28575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38099</xdr:colOff>
      <xdr:row>2</xdr:row>
      <xdr:rowOff>38100</xdr:rowOff>
    </xdr:from>
    <xdr:to>
      <xdr:col>26</xdr:col>
      <xdr:colOff>9525</xdr:colOff>
      <xdr:row>17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76200</xdr:rowOff>
    </xdr:from>
    <xdr:to>
      <xdr:col>8</xdr:col>
      <xdr:colOff>133350</xdr:colOff>
      <xdr:row>15</xdr:row>
      <xdr:rowOff>85725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581025</xdr:colOff>
      <xdr:row>2</xdr:row>
      <xdr:rowOff>57150</xdr:rowOff>
    </xdr:from>
    <xdr:to>
      <xdr:col>22</xdr:col>
      <xdr:colOff>190500</xdr:colOff>
      <xdr:row>15</xdr:row>
      <xdr:rowOff>66675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460375</xdr:colOff>
      <xdr:row>3</xdr:row>
      <xdr:rowOff>189706</xdr:rowOff>
    </xdr:from>
    <xdr:to>
      <xdr:col>8</xdr:col>
      <xdr:colOff>21431</xdr:colOff>
      <xdr:row>18</xdr:row>
      <xdr:rowOff>71438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514351</xdr:colOff>
      <xdr:row>20</xdr:row>
      <xdr:rowOff>46832</xdr:rowOff>
    </xdr:from>
    <xdr:to>
      <xdr:col>7</xdr:col>
      <xdr:colOff>476251</xdr:colOff>
      <xdr:row>35</xdr:row>
      <xdr:rowOff>114301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587375</xdr:colOff>
      <xdr:row>4</xdr:row>
      <xdr:rowOff>228600</xdr:rowOff>
    </xdr:from>
    <xdr:to>
      <xdr:col>15</xdr:col>
      <xdr:colOff>47625</xdr:colOff>
      <xdr:row>17</xdr:row>
      <xdr:rowOff>31750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365125</xdr:colOff>
      <xdr:row>4</xdr:row>
      <xdr:rowOff>201612</xdr:rowOff>
    </xdr:from>
    <xdr:to>
      <xdr:col>9</xdr:col>
      <xdr:colOff>177800</xdr:colOff>
      <xdr:row>17</xdr:row>
      <xdr:rowOff>42862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7089775" y="81280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11</xdr:row>
      <xdr:rowOff>0</xdr:rowOff>
    </xdr:from>
    <xdr:to>
      <xdr:col>6</xdr:col>
      <xdr:colOff>123825</xdr:colOff>
      <xdr:row>26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1</xdr:col>
      <xdr:colOff>762000</xdr:colOff>
      <xdr:row>3</xdr:row>
      <xdr:rowOff>63500</xdr:rowOff>
    </xdr:to>
    <xdr:sp macro="" textlink="">
      <xdr:nvSpPr>
        <xdr:cNvPr id="5" name="Zaoblený obdĺžnik 4">
          <a:hlinkClick xmlns:r="http://schemas.openxmlformats.org/officeDocument/2006/relationships" r:id="rId2"/>
        </xdr:cNvPr>
        <xdr:cNvSpPr/>
      </xdr:nvSpPr>
      <xdr:spPr>
        <a:xfrm>
          <a:off x="609600" y="323850"/>
          <a:ext cx="762000" cy="22542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01200" y="190500"/>
          <a:ext cx="7461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296396</xdr:colOff>
      <xdr:row>4</xdr:row>
      <xdr:rowOff>6163</xdr:rowOff>
    </xdr:from>
    <xdr:to>
      <xdr:col>7</xdr:col>
      <xdr:colOff>50021</xdr:colOff>
      <xdr:row>21</xdr:row>
      <xdr:rowOff>43813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370254</xdr:colOff>
      <xdr:row>23</xdr:row>
      <xdr:rowOff>81303</xdr:rowOff>
    </xdr:from>
    <xdr:to>
      <xdr:col>7</xdr:col>
      <xdr:colOff>123879</xdr:colOff>
      <xdr:row>40</xdr:row>
      <xdr:rowOff>118952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9525</xdr:colOff>
      <xdr:row>4</xdr:row>
      <xdr:rowOff>161924</xdr:rowOff>
    </xdr:from>
    <xdr:to>
      <xdr:col>6</xdr:col>
      <xdr:colOff>85725</xdr:colOff>
      <xdr:row>15</xdr:row>
      <xdr:rowOff>152399</xdr:rowOff>
    </xdr:to>
    <xdr:graphicFrame macro="">
      <xdr:nvGraphicFramePr>
        <xdr:cNvPr id="12" name="Graf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17</xdr:row>
      <xdr:rowOff>133350</xdr:rowOff>
    </xdr:from>
    <xdr:to>
      <xdr:col>6</xdr:col>
      <xdr:colOff>361950</xdr:colOff>
      <xdr:row>29</xdr:row>
      <xdr:rowOff>95250</xdr:rowOff>
    </xdr:to>
    <xdr:graphicFrame macro="">
      <xdr:nvGraphicFramePr>
        <xdr:cNvPr id="14" name="Graf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561975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561975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0</xdr:colOff>
      <xdr:row>15</xdr:row>
      <xdr:rowOff>28574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548640</xdr:colOff>
      <xdr:row>6</xdr:row>
      <xdr:rowOff>91440</xdr:rowOff>
    </xdr:from>
    <xdr:to>
      <xdr:col>7</xdr:col>
      <xdr:colOff>518160</xdr:colOff>
      <xdr:row>22</xdr:row>
      <xdr:rowOff>30480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499110</xdr:colOff>
      <xdr:row>6</xdr:row>
      <xdr:rowOff>83820</xdr:rowOff>
    </xdr:from>
    <xdr:to>
      <xdr:col>15</xdr:col>
      <xdr:colOff>72390</xdr:colOff>
      <xdr:row>22</xdr:row>
      <xdr:rowOff>91440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152400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542926</xdr:colOff>
      <xdr:row>5</xdr:row>
      <xdr:rowOff>19050</xdr:rowOff>
    </xdr:from>
    <xdr:to>
      <xdr:col>11</xdr:col>
      <xdr:colOff>266700</xdr:colOff>
      <xdr:row>25</xdr:row>
      <xdr:rowOff>57150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</xdr:row>
      <xdr:rowOff>0</xdr:rowOff>
    </xdr:from>
    <xdr:to>
      <xdr:col>1</xdr:col>
      <xdr:colOff>763199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599" y="190500"/>
          <a:ext cx="7632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0400" y="2603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133350</xdr:rowOff>
    </xdr:from>
    <xdr:to>
      <xdr:col>1</xdr:col>
      <xdr:colOff>673100</xdr:colOff>
      <xdr:row>2</xdr:row>
      <xdr:rowOff>177800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572125" y="13335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523874</xdr:colOff>
      <xdr:row>4</xdr:row>
      <xdr:rowOff>60324</xdr:rowOff>
    </xdr:from>
    <xdr:to>
      <xdr:col>9</xdr:col>
      <xdr:colOff>1274</xdr:colOff>
      <xdr:row>21</xdr:row>
      <xdr:rowOff>97974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450849</xdr:colOff>
      <xdr:row>24</xdr:row>
      <xdr:rowOff>158749</xdr:rowOff>
    </xdr:from>
    <xdr:to>
      <xdr:col>8</xdr:col>
      <xdr:colOff>518799</xdr:colOff>
      <xdr:row>41</xdr:row>
      <xdr:rowOff>196399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0400" y="2603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4856400</xdr:colOff>
      <xdr:row>22</xdr:row>
      <xdr:rowOff>37650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4857749</xdr:colOff>
      <xdr:row>5</xdr:row>
      <xdr:rowOff>0</xdr:rowOff>
    </xdr:from>
    <xdr:to>
      <xdr:col>2</xdr:col>
      <xdr:colOff>4856399</xdr:colOff>
      <xdr:row>22</xdr:row>
      <xdr:rowOff>37650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552450</xdr:colOff>
      <xdr:row>26</xdr:row>
      <xdr:rowOff>19050</xdr:rowOff>
    </xdr:from>
    <xdr:to>
      <xdr:col>1</xdr:col>
      <xdr:colOff>4799250</xdr:colOff>
      <xdr:row>43</xdr:row>
      <xdr:rowOff>56700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4819649</xdr:colOff>
      <xdr:row>26</xdr:row>
      <xdr:rowOff>19050</xdr:rowOff>
    </xdr:from>
    <xdr:to>
      <xdr:col>2</xdr:col>
      <xdr:colOff>4818299</xdr:colOff>
      <xdr:row>43</xdr:row>
      <xdr:rowOff>56700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763200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32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763200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32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600075</xdr:colOff>
      <xdr:row>4</xdr:row>
      <xdr:rowOff>38099</xdr:rowOff>
    </xdr:from>
    <xdr:to>
      <xdr:col>4</xdr:col>
      <xdr:colOff>133350</xdr:colOff>
      <xdr:row>23</xdr:row>
      <xdr:rowOff>9525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571500</xdr:colOff>
      <xdr:row>27</xdr:row>
      <xdr:rowOff>0</xdr:rowOff>
    </xdr:from>
    <xdr:to>
      <xdr:col>4</xdr:col>
      <xdr:colOff>295275</xdr:colOff>
      <xdr:row>49</xdr:row>
      <xdr:rowOff>171450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763200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32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95251</xdr:colOff>
      <xdr:row>4</xdr:row>
      <xdr:rowOff>57150</xdr:rowOff>
    </xdr:from>
    <xdr:to>
      <xdr:col>1</xdr:col>
      <xdr:colOff>5619750</xdr:colOff>
      <xdr:row>15</xdr:row>
      <xdr:rowOff>183515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19</xdr:row>
      <xdr:rowOff>104774</xdr:rowOff>
    </xdr:from>
    <xdr:to>
      <xdr:col>1</xdr:col>
      <xdr:colOff>5981699</xdr:colOff>
      <xdr:row>34</xdr:row>
      <xdr:rowOff>171449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763200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32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152400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552450</xdr:colOff>
      <xdr:row>3</xdr:row>
      <xdr:rowOff>190498</xdr:rowOff>
    </xdr:from>
    <xdr:to>
      <xdr:col>8</xdr:col>
      <xdr:colOff>95250</xdr:colOff>
      <xdr:row>16</xdr:row>
      <xdr:rowOff>180975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21</xdr:row>
      <xdr:rowOff>66674</xdr:rowOff>
    </xdr:from>
    <xdr:to>
      <xdr:col>8</xdr:col>
      <xdr:colOff>47625</xdr:colOff>
      <xdr:row>34</xdr:row>
      <xdr:rowOff>95250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152400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600075</xdr:colOff>
      <xdr:row>4</xdr:row>
      <xdr:rowOff>66674</xdr:rowOff>
    </xdr:from>
    <xdr:to>
      <xdr:col>8</xdr:col>
      <xdr:colOff>561975</xdr:colOff>
      <xdr:row>20</xdr:row>
      <xdr:rowOff>209549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609599</xdr:colOff>
      <xdr:row>38</xdr:row>
      <xdr:rowOff>0</xdr:rowOff>
    </xdr:from>
    <xdr:to>
      <xdr:col>8</xdr:col>
      <xdr:colOff>200024</xdr:colOff>
      <xdr:row>56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763200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09600" y="190500"/>
          <a:ext cx="7632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50800</xdr:rowOff>
    </xdr:from>
    <xdr:to>
      <xdr:col>1</xdr:col>
      <xdr:colOff>812800</xdr:colOff>
      <xdr:row>2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4318000" y="641350"/>
          <a:ext cx="5619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01200" y="190500"/>
          <a:ext cx="7461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19050</xdr:colOff>
      <xdr:row>4</xdr:row>
      <xdr:rowOff>47625</xdr:rowOff>
    </xdr:from>
    <xdr:to>
      <xdr:col>8</xdr:col>
      <xdr:colOff>457200</xdr:colOff>
      <xdr:row>22</xdr:row>
      <xdr:rowOff>47175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578302</xdr:colOff>
      <xdr:row>25</xdr:row>
      <xdr:rowOff>141514</xdr:rowOff>
    </xdr:from>
    <xdr:to>
      <xdr:col>8</xdr:col>
      <xdr:colOff>400049</xdr:colOff>
      <xdr:row>43</xdr:row>
      <xdr:rowOff>141064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4173200" y="190500"/>
          <a:ext cx="66357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116418</xdr:colOff>
      <xdr:row>4</xdr:row>
      <xdr:rowOff>21167</xdr:rowOff>
    </xdr:from>
    <xdr:to>
      <xdr:col>9</xdr:col>
      <xdr:colOff>391585</xdr:colOff>
      <xdr:row>16</xdr:row>
      <xdr:rowOff>31751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296331</xdr:colOff>
      <xdr:row>19</xdr:row>
      <xdr:rowOff>31749</xdr:rowOff>
    </xdr:from>
    <xdr:to>
      <xdr:col>9</xdr:col>
      <xdr:colOff>10584</xdr:colOff>
      <xdr:row>34</xdr:row>
      <xdr:rowOff>127000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067675" y="219075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47625</xdr:colOff>
      <xdr:row>4</xdr:row>
      <xdr:rowOff>161925</xdr:rowOff>
    </xdr:from>
    <xdr:to>
      <xdr:col>7</xdr:col>
      <xdr:colOff>533401</xdr:colOff>
      <xdr:row>20</xdr:row>
      <xdr:rowOff>95251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73025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9601200" y="190500"/>
          <a:ext cx="746125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661987</xdr:colOff>
      <xdr:row>4</xdr:row>
      <xdr:rowOff>61913</xdr:rowOff>
    </xdr:from>
    <xdr:to>
      <xdr:col>9</xdr:col>
      <xdr:colOff>225112</xdr:colOff>
      <xdr:row>21</xdr:row>
      <xdr:rowOff>99563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107950</xdr:rowOff>
    </xdr:from>
    <xdr:to>
      <xdr:col>2</xdr:col>
      <xdr:colOff>203200</xdr:colOff>
      <xdr:row>2</xdr:row>
      <xdr:rowOff>171450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661150" y="10795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409575</xdr:colOff>
      <xdr:row>5</xdr:row>
      <xdr:rowOff>66675</xdr:rowOff>
    </xdr:from>
    <xdr:to>
      <xdr:col>7</xdr:col>
      <xdr:colOff>9525</xdr:colOff>
      <xdr:row>21</xdr:row>
      <xdr:rowOff>76200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638176</xdr:colOff>
      <xdr:row>23</xdr:row>
      <xdr:rowOff>38101</xdr:rowOff>
    </xdr:from>
    <xdr:to>
      <xdr:col>3</xdr:col>
      <xdr:colOff>409575</xdr:colOff>
      <xdr:row>38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285750</xdr:colOff>
      <xdr:row>23</xdr:row>
      <xdr:rowOff>95250</xdr:rowOff>
    </xdr:from>
    <xdr:to>
      <xdr:col>12</xdr:col>
      <xdr:colOff>123375</xdr:colOff>
      <xdr:row>39</xdr:row>
      <xdr:rowOff>24450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0</xdr:rowOff>
    </xdr:from>
    <xdr:to>
      <xdr:col>1</xdr:col>
      <xdr:colOff>762000</xdr:colOff>
      <xdr:row>2</xdr:row>
      <xdr:rowOff>111125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228600" y="161925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PANTOLIN\My%20Local%20Documents\Slovenia\Wages_employm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PANTOLIN\My%20Local%20Documents\Slovenia\Wages_employ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Slovenia\SV%20MONITOR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AL\CZYWP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WIN\Temporary%20Internet%20Files\OLKE156\Money\Monetary%20Conditions\mcichart_core_inf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2_FISKAL\04_Modely\01_Konsolidacne%20usilie%20a%20fiskalny%20impulz\Strukturalne_saldo_MODEL_DBP201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Strukturalne_saldo_MODEL_DBP2016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2_FISKAL\04_Modely\01_Konsolidacne%20usilie%20a%20fiskalny%20impulz\Strukturalne_saldo_MODEL_FK_maj_2016_22012016_preliminary_PJ_scenar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2_FISKAL\04_Modely\01_Konsolidacne%20usilie%20a%20fiskalny%20impulz\Strukturalne_saldo_MODEL_FK_maj_2016_22012016_preliminary_PJ_scenar%201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SVN\BOP\REER%20and%20competitiveness\Competitivenes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lshoobridge\Local%20Settings\Temporary%20Internet%20Files\OLK10\Charts\Svk%20Charts%20Data%202005_curr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FIS\M-T%20fiscal%20June10%2020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5_MATERIALY\5_3_Strategicke_materialy\Navrh%20rozpoctoveho%20planu%20DBP\2017\Dane\Prispevky_k_prognoze_RVS_vs_201709_pre_DBP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O2\MKD\REP\TABLES\red98\Mk-red98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O2\MKD\REP\TABLES\red98\Mk-red98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dtzanninis\My%20Local%20Documents\Slovenia\CZE%20--%20Main%20Fiscal%20Fil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 refreshError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 refreshError="1">
        <row r="20">
          <cell r="A20" t="str">
            <v>October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y do komentara"/>
      <sheetName val="Vplyvy sumar"/>
      <sheetName val="dane"/>
      <sheetName val="makro"/>
      <sheetName val="legislativa"/>
      <sheetName val="grafy"/>
      <sheetName val="grafy EN"/>
      <sheetName val="Rozbitie_vplyvov"/>
    </sheetNames>
    <sheetDataSet>
      <sheetData sheetId="0"/>
      <sheetData sheetId="1"/>
      <sheetData sheetId="2"/>
      <sheetData sheetId="3">
        <row r="4">
          <cell r="C4">
            <v>78.502858382318436</v>
          </cell>
          <cell r="D4">
            <v>81.275452380922246</v>
          </cell>
          <cell r="E4">
            <v>84.423579375810974</v>
          </cell>
          <cell r="F4">
            <v>88.130188629539617</v>
          </cell>
          <cell r="G4">
            <v>0</v>
          </cell>
        </row>
        <row r="5">
          <cell r="C5">
            <v>80.547803876732885</v>
          </cell>
          <cell r="D5">
            <v>83.991385519523988</v>
          </cell>
          <cell r="E5">
            <v>88.52128676831191</v>
          </cell>
          <cell r="F5">
            <v>94.214617048377477</v>
          </cell>
          <cell r="G5">
            <v>0</v>
          </cell>
        </row>
        <row r="6">
          <cell r="C6">
            <v>40.665754122542438</v>
          </cell>
          <cell r="D6">
            <v>41.680666361334218</v>
          </cell>
          <cell r="E6">
            <v>42.821904778464514</v>
          </cell>
          <cell r="F6">
            <v>44.08020114451071</v>
          </cell>
          <cell r="G6">
            <v>0</v>
          </cell>
        </row>
        <row r="7">
          <cell r="C7">
            <v>43.984500712420669</v>
          </cell>
          <cell r="D7">
            <v>45.484535352602684</v>
          </cell>
          <cell r="E7">
            <v>47.497836713264157</v>
          </cell>
          <cell r="F7">
            <v>49.833106284220669</v>
          </cell>
          <cell r="G7">
            <v>0</v>
          </cell>
        </row>
        <row r="8">
          <cell r="C8">
            <v>38.524899015465365</v>
          </cell>
          <cell r="D8">
            <v>39.582549462948265</v>
          </cell>
          <cell r="E8">
            <v>41.070550408639242</v>
          </cell>
          <cell r="F8">
            <v>42.977890830757936</v>
          </cell>
          <cell r="G8">
            <v>0</v>
          </cell>
        </row>
        <row r="11">
          <cell r="C11">
            <v>25.061205094962499</v>
          </cell>
          <cell r="D11">
            <v>26.325903158710343</v>
          </cell>
          <cell r="E11">
            <v>27.735670690784264</v>
          </cell>
          <cell r="F11">
            <v>29.32785259387137</v>
          </cell>
          <cell r="G11">
            <v>0</v>
          </cell>
        </row>
        <row r="14">
          <cell r="C14">
            <v>0.22924020064339004</v>
          </cell>
          <cell r="D14">
            <v>0.22483632448877952</v>
          </cell>
          <cell r="E14">
            <v>0.24011994064497608</v>
          </cell>
          <cell r="F14">
            <v>0.27414675953044987</v>
          </cell>
          <cell r="G14">
            <v>0</v>
          </cell>
        </row>
        <row r="16">
          <cell r="C16">
            <v>49.281091445453157</v>
          </cell>
          <cell r="D16">
            <v>51.065913586707978</v>
          </cell>
          <cell r="E16">
            <v>53.834842349880567</v>
          </cell>
          <cell r="F16">
            <v>57.568129491799702</v>
          </cell>
          <cell r="G16">
            <v>0</v>
          </cell>
        </row>
        <row r="17">
          <cell r="C17">
            <v>66.319277427653276</v>
          </cell>
          <cell r="D17">
            <v>70.182634133387978</v>
          </cell>
          <cell r="E17">
            <v>75.439345535102163</v>
          </cell>
          <cell r="F17">
            <v>81.793801752423647</v>
          </cell>
          <cell r="G17">
            <v>0</v>
          </cell>
        </row>
        <row r="26">
          <cell r="C26">
            <v>78.854728000000009</v>
          </cell>
          <cell r="D26">
            <v>81.484094566064485</v>
          </cell>
          <cell r="E26">
            <v>84.87893092860277</v>
          </cell>
          <cell r="F26">
            <v>88.591069889878383</v>
          </cell>
          <cell r="G26">
            <v>92.026930652835716</v>
          </cell>
        </row>
        <row r="27">
          <cell r="C27">
            <v>80.958004000000003</v>
          </cell>
          <cell r="D27">
            <v>84.5995693583274</v>
          </cell>
          <cell r="E27">
            <v>89.495333808169264</v>
          </cell>
          <cell r="F27">
            <v>95.260868620557332</v>
          </cell>
          <cell r="G27">
            <v>101.00735417605054</v>
          </cell>
        </row>
        <row r="28">
          <cell r="C28">
            <v>40.196354000000007</v>
          </cell>
          <cell r="D28">
            <v>41.547512733512335</v>
          </cell>
          <cell r="E28">
            <v>42.754818304678729</v>
          </cell>
          <cell r="F28">
            <v>43.975046180032002</v>
          </cell>
          <cell r="G28">
            <v>45.240036950748845</v>
          </cell>
        </row>
        <row r="29">
          <cell r="C29">
            <v>43.548813000000003</v>
          </cell>
          <cell r="D29">
            <v>45.641597296232476</v>
          </cell>
          <cell r="E29">
            <v>47.75602071442546</v>
          </cell>
          <cell r="F29">
            <v>50.052825164944132</v>
          </cell>
          <cell r="G29">
            <v>52.566197780740211</v>
          </cell>
        </row>
        <row r="30">
          <cell r="C30">
            <v>38.032027270299999</v>
          </cell>
          <cell r="D30">
            <v>39.582992287585846</v>
          </cell>
          <cell r="E30">
            <v>41.252391473310389</v>
          </cell>
          <cell r="F30">
            <v>43.192634607434158</v>
          </cell>
          <cell r="G30">
            <v>45.244232556433211</v>
          </cell>
        </row>
        <row r="33">
          <cell r="C33">
            <v>25.247460527999998</v>
          </cell>
          <cell r="D33">
            <v>26.73031719291571</v>
          </cell>
          <cell r="E33">
            <v>28.366257844877175</v>
          </cell>
          <cell r="F33">
            <v>30.038917613277654</v>
          </cell>
          <cell r="G33">
            <v>31.909135439919183</v>
          </cell>
        </row>
        <row r="36">
          <cell r="C36">
            <v>0.21851840145167084</v>
          </cell>
          <cell r="D36">
            <v>0.15625706290990021</v>
          </cell>
          <cell r="E36">
            <v>0.15418751268812014</v>
          </cell>
          <cell r="F36">
            <v>0.149105036903216</v>
          </cell>
          <cell r="G36">
            <v>0.1570961354122469</v>
          </cell>
        </row>
        <row r="38">
          <cell r="C38">
            <v>49.331429000000007</v>
          </cell>
          <cell r="D38">
            <v>51.009380978787284</v>
          </cell>
          <cell r="E38">
            <v>53.916898308264891</v>
          </cell>
          <cell r="F38">
            <v>57.604658786380242</v>
          </cell>
          <cell r="G38">
            <v>61.012127420618299</v>
          </cell>
        </row>
        <row r="39">
          <cell r="C39">
            <v>65.799836999999997</v>
          </cell>
          <cell r="D39">
            <v>70.666258866172427</v>
          </cell>
          <cell r="E39">
            <v>76.432399798318372</v>
          </cell>
          <cell r="F39">
            <v>82.850139524502367</v>
          </cell>
          <cell r="G39">
            <v>88.954858057466581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2:F83"/>
  <sheetViews>
    <sheetView showGridLines="0" tabSelected="1" zoomScaleNormal="100" workbookViewId="0"/>
  </sheetViews>
  <sheetFormatPr defaultRowHeight="12.75" x14ac:dyDescent="0.2"/>
  <cols>
    <col min="1" max="2" width="9.140625" style="35"/>
    <col min="3" max="3" width="97.28515625" style="35" bestFit="1" customWidth="1"/>
    <col min="4" max="4" width="9.140625" style="35"/>
    <col min="5" max="5" width="152.7109375" style="35" bestFit="1" customWidth="1"/>
    <col min="6" max="6" width="9.140625" style="35"/>
    <col min="7" max="7" width="51.28515625" style="35" bestFit="1" customWidth="1"/>
    <col min="8" max="16384" width="9.140625" style="35"/>
  </cols>
  <sheetData>
    <row r="2" spans="2:6" ht="17.25" customHeight="1" thickBot="1" x14ac:dyDescent="0.25">
      <c r="B2" s="810" t="s">
        <v>363</v>
      </c>
      <c r="C2" s="810"/>
      <c r="D2" s="774"/>
      <c r="E2" s="774"/>
      <c r="F2" s="775"/>
    </row>
    <row r="3" spans="2:6" ht="13.5" thickBot="1" x14ac:dyDescent="0.25">
      <c r="B3" s="776"/>
      <c r="C3" s="777" t="s">
        <v>322</v>
      </c>
      <c r="D3" s="778">
        <v>27</v>
      </c>
      <c r="E3" s="780" t="s">
        <v>600</v>
      </c>
    </row>
    <row r="4" spans="2:6" ht="13.5" thickBot="1" x14ac:dyDescent="0.25">
      <c r="B4" s="778">
        <v>1</v>
      </c>
      <c r="C4" s="779" t="s">
        <v>584</v>
      </c>
      <c r="D4" s="778">
        <v>28</v>
      </c>
      <c r="E4" s="779" t="s">
        <v>601</v>
      </c>
    </row>
    <row r="5" spans="2:6" ht="13.5" thickBot="1" x14ac:dyDescent="0.25">
      <c r="B5" s="781"/>
      <c r="C5" s="777" t="s">
        <v>256</v>
      </c>
      <c r="D5" s="778">
        <v>29</v>
      </c>
      <c r="E5" s="780" t="s">
        <v>602</v>
      </c>
    </row>
    <row r="6" spans="2:6" ht="13.5" thickBot="1" x14ac:dyDescent="0.25">
      <c r="B6" s="778">
        <v>2</v>
      </c>
      <c r="C6" s="779" t="s">
        <v>585</v>
      </c>
      <c r="D6" s="778">
        <v>30</v>
      </c>
      <c r="E6" s="779" t="s">
        <v>603</v>
      </c>
    </row>
    <row r="7" spans="2:6" ht="13.5" thickBot="1" x14ac:dyDescent="0.25">
      <c r="B7" s="778">
        <v>3</v>
      </c>
      <c r="C7" s="779" t="s">
        <v>586</v>
      </c>
      <c r="D7" s="781"/>
      <c r="E7" s="782" t="s">
        <v>258</v>
      </c>
    </row>
    <row r="8" spans="2:6" ht="13.5" thickBot="1" x14ac:dyDescent="0.25">
      <c r="B8" s="778">
        <v>4</v>
      </c>
      <c r="C8" s="779" t="s">
        <v>587</v>
      </c>
      <c r="D8" s="778">
        <v>31</v>
      </c>
      <c r="E8" s="780" t="s">
        <v>1097</v>
      </c>
    </row>
    <row r="9" spans="2:6" ht="13.5" thickBot="1" x14ac:dyDescent="0.25">
      <c r="B9" s="778">
        <v>5</v>
      </c>
      <c r="C9" s="780" t="s">
        <v>588</v>
      </c>
      <c r="D9" s="778">
        <v>32</v>
      </c>
      <c r="E9" s="779" t="s">
        <v>1098</v>
      </c>
    </row>
    <row r="10" spans="2:6" ht="13.5" thickBot="1" x14ac:dyDescent="0.25">
      <c r="B10" s="778">
        <v>6</v>
      </c>
      <c r="C10" s="779" t="s">
        <v>354</v>
      </c>
      <c r="D10" s="783">
        <v>33</v>
      </c>
      <c r="E10" s="780" t="s">
        <v>1099</v>
      </c>
    </row>
    <row r="11" spans="2:6" ht="13.5" thickBot="1" x14ac:dyDescent="0.25">
      <c r="B11" s="781"/>
      <c r="C11" s="777" t="s">
        <v>257</v>
      </c>
      <c r="D11" s="781"/>
      <c r="E11" s="782" t="s">
        <v>259</v>
      </c>
    </row>
    <row r="12" spans="2:6" ht="13.5" thickBot="1" x14ac:dyDescent="0.25">
      <c r="B12" s="778">
        <v>7</v>
      </c>
      <c r="C12" s="779" t="s">
        <v>589</v>
      </c>
      <c r="D12" s="778">
        <v>34</v>
      </c>
      <c r="E12" s="780" t="s">
        <v>828</v>
      </c>
    </row>
    <row r="13" spans="2:6" ht="13.5" thickBot="1" x14ac:dyDescent="0.25">
      <c r="B13" s="778">
        <v>8</v>
      </c>
      <c r="C13" s="780" t="s">
        <v>590</v>
      </c>
      <c r="D13" s="778">
        <v>35</v>
      </c>
      <c r="E13" s="779" t="s">
        <v>799</v>
      </c>
    </row>
    <row r="14" spans="2:6" ht="13.5" thickBot="1" x14ac:dyDescent="0.25">
      <c r="B14" s="778">
        <v>9</v>
      </c>
      <c r="C14" s="780" t="s">
        <v>591</v>
      </c>
      <c r="D14" s="778">
        <v>36</v>
      </c>
      <c r="E14" s="780" t="s">
        <v>800</v>
      </c>
    </row>
    <row r="15" spans="2:6" ht="13.5" thickBot="1" x14ac:dyDescent="0.25">
      <c r="B15" s="778">
        <v>10</v>
      </c>
      <c r="C15" s="779" t="s">
        <v>592</v>
      </c>
      <c r="D15" s="778">
        <v>37</v>
      </c>
      <c r="E15" s="779" t="s">
        <v>1100</v>
      </c>
    </row>
    <row r="16" spans="2:6" ht="13.5" thickBot="1" x14ac:dyDescent="0.25">
      <c r="B16" s="778">
        <v>11</v>
      </c>
      <c r="C16" s="780" t="s">
        <v>593</v>
      </c>
      <c r="D16" s="778">
        <v>38</v>
      </c>
      <c r="E16" s="780" t="s">
        <v>1101</v>
      </c>
    </row>
    <row r="17" spans="2:5" ht="13.5" thickBot="1" x14ac:dyDescent="0.25">
      <c r="B17" s="778">
        <v>12</v>
      </c>
      <c r="C17" s="779" t="s">
        <v>594</v>
      </c>
      <c r="D17" s="778">
        <v>39</v>
      </c>
      <c r="E17" s="779" t="s">
        <v>1102</v>
      </c>
    </row>
    <row r="18" spans="2:5" ht="13.5" thickBot="1" x14ac:dyDescent="0.25">
      <c r="B18" s="778">
        <v>13</v>
      </c>
      <c r="C18" s="779" t="s">
        <v>595</v>
      </c>
      <c r="D18" s="778">
        <v>40</v>
      </c>
      <c r="E18" s="780" t="s">
        <v>1103</v>
      </c>
    </row>
    <row r="19" spans="2:5" ht="13.5" thickBot="1" x14ac:dyDescent="0.25">
      <c r="B19" s="778">
        <v>14</v>
      </c>
      <c r="C19" s="779" t="s">
        <v>596</v>
      </c>
      <c r="D19" s="778">
        <v>41</v>
      </c>
      <c r="E19" s="779" t="s">
        <v>801</v>
      </c>
    </row>
    <row r="20" spans="2:5" ht="13.5" thickBot="1" x14ac:dyDescent="0.25">
      <c r="B20" s="778">
        <v>15</v>
      </c>
      <c r="C20" s="779" t="s">
        <v>597</v>
      </c>
      <c r="D20" s="778">
        <v>42</v>
      </c>
      <c r="E20" s="780" t="s">
        <v>1104</v>
      </c>
    </row>
    <row r="21" spans="2:5" ht="13.5" thickBot="1" x14ac:dyDescent="0.25">
      <c r="B21" s="778">
        <v>16</v>
      </c>
      <c r="C21" s="779" t="s">
        <v>598</v>
      </c>
      <c r="D21" s="778">
        <v>43</v>
      </c>
      <c r="E21" s="779" t="s">
        <v>1105</v>
      </c>
    </row>
    <row r="22" spans="2:5" ht="13.5" thickBot="1" x14ac:dyDescent="0.25">
      <c r="B22" s="778">
        <v>17</v>
      </c>
      <c r="C22" s="779" t="s">
        <v>599</v>
      </c>
      <c r="D22" s="778">
        <v>44</v>
      </c>
      <c r="E22" s="779" t="s">
        <v>1106</v>
      </c>
    </row>
    <row r="23" spans="2:5" ht="13.5" thickBot="1" x14ac:dyDescent="0.25">
      <c r="B23" s="778">
        <v>18</v>
      </c>
      <c r="C23" s="780" t="s">
        <v>1088</v>
      </c>
      <c r="D23" s="781"/>
      <c r="E23" s="777" t="s">
        <v>260</v>
      </c>
    </row>
    <row r="24" spans="2:5" ht="13.5" thickBot="1" x14ac:dyDescent="0.25">
      <c r="B24" s="778">
        <v>19</v>
      </c>
      <c r="C24" s="779" t="s">
        <v>1089</v>
      </c>
      <c r="D24" s="778">
        <v>45</v>
      </c>
      <c r="E24" s="780" t="s">
        <v>604</v>
      </c>
    </row>
    <row r="25" spans="2:5" ht="13.5" thickBot="1" x14ac:dyDescent="0.25">
      <c r="B25" s="778">
        <v>20</v>
      </c>
      <c r="C25" s="780" t="s">
        <v>1090</v>
      </c>
      <c r="D25" s="778">
        <v>46</v>
      </c>
      <c r="E25" s="779" t="s">
        <v>605</v>
      </c>
    </row>
    <row r="26" spans="2:5" ht="13.5" thickBot="1" x14ac:dyDescent="0.25">
      <c r="B26" s="778">
        <v>21</v>
      </c>
      <c r="C26" s="779" t="s">
        <v>1091</v>
      </c>
      <c r="D26" s="778">
        <v>47</v>
      </c>
      <c r="E26" s="780" t="s">
        <v>1107</v>
      </c>
    </row>
    <row r="27" spans="2:5" ht="13.5" thickBot="1" x14ac:dyDescent="0.25">
      <c r="B27" s="778">
        <v>22</v>
      </c>
      <c r="C27" s="780" t="s">
        <v>1092</v>
      </c>
      <c r="E27" s="779"/>
    </row>
    <row r="28" spans="2:5" ht="13.5" thickBot="1" x14ac:dyDescent="0.25">
      <c r="B28" s="778">
        <v>23</v>
      </c>
      <c r="C28" s="779" t="s">
        <v>1093</v>
      </c>
      <c r="E28" s="779"/>
    </row>
    <row r="29" spans="2:5" ht="13.5" thickBot="1" x14ac:dyDescent="0.25">
      <c r="B29" s="778">
        <v>24</v>
      </c>
      <c r="C29" s="780" t="s">
        <v>1094</v>
      </c>
    </row>
    <row r="30" spans="2:5" ht="13.5" thickBot="1" x14ac:dyDescent="0.25">
      <c r="B30" s="778">
        <v>25</v>
      </c>
      <c r="C30" s="779" t="s">
        <v>1095</v>
      </c>
    </row>
    <row r="31" spans="2:5" ht="13.5" thickBot="1" x14ac:dyDescent="0.25">
      <c r="B31" s="778">
        <v>26</v>
      </c>
      <c r="C31" s="779" t="s">
        <v>1096</v>
      </c>
    </row>
    <row r="33" spans="3:4" ht="15" x14ac:dyDescent="0.25">
      <c r="C33"/>
      <c r="D33"/>
    </row>
    <row r="34" spans="3:4" ht="15" x14ac:dyDescent="0.25">
      <c r="C34" s="809"/>
      <c r="D34"/>
    </row>
    <row r="35" spans="3:4" ht="15" x14ac:dyDescent="0.25">
      <c r="C35" s="809"/>
      <c r="D35"/>
    </row>
    <row r="36" spans="3:4" ht="15" x14ac:dyDescent="0.25">
      <c r="C36" s="809"/>
      <c r="D36"/>
    </row>
    <row r="37" spans="3:4" ht="15" x14ac:dyDescent="0.25">
      <c r="C37" s="809"/>
      <c r="D37"/>
    </row>
    <row r="38" spans="3:4" ht="15" x14ac:dyDescent="0.25">
      <c r="C38" s="809"/>
      <c r="D38"/>
    </row>
    <row r="39" spans="3:4" ht="15" x14ac:dyDescent="0.25">
      <c r="C39" s="809"/>
      <c r="D39"/>
    </row>
    <row r="40" spans="3:4" ht="15" x14ac:dyDescent="0.25">
      <c r="C40" s="809"/>
      <c r="D40"/>
    </row>
    <row r="41" spans="3:4" ht="15" x14ac:dyDescent="0.25">
      <c r="C41" s="809"/>
      <c r="D41"/>
    </row>
    <row r="42" spans="3:4" ht="15" x14ac:dyDescent="0.25">
      <c r="C42" s="809"/>
      <c r="D42"/>
    </row>
    <row r="43" spans="3:4" ht="15" x14ac:dyDescent="0.25">
      <c r="C43" s="809"/>
      <c r="D43"/>
    </row>
    <row r="44" spans="3:4" ht="15" x14ac:dyDescent="0.25">
      <c r="C44" s="809"/>
      <c r="D44"/>
    </row>
    <row r="45" spans="3:4" ht="15" x14ac:dyDescent="0.25">
      <c r="C45" s="809"/>
      <c r="D45"/>
    </row>
    <row r="46" spans="3:4" ht="15" x14ac:dyDescent="0.25">
      <c r="C46" s="809"/>
      <c r="D46"/>
    </row>
    <row r="47" spans="3:4" ht="15" x14ac:dyDescent="0.25">
      <c r="C47" s="809"/>
      <c r="D47"/>
    </row>
    <row r="48" spans="3:4" ht="15" x14ac:dyDescent="0.25">
      <c r="C48" s="809"/>
      <c r="D48"/>
    </row>
    <row r="49" spans="3:4" ht="15" x14ac:dyDescent="0.25">
      <c r="C49" s="809"/>
      <c r="D49"/>
    </row>
    <row r="50" spans="3:4" ht="15" x14ac:dyDescent="0.25">
      <c r="C50" s="809"/>
      <c r="D50"/>
    </row>
    <row r="51" spans="3:4" ht="15" x14ac:dyDescent="0.25">
      <c r="C51" s="809"/>
      <c r="D51"/>
    </row>
    <row r="52" spans="3:4" ht="15" x14ac:dyDescent="0.25">
      <c r="C52" s="809"/>
      <c r="D52"/>
    </row>
    <row r="53" spans="3:4" ht="15" x14ac:dyDescent="0.25">
      <c r="C53" s="809"/>
      <c r="D53"/>
    </row>
    <row r="54" spans="3:4" ht="15" x14ac:dyDescent="0.25">
      <c r="D54"/>
    </row>
    <row r="55" spans="3:4" ht="15" x14ac:dyDescent="0.25">
      <c r="D55"/>
    </row>
    <row r="56" spans="3:4" ht="15" x14ac:dyDescent="0.25">
      <c r="D56"/>
    </row>
    <row r="57" spans="3:4" ht="15" x14ac:dyDescent="0.25">
      <c r="D57"/>
    </row>
    <row r="58" spans="3:4" ht="15" x14ac:dyDescent="0.25">
      <c r="D58"/>
    </row>
    <row r="59" spans="3:4" ht="15" x14ac:dyDescent="0.25">
      <c r="D59"/>
    </row>
    <row r="60" spans="3:4" ht="15" x14ac:dyDescent="0.25">
      <c r="D60"/>
    </row>
    <row r="61" spans="3:4" ht="15" x14ac:dyDescent="0.25">
      <c r="D61"/>
    </row>
    <row r="62" spans="3:4" ht="15" x14ac:dyDescent="0.25">
      <c r="D62"/>
    </row>
    <row r="63" spans="3:4" ht="15" x14ac:dyDescent="0.25">
      <c r="D63"/>
    </row>
    <row r="64" spans="3:4" ht="15" x14ac:dyDescent="0.25">
      <c r="D64"/>
    </row>
    <row r="65" spans="4:4" ht="15" x14ac:dyDescent="0.25">
      <c r="D65"/>
    </row>
    <row r="66" spans="4:4" ht="15" x14ac:dyDescent="0.25">
      <c r="D66"/>
    </row>
    <row r="67" spans="4:4" ht="15" x14ac:dyDescent="0.25">
      <c r="D67"/>
    </row>
    <row r="68" spans="4:4" ht="15" x14ac:dyDescent="0.25">
      <c r="D68"/>
    </row>
    <row r="69" spans="4:4" ht="15" x14ac:dyDescent="0.25">
      <c r="D69"/>
    </row>
    <row r="70" spans="4:4" ht="15" x14ac:dyDescent="0.25">
      <c r="D70"/>
    </row>
    <row r="71" spans="4:4" ht="15" x14ac:dyDescent="0.25">
      <c r="D71"/>
    </row>
    <row r="72" spans="4:4" ht="15" x14ac:dyDescent="0.25">
      <c r="D72"/>
    </row>
    <row r="73" spans="4:4" ht="15" x14ac:dyDescent="0.25">
      <c r="D73"/>
    </row>
    <row r="74" spans="4:4" ht="15" x14ac:dyDescent="0.25">
      <c r="D74"/>
    </row>
    <row r="75" spans="4:4" ht="15" x14ac:dyDescent="0.25">
      <c r="D75"/>
    </row>
    <row r="76" spans="4:4" ht="15" x14ac:dyDescent="0.25">
      <c r="D76"/>
    </row>
    <row r="77" spans="4:4" ht="15" x14ac:dyDescent="0.25">
      <c r="D77"/>
    </row>
    <row r="78" spans="4:4" ht="15" x14ac:dyDescent="0.25">
      <c r="D78"/>
    </row>
    <row r="79" spans="4:4" ht="15" x14ac:dyDescent="0.25">
      <c r="D79"/>
    </row>
    <row r="80" spans="4:4" ht="15" x14ac:dyDescent="0.25">
      <c r="D80"/>
    </row>
    <row r="81" spans="4:4" ht="15" x14ac:dyDescent="0.25">
      <c r="D81"/>
    </row>
    <row r="82" spans="4:4" ht="15" x14ac:dyDescent="0.25">
      <c r="D82"/>
    </row>
    <row r="83" spans="4:4" ht="15" x14ac:dyDescent="0.25">
      <c r="D83"/>
    </row>
  </sheetData>
  <mergeCells count="1">
    <mergeCell ref="B2:C2"/>
  </mergeCells>
  <hyperlinks>
    <hyperlink ref="C4" location="'Graf 1 + 2'!A1" display="Graf 1 + 2"/>
    <hyperlink ref="C6" location="'Graf 3 + 4'!A1" display="Graf 3 + 4"/>
    <hyperlink ref="C7" location="'Graf 5 + 6'!A1" display="Graf 5 + 6"/>
    <hyperlink ref="C8" location="'Graf 7 + 8'!A1" display="Graf 7 + 8"/>
    <hyperlink ref="C9" location="'Box 1_ Graf 9_ Tabuľka 1+2'!A1" display="Box 1_ Graf 9_ Tabuľka 1+2"/>
    <hyperlink ref="C10" location="'Graf 10'!A1" display="Graf 10"/>
    <hyperlink ref="C12" location="'Graf 11 '!A1" display="Graf 11 "/>
    <hyperlink ref="C13" location="'Graf 12'!A1" display="Graf 12"/>
    <hyperlink ref="C14" location="'Tabuľka 3'!A1" display="Tabuľka 3"/>
    <hyperlink ref="C15" location="'Tabuľka 4'!A1" display="Tabuľka 4"/>
    <hyperlink ref="C16" location="'BOX 3 _ graf 13 + 14 _ Tab5'!A1" display="BOX 3 _ graf 13 + 14 _ Tab5"/>
    <hyperlink ref="C17" location="'Graf 15 + 16 + Tab 6'!A1" display="Graf 15 + 16 + Tab 6"/>
    <hyperlink ref="C18" location="'Tabuľka 7 '!A1" display="Tabuľka 7 "/>
    <hyperlink ref="C19" location="'Tabuľka 8'!A1" display="Tabuľka 8"/>
    <hyperlink ref="C20" location="'Graf 17'!A1" display="Graf 17"/>
    <hyperlink ref="C21" location="'Graf 18'!A1" display="Graf 18"/>
    <hyperlink ref="C22" location="'Box 5_Graf 19'!A1" display="Box 5_Graf 19"/>
    <hyperlink ref="C23" location="'Box 6 _ Tab 9 + Graf 20'!A1" display="Box 6 _ Tab 9 + Graf 20"/>
    <hyperlink ref="C24" location="'Graf 21 + 22'!A1" display="Graf 21 + 22"/>
    <hyperlink ref="C25" location="'Graf 23 + 24'!A1" display="Graf 23 + 24"/>
    <hyperlink ref="C26" location="'Graf 25 + 26'!A1" display="Graf 25 + 26"/>
    <hyperlink ref="C27" location="'Graf 27 + 28'!A1" display="Graf 27 + 28"/>
    <hyperlink ref="C28" location="'Graf 29 + 30'!A1" display="Graf 29 + 30"/>
    <hyperlink ref="C29" location="'Graf 31 + 32'!A1" display="Graf 31 + 32"/>
    <hyperlink ref="C30" location="'Graf 33 + Tabuľka 10'!A1" display="Graf 33 + Tabuľka 10"/>
    <hyperlink ref="C31" location="'Graf 34'!A1" display="Graf 34"/>
    <hyperlink ref="E3" location="'Tabuľka 11'!A1" display="Tabuľka 11"/>
    <hyperlink ref="E4" location="'Tabuľka 12'!A1" display="Tabuľka 12"/>
    <hyperlink ref="E5" location="'Box 10_tabuľka 13'!A1" display="Box 10_tabuľka 13"/>
    <hyperlink ref="E6" location="'Tabuľka 14'!A1" display="Tabuľka 14"/>
    <hyperlink ref="E8" location="'Graf 35 + 36'!A1" display="Graf 35 + 36"/>
    <hyperlink ref="E9" location="'BOX 11_Tabuľka 15'!A1" display="BOX 11_Tabuľka 15"/>
    <hyperlink ref="E10" location="'Box 11_Graf 37 + 38'!A1" display="Box 11_Graf 37 + 38"/>
    <hyperlink ref="E12" location="'Graf 39'!A1" display="Graf 39"/>
    <hyperlink ref="E13" location="'Tabuľka 16'!A1" display="Tabuľka 16"/>
    <hyperlink ref="E14" location="'Tabuľka 17'!A1" display="Tabuľka 17"/>
    <hyperlink ref="E15" location="'Graf 40 + 41 + 42'!A1" display="Graf 40 + 41 + 42"/>
    <hyperlink ref="E16" location="'Tabuľka 18 '!A1" display="Tabuľka 18 "/>
    <hyperlink ref="E17" location="'Graf 43 + 44'!A1" display="Graf 43 + 44"/>
    <hyperlink ref="E18" location="'Graf 45 + 46'!A1" display="Graf 45 + 46"/>
    <hyperlink ref="E19" location="'Tabuľka 19'!A1" display="Tabuľka 19"/>
    <hyperlink ref="E20" location="'Graf 47 + 48'!A1" display="Graf 47 + 48"/>
    <hyperlink ref="E21" location="'Graf 49 + 50'!A1" display="Graf 49 + 50"/>
    <hyperlink ref="E22" location="'Tabuľka 20 '!A1" display="Tabuľka 20 "/>
    <hyperlink ref="E24" location="'Tabuľka 21'!A1" display="Tabuľka 21"/>
    <hyperlink ref="E25" location="'Tabuľka 22'!A1" display="Tabuľka 22"/>
    <hyperlink ref="E26" location="'Graf 51 + 52'!A1" display="Graf 51 + 5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pageSetUpPr fitToPage="1"/>
  </sheetPr>
  <dimension ref="B4:AF60"/>
  <sheetViews>
    <sheetView showGridLines="0" zoomScaleNormal="100" zoomScaleSheetLayoutView="90" workbookViewId="0">
      <selection sqref="A1:XFD1048576"/>
    </sheetView>
  </sheetViews>
  <sheetFormatPr defaultColWidth="9.140625" defaultRowHeight="12.75" x14ac:dyDescent="0.2"/>
  <cols>
    <col min="1" max="1" width="3.42578125" style="249" customWidth="1"/>
    <col min="2" max="2" width="43.42578125" style="249" customWidth="1"/>
    <col min="3" max="3" width="13.28515625" style="249" bestFit="1" customWidth="1"/>
    <col min="4" max="6" width="7.28515625" style="249" bestFit="1" customWidth="1"/>
    <col min="7" max="7" width="6.42578125" style="249" bestFit="1" customWidth="1"/>
    <col min="8" max="8" width="6.5703125" style="249" bestFit="1" customWidth="1"/>
    <col min="9" max="10" width="6.7109375" style="249" bestFit="1" customWidth="1"/>
    <col min="11" max="26" width="7.7109375" style="249" customWidth="1"/>
    <col min="27" max="27" width="6.28515625" style="249" bestFit="1" customWidth="1"/>
    <col min="28" max="31" width="7.140625" style="249" bestFit="1" customWidth="1"/>
    <col min="32" max="32" width="4.42578125" style="249" bestFit="1" customWidth="1"/>
    <col min="33" max="16384" width="9.140625" style="249"/>
  </cols>
  <sheetData>
    <row r="4" spans="2:32" x14ac:dyDescent="0.2">
      <c r="B4" s="255" t="s">
        <v>649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7"/>
      <c r="W4" s="256"/>
      <c r="X4" s="256"/>
      <c r="Y4" s="256"/>
      <c r="Z4" s="256"/>
      <c r="AA4" s="256"/>
      <c r="AB4" s="256"/>
      <c r="AC4" s="256"/>
      <c r="AD4" s="256"/>
      <c r="AE4" s="256"/>
      <c r="AF4" s="257"/>
    </row>
    <row r="5" spans="2:32" x14ac:dyDescent="0.2">
      <c r="B5" s="258"/>
      <c r="C5" s="259">
        <v>2016</v>
      </c>
      <c r="D5" s="260">
        <v>2017</v>
      </c>
      <c r="E5" s="260">
        <v>2018</v>
      </c>
      <c r="F5" s="260">
        <v>2019</v>
      </c>
      <c r="G5" s="261">
        <v>2016</v>
      </c>
      <c r="H5" s="260">
        <v>2017</v>
      </c>
      <c r="I5" s="260">
        <v>2018</v>
      </c>
      <c r="J5" s="260">
        <v>2019</v>
      </c>
      <c r="K5" s="261">
        <v>2016</v>
      </c>
      <c r="L5" s="260">
        <v>2017</v>
      </c>
      <c r="M5" s="260">
        <v>2018</v>
      </c>
      <c r="N5" s="260">
        <v>2019</v>
      </c>
      <c r="O5" s="261">
        <v>2016</v>
      </c>
      <c r="P5" s="260">
        <v>2017</v>
      </c>
      <c r="Q5" s="260">
        <v>2018</v>
      </c>
      <c r="R5" s="260">
        <v>2019</v>
      </c>
      <c r="S5" s="261">
        <v>2016</v>
      </c>
      <c r="T5" s="260">
        <v>2017</v>
      </c>
      <c r="U5" s="260">
        <v>2018</v>
      </c>
      <c r="V5" s="260">
        <v>2019</v>
      </c>
      <c r="W5" s="261">
        <v>2016</v>
      </c>
      <c r="X5" s="260">
        <v>2017</v>
      </c>
      <c r="Y5" s="260">
        <v>2018</v>
      </c>
      <c r="Z5" s="262">
        <v>2019</v>
      </c>
    </row>
    <row r="6" spans="2:32" x14ac:dyDescent="0.2">
      <c r="B6" s="263"/>
      <c r="C6" s="264" t="s">
        <v>356</v>
      </c>
      <c r="D6" s="265"/>
      <c r="E6" s="265"/>
      <c r="F6" s="265"/>
      <c r="G6" s="814" t="s">
        <v>357</v>
      </c>
      <c r="H6" s="815"/>
      <c r="I6" s="815"/>
      <c r="J6" s="816"/>
      <c r="K6" s="814" t="s">
        <v>358</v>
      </c>
      <c r="L6" s="815"/>
      <c r="M6" s="815"/>
      <c r="N6" s="816"/>
      <c r="O6" s="814" t="s">
        <v>650</v>
      </c>
      <c r="P6" s="815"/>
      <c r="Q6" s="815"/>
      <c r="R6" s="816"/>
      <c r="S6" s="814" t="s">
        <v>359</v>
      </c>
      <c r="T6" s="815"/>
      <c r="U6" s="815"/>
      <c r="V6" s="816"/>
      <c r="W6" s="814" t="s">
        <v>234</v>
      </c>
      <c r="X6" s="815"/>
      <c r="Y6" s="815"/>
      <c r="Z6" s="816"/>
    </row>
    <row r="7" spans="2:32" x14ac:dyDescent="0.2">
      <c r="B7" s="266" t="s">
        <v>232</v>
      </c>
      <c r="C7" s="267">
        <v>4452.0243694595874</v>
      </c>
      <c r="D7" s="268">
        <v>43983.167473799258</v>
      </c>
      <c r="E7" s="268">
        <v>20754.29383885584</v>
      </c>
      <c r="F7" s="268">
        <v>28784.265329093058</v>
      </c>
      <c r="G7" s="267">
        <v>19139.529357294046</v>
      </c>
      <c r="H7" s="268">
        <v>41439.775221004165</v>
      </c>
      <c r="I7" s="268">
        <v>65280.774308678636</v>
      </c>
      <c r="J7" s="268">
        <v>72668.216537338521</v>
      </c>
      <c r="K7" s="267">
        <v>0</v>
      </c>
      <c r="L7" s="268">
        <v>0</v>
      </c>
      <c r="M7" s="268">
        <v>0</v>
      </c>
      <c r="N7" s="268">
        <v>0</v>
      </c>
      <c r="O7" s="269">
        <v>0</v>
      </c>
      <c r="P7" s="270">
        <v>-27332</v>
      </c>
      <c r="Q7" s="270">
        <v>0</v>
      </c>
      <c r="R7" s="270">
        <v>0</v>
      </c>
      <c r="S7" s="270">
        <v>4980.2687632456218</v>
      </c>
      <c r="T7" s="270">
        <v>5004.0573051963656</v>
      </c>
      <c r="U7" s="270">
        <v>4758.9318524655464</v>
      </c>
      <c r="V7" s="270">
        <v>4339.518133568592</v>
      </c>
      <c r="W7" s="269">
        <v>28571.822489999257</v>
      </c>
      <c r="X7" s="270">
        <v>63094.999999999789</v>
      </c>
      <c r="Y7" s="270">
        <v>90794.000000000029</v>
      </c>
      <c r="Z7" s="271">
        <v>105792.00000000017</v>
      </c>
    </row>
    <row r="8" spans="2:32" x14ac:dyDescent="0.2">
      <c r="B8" s="266" t="s">
        <v>231</v>
      </c>
      <c r="C8" s="267">
        <v>-354960.77530065097</v>
      </c>
      <c r="D8" s="268">
        <v>-245679.23991731062</v>
      </c>
      <c r="E8" s="268">
        <v>-555957.19012619264</v>
      </c>
      <c r="F8" s="268">
        <v>-625892.64592951781</v>
      </c>
      <c r="G8" s="267">
        <v>3136.7753006508397</v>
      </c>
      <c r="H8" s="272">
        <v>-3303.7600826892458</v>
      </c>
      <c r="I8" s="268">
        <v>4940.1901261926105</v>
      </c>
      <c r="J8" s="268">
        <v>2185.6459295178092</v>
      </c>
      <c r="K8" s="267">
        <v>0</v>
      </c>
      <c r="L8" s="268">
        <v>0</v>
      </c>
      <c r="M8" s="268">
        <v>0</v>
      </c>
      <c r="N8" s="268">
        <v>0</v>
      </c>
      <c r="O8" s="269">
        <v>0</v>
      </c>
      <c r="P8" s="270">
        <v>-172331</v>
      </c>
      <c r="Q8" s="270">
        <v>0</v>
      </c>
      <c r="R8" s="270">
        <v>0</v>
      </c>
      <c r="S8" s="270">
        <v>0</v>
      </c>
      <c r="T8" s="270">
        <v>0</v>
      </c>
      <c r="U8" s="270">
        <v>0</v>
      </c>
      <c r="V8" s="270">
        <v>0</v>
      </c>
      <c r="W8" s="269">
        <v>-351824.00000000012</v>
      </c>
      <c r="X8" s="270">
        <v>-421313.99999999988</v>
      </c>
      <c r="Y8" s="270">
        <v>-551017</v>
      </c>
      <c r="Z8" s="271">
        <v>-623707</v>
      </c>
      <c r="AA8" s="273"/>
    </row>
    <row r="9" spans="2:32" x14ac:dyDescent="0.2">
      <c r="B9" s="266" t="s">
        <v>230</v>
      </c>
      <c r="C9" s="267">
        <v>1748.8170410850471</v>
      </c>
      <c r="D9" s="268">
        <v>5129.4999439502535</v>
      </c>
      <c r="E9" s="268">
        <v>5015.2016408759137</v>
      </c>
      <c r="F9" s="268">
        <v>6769.7801206357362</v>
      </c>
      <c r="G9" s="267">
        <v>-2601.8946010850445</v>
      </c>
      <c r="H9" s="268">
        <v>-19857.499943950243</v>
      </c>
      <c r="I9" s="268">
        <v>-23821.201640875905</v>
      </c>
      <c r="J9" s="268">
        <v>-33878.78012063574</v>
      </c>
      <c r="K9" s="267">
        <v>5453</v>
      </c>
      <c r="L9" s="268">
        <v>-3732</v>
      </c>
      <c r="M9" s="268">
        <v>0</v>
      </c>
      <c r="N9" s="268">
        <v>0</v>
      </c>
      <c r="O9" s="269">
        <v>0</v>
      </c>
      <c r="P9" s="270">
        <v>0</v>
      </c>
      <c r="Q9" s="270">
        <v>0</v>
      </c>
      <c r="R9" s="270">
        <v>0</v>
      </c>
      <c r="S9" s="270">
        <v>0</v>
      </c>
      <c r="T9" s="270">
        <v>0</v>
      </c>
      <c r="U9" s="270">
        <v>0</v>
      </c>
      <c r="V9" s="270">
        <v>0</v>
      </c>
      <c r="W9" s="269">
        <v>4599.9224400000021</v>
      </c>
      <c r="X9" s="270">
        <v>-18459.999999999989</v>
      </c>
      <c r="Y9" s="270">
        <v>-18805.999999999993</v>
      </c>
      <c r="Z9" s="271">
        <v>-27109.000000000004</v>
      </c>
    </row>
    <row r="10" spans="2:32" x14ac:dyDescent="0.2">
      <c r="B10" s="266" t="s">
        <v>229</v>
      </c>
      <c r="C10" s="267">
        <v>89857.185989060119</v>
      </c>
      <c r="D10" s="268">
        <v>111703.00503958554</v>
      </c>
      <c r="E10" s="268">
        <v>129716.19325478032</v>
      </c>
      <c r="F10" s="268">
        <v>135718.93162849642</v>
      </c>
      <c r="G10" s="267">
        <v>-72317.269279056927</v>
      </c>
      <c r="H10" s="268">
        <v>64.990439330174667</v>
      </c>
      <c r="I10" s="268">
        <v>26689.866614134491</v>
      </c>
      <c r="J10" s="268">
        <v>31553.128240418609</v>
      </c>
      <c r="K10" s="267">
        <v>-112559.82682000173</v>
      </c>
      <c r="L10" s="268">
        <v>98.004521085153101</v>
      </c>
      <c r="M10" s="268">
        <v>-30587.05986891377</v>
      </c>
      <c r="N10" s="268">
        <v>-30587.05986891377</v>
      </c>
      <c r="O10" s="269">
        <v>0</v>
      </c>
      <c r="P10" s="270">
        <v>8441</v>
      </c>
      <c r="Q10" s="270">
        <v>0</v>
      </c>
      <c r="R10" s="270">
        <v>0</v>
      </c>
      <c r="S10" s="270">
        <v>0</v>
      </c>
      <c r="T10" s="270">
        <v>0</v>
      </c>
      <c r="U10" s="270">
        <v>0</v>
      </c>
      <c r="V10" s="270">
        <v>0</v>
      </c>
      <c r="W10" s="269">
        <v>-95019.910109998542</v>
      </c>
      <c r="X10" s="270">
        <v>120307.00000000086</v>
      </c>
      <c r="Y10" s="270">
        <v>125819.00000000103</v>
      </c>
      <c r="Z10" s="271">
        <v>136685.00000000125</v>
      </c>
    </row>
    <row r="11" spans="2:32" x14ac:dyDescent="0.2">
      <c r="B11" s="266" t="s">
        <v>228</v>
      </c>
      <c r="C11" s="267">
        <v>11117.56030759991</v>
      </c>
      <c r="D11" s="268">
        <v>-8144.4885463658966</v>
      </c>
      <c r="E11" s="268">
        <v>15799.481830370833</v>
      </c>
      <c r="F11" s="268">
        <v>17877.084233876474</v>
      </c>
      <c r="G11" s="267">
        <v>-6090.4547475997142</v>
      </c>
      <c r="H11" s="268">
        <v>-214.51145363425593</v>
      </c>
      <c r="I11" s="268">
        <v>5154.5181696293321</v>
      </c>
      <c r="J11" s="268">
        <v>4270.9157661237477</v>
      </c>
      <c r="K11" s="267">
        <v>0</v>
      </c>
      <c r="L11" s="268">
        <v>-3638</v>
      </c>
      <c r="M11" s="268">
        <v>0</v>
      </c>
      <c r="N11" s="268">
        <v>0</v>
      </c>
      <c r="O11" s="269">
        <v>0</v>
      </c>
      <c r="P11" s="270">
        <v>23825</v>
      </c>
      <c r="Q11" s="270">
        <v>0</v>
      </c>
      <c r="R11" s="270">
        <v>0</v>
      </c>
      <c r="S11" s="270">
        <v>0</v>
      </c>
      <c r="T11" s="270">
        <v>0</v>
      </c>
      <c r="U11" s="270">
        <v>0</v>
      </c>
      <c r="V11" s="270">
        <v>0</v>
      </c>
      <c r="W11" s="269">
        <v>5027.1055600001955</v>
      </c>
      <c r="X11" s="270">
        <v>11827.999999999847</v>
      </c>
      <c r="Y11" s="270">
        <v>20954.000000000164</v>
      </c>
      <c r="Z11" s="271">
        <v>22148.000000000222</v>
      </c>
    </row>
    <row r="12" spans="2:32" x14ac:dyDescent="0.2">
      <c r="B12" s="274" t="s">
        <v>227</v>
      </c>
      <c r="C12" s="267">
        <v>1933.1713857889092</v>
      </c>
      <c r="D12" s="268">
        <v>23245.171824562618</v>
      </c>
      <c r="E12" s="268">
        <v>23343.942627724526</v>
      </c>
      <c r="F12" s="268">
        <v>25197.228900799528</v>
      </c>
      <c r="G12" s="267">
        <v>5320.3976242113222</v>
      </c>
      <c r="H12" s="268">
        <v>3120.8281754372392</v>
      </c>
      <c r="I12" s="268">
        <v>6811.0573722755289</v>
      </c>
      <c r="J12" s="268">
        <v>6893.7710992005495</v>
      </c>
      <c r="K12" s="267">
        <v>0</v>
      </c>
      <c r="L12" s="268">
        <v>0</v>
      </c>
      <c r="M12" s="268">
        <v>0</v>
      </c>
      <c r="N12" s="268">
        <v>0</v>
      </c>
      <c r="O12" s="269">
        <v>0</v>
      </c>
      <c r="P12" s="270">
        <v>0</v>
      </c>
      <c r="Q12" s="270">
        <v>0</v>
      </c>
      <c r="R12" s="270">
        <v>0</v>
      </c>
      <c r="S12" s="270">
        <v>0</v>
      </c>
      <c r="T12" s="270">
        <v>0</v>
      </c>
      <c r="U12" s="270">
        <v>0</v>
      </c>
      <c r="V12" s="270">
        <v>0</v>
      </c>
      <c r="W12" s="269">
        <v>7253.5690100002312</v>
      </c>
      <c r="X12" s="270">
        <v>26365.999999999858</v>
      </c>
      <c r="Y12" s="270">
        <v>30155.000000000055</v>
      </c>
      <c r="Z12" s="271">
        <v>32091.000000000076</v>
      </c>
    </row>
    <row r="13" spans="2:32" x14ac:dyDescent="0.2">
      <c r="B13" s="274" t="s">
        <v>226</v>
      </c>
      <c r="C13" s="267">
        <v>4429.5043864278523</v>
      </c>
      <c r="D13" s="268">
        <v>-35021.884766407195</v>
      </c>
      <c r="E13" s="268">
        <v>-11259.694840037006</v>
      </c>
      <c r="F13" s="268">
        <v>-11119.037285646124</v>
      </c>
      <c r="G13" s="267">
        <v>-7874.8049864279301</v>
      </c>
      <c r="H13" s="268">
        <v>-2340.1152335928255</v>
      </c>
      <c r="I13" s="268">
        <v>-1159.3051599628636</v>
      </c>
      <c r="J13" s="268">
        <v>-1849.962714353725</v>
      </c>
      <c r="K13" s="267">
        <v>0</v>
      </c>
      <c r="L13" s="268">
        <v>-3326</v>
      </c>
      <c r="M13" s="268">
        <v>0</v>
      </c>
      <c r="N13" s="268">
        <v>0</v>
      </c>
      <c r="O13" s="269">
        <v>0</v>
      </c>
      <c r="P13" s="270">
        <v>23825</v>
      </c>
      <c r="Q13" s="270">
        <v>0</v>
      </c>
      <c r="R13" s="270">
        <v>0</v>
      </c>
      <c r="S13" s="270">
        <v>0</v>
      </c>
      <c r="T13" s="270">
        <v>0</v>
      </c>
      <c r="U13" s="270">
        <v>0</v>
      </c>
      <c r="V13" s="270">
        <v>0</v>
      </c>
      <c r="W13" s="269">
        <v>-3445.3006000000778</v>
      </c>
      <c r="X13" s="270">
        <v>-16863.000000000022</v>
      </c>
      <c r="Y13" s="270">
        <v>-12418.999999999869</v>
      </c>
      <c r="Z13" s="271">
        <v>-12968.999999999849</v>
      </c>
    </row>
    <row r="14" spans="2:32" x14ac:dyDescent="0.2">
      <c r="B14" s="266" t="s">
        <v>225</v>
      </c>
      <c r="C14" s="267">
        <v>-5247.8342927293161</v>
      </c>
      <c r="D14" s="268">
        <v>-182004.96451136886</v>
      </c>
      <c r="E14" s="268">
        <v>-429.02833217304578</v>
      </c>
      <c r="F14" s="268">
        <v>13475.323332357471</v>
      </c>
      <c r="G14" s="267">
        <v>3142.9578927292891</v>
      </c>
      <c r="H14" s="268">
        <v>4383.964511368843</v>
      </c>
      <c r="I14" s="268">
        <v>8460.0283321730312</v>
      </c>
      <c r="J14" s="268">
        <v>8676.6766676425505</v>
      </c>
      <c r="K14" s="267">
        <v>719.19</v>
      </c>
      <c r="L14" s="268">
        <v>0</v>
      </c>
      <c r="M14" s="268">
        <v>0</v>
      </c>
      <c r="N14" s="268">
        <v>0</v>
      </c>
      <c r="O14" s="269">
        <v>0</v>
      </c>
      <c r="P14" s="270">
        <v>177042</v>
      </c>
      <c r="Q14" s="270">
        <v>0</v>
      </c>
      <c r="R14" s="270">
        <v>0</v>
      </c>
      <c r="S14" s="270">
        <v>0</v>
      </c>
      <c r="T14" s="270">
        <v>-58</v>
      </c>
      <c r="U14" s="270">
        <v>-2254</v>
      </c>
      <c r="V14" s="270">
        <v>-5993</v>
      </c>
      <c r="W14" s="269">
        <v>-1385.6864000000269</v>
      </c>
      <c r="X14" s="270">
        <v>-637.0000000000291</v>
      </c>
      <c r="Y14" s="270">
        <v>5776.9999999999854</v>
      </c>
      <c r="Z14" s="271">
        <v>16159.000000000022</v>
      </c>
    </row>
    <row r="15" spans="2:32" x14ac:dyDescent="0.2">
      <c r="B15" s="275" t="s">
        <v>224</v>
      </c>
      <c r="C15" s="276">
        <f t="shared" ref="C15:Z15" si="0">C7+C8+C9+C10+C11+C14</f>
        <v>-253033.02188617561</v>
      </c>
      <c r="D15" s="277">
        <f t="shared" si="0"/>
        <v>-275013.02051771036</v>
      </c>
      <c r="E15" s="277">
        <f t="shared" si="0"/>
        <v>-385101.04789348284</v>
      </c>
      <c r="F15" s="277">
        <f t="shared" si="0"/>
        <v>-423267.26128505863</v>
      </c>
      <c r="G15" s="278">
        <f t="shared" si="0"/>
        <v>-55590.356077067518</v>
      </c>
      <c r="H15" s="277">
        <f t="shared" si="0"/>
        <v>22512.958691429438</v>
      </c>
      <c r="I15" s="277">
        <f t="shared" si="0"/>
        <v>86704.175909932179</v>
      </c>
      <c r="J15" s="277">
        <f t="shared" si="0"/>
        <v>85475.803020405496</v>
      </c>
      <c r="K15" s="278">
        <f t="shared" si="0"/>
        <v>-106387.63682000173</v>
      </c>
      <c r="L15" s="277">
        <f t="shared" si="0"/>
        <v>-7271.9954789148469</v>
      </c>
      <c r="M15" s="277">
        <f t="shared" si="0"/>
        <v>-30587.05986891377</v>
      </c>
      <c r="N15" s="277">
        <f t="shared" si="0"/>
        <v>-30587.05986891377</v>
      </c>
      <c r="O15" s="278">
        <f t="shared" si="0"/>
        <v>0</v>
      </c>
      <c r="P15" s="277">
        <f t="shared" si="0"/>
        <v>9645</v>
      </c>
      <c r="Q15" s="277">
        <f t="shared" si="0"/>
        <v>0</v>
      </c>
      <c r="R15" s="277">
        <f t="shared" si="0"/>
        <v>0</v>
      </c>
      <c r="S15" s="277">
        <f t="shared" si="0"/>
        <v>4980.2687632456218</v>
      </c>
      <c r="T15" s="277">
        <f t="shared" si="0"/>
        <v>4946.0573051963656</v>
      </c>
      <c r="U15" s="277">
        <f t="shared" si="0"/>
        <v>2504.9318524655464</v>
      </c>
      <c r="V15" s="277">
        <f t="shared" si="0"/>
        <v>-1653.481866431408</v>
      </c>
      <c r="W15" s="278">
        <f t="shared" si="0"/>
        <v>-410030.74601999926</v>
      </c>
      <c r="X15" s="277">
        <f t="shared" si="0"/>
        <v>-245180.99999999942</v>
      </c>
      <c r="Y15" s="277">
        <f t="shared" si="0"/>
        <v>-326478.99999999878</v>
      </c>
      <c r="Z15" s="279">
        <f t="shared" si="0"/>
        <v>-370031.99999999837</v>
      </c>
    </row>
    <row r="16" spans="2:32" x14ac:dyDescent="0.2">
      <c r="B16" s="266" t="s">
        <v>223</v>
      </c>
      <c r="C16" s="267">
        <v>-6953.2069711689264</v>
      </c>
      <c r="D16" s="268">
        <v>-4247.9435284215042</v>
      </c>
      <c r="E16" s="268">
        <v>45026.932594357022</v>
      </c>
      <c r="F16" s="268">
        <v>50592.662410403384</v>
      </c>
      <c r="G16" s="267">
        <v>48008.329757895437</v>
      </c>
      <c r="H16" s="268">
        <v>104885.60768842671</v>
      </c>
      <c r="I16" s="268">
        <v>162728.70458055133</v>
      </c>
      <c r="J16" s="268">
        <v>182588.99387105257</v>
      </c>
      <c r="K16" s="267">
        <v>0</v>
      </c>
      <c r="L16" s="268">
        <v>0</v>
      </c>
      <c r="M16" s="268">
        <v>0</v>
      </c>
      <c r="N16" s="268">
        <v>0</v>
      </c>
      <c r="O16" s="267">
        <v>0</v>
      </c>
      <c r="P16" s="270">
        <v>45167</v>
      </c>
      <c r="Q16" s="270">
        <v>0</v>
      </c>
      <c r="R16" s="270">
        <v>0</v>
      </c>
      <c r="S16" s="270">
        <v>-18232.515740144881</v>
      </c>
      <c r="T16" s="270">
        <v>-18830.664160006228</v>
      </c>
      <c r="U16" s="270">
        <v>-19691.637174908741</v>
      </c>
      <c r="V16" s="270">
        <v>-20830.656281455624</v>
      </c>
      <c r="W16" s="267">
        <v>22822.60704658163</v>
      </c>
      <c r="X16" s="270">
        <v>126973.99999999897</v>
      </c>
      <c r="Y16" s="270">
        <v>188063.99999999962</v>
      </c>
      <c r="Z16" s="271">
        <v>212351.00000000032</v>
      </c>
    </row>
    <row r="17" spans="2:28" x14ac:dyDescent="0.2">
      <c r="B17" s="266" t="s">
        <v>222</v>
      </c>
      <c r="C17" s="267">
        <v>26478.639865057645</v>
      </c>
      <c r="D17" s="268">
        <v>-19585.848916500385</v>
      </c>
      <c r="E17" s="268">
        <v>96827.844829308509</v>
      </c>
      <c r="F17" s="268">
        <v>111519.84375047842</v>
      </c>
      <c r="G17" s="267">
        <v>21591.247889987331</v>
      </c>
      <c r="H17" s="268">
        <v>48541.03612874684</v>
      </c>
      <c r="I17" s="268">
        <v>76142.342319894145</v>
      </c>
      <c r="J17" s="268">
        <v>86497.682180431177</v>
      </c>
      <c r="K17" s="267">
        <v>0</v>
      </c>
      <c r="L17" s="268">
        <v>0</v>
      </c>
      <c r="M17" s="268">
        <v>0</v>
      </c>
      <c r="N17" s="268">
        <v>0</v>
      </c>
      <c r="O17" s="267">
        <v>0</v>
      </c>
      <c r="P17" s="270">
        <v>111800</v>
      </c>
      <c r="Q17" s="270">
        <v>0</v>
      </c>
      <c r="R17" s="270">
        <v>0</v>
      </c>
      <c r="S17" s="270">
        <v>-13510.393635043678</v>
      </c>
      <c r="T17" s="270">
        <v>-14192.187212246579</v>
      </c>
      <c r="U17" s="270">
        <v>-14952.187149202975</v>
      </c>
      <c r="V17" s="270">
        <v>-15810.525930909185</v>
      </c>
      <c r="W17" s="267">
        <v>34559.494120001298</v>
      </c>
      <c r="X17" s="270">
        <v>126562.99999999988</v>
      </c>
      <c r="Y17" s="270">
        <v>158017.99999999968</v>
      </c>
      <c r="Z17" s="271">
        <v>182207.00000000044</v>
      </c>
      <c r="AB17" s="250"/>
    </row>
    <row r="18" spans="2:28" x14ac:dyDescent="0.2">
      <c r="B18" s="275" t="s">
        <v>221</v>
      </c>
      <c r="C18" s="276">
        <f t="shared" ref="C18:Z18" si="1">C16+C17</f>
        <v>19525.432893888719</v>
      </c>
      <c r="D18" s="277">
        <f t="shared" si="1"/>
        <v>-23833.792444921888</v>
      </c>
      <c r="E18" s="277">
        <f t="shared" si="1"/>
        <v>141854.77742366554</v>
      </c>
      <c r="F18" s="277">
        <f t="shared" si="1"/>
        <v>162112.50616088181</v>
      </c>
      <c r="G18" s="278">
        <f t="shared" si="1"/>
        <v>69599.577647882776</v>
      </c>
      <c r="H18" s="277">
        <f t="shared" si="1"/>
        <v>153426.64381717355</v>
      </c>
      <c r="I18" s="277">
        <f t="shared" si="1"/>
        <v>238871.04690044548</v>
      </c>
      <c r="J18" s="277">
        <f t="shared" si="1"/>
        <v>269086.67605148372</v>
      </c>
      <c r="K18" s="278">
        <f t="shared" si="1"/>
        <v>0</v>
      </c>
      <c r="L18" s="277">
        <f t="shared" si="1"/>
        <v>0</v>
      </c>
      <c r="M18" s="277">
        <f t="shared" si="1"/>
        <v>0</v>
      </c>
      <c r="N18" s="277">
        <f t="shared" si="1"/>
        <v>0</v>
      </c>
      <c r="O18" s="278">
        <f t="shared" si="1"/>
        <v>0</v>
      </c>
      <c r="P18" s="277">
        <f t="shared" si="1"/>
        <v>156967</v>
      </c>
      <c r="Q18" s="277">
        <f t="shared" si="1"/>
        <v>0</v>
      </c>
      <c r="R18" s="277">
        <f t="shared" si="1"/>
        <v>0</v>
      </c>
      <c r="S18" s="277">
        <f t="shared" si="1"/>
        <v>-31742.909375188559</v>
      </c>
      <c r="T18" s="277">
        <f t="shared" si="1"/>
        <v>-33022.851372252808</v>
      </c>
      <c r="U18" s="277">
        <f t="shared" si="1"/>
        <v>-34643.824324111716</v>
      </c>
      <c r="V18" s="277">
        <f t="shared" si="1"/>
        <v>-36641.182212364809</v>
      </c>
      <c r="W18" s="278">
        <f t="shared" si="1"/>
        <v>57382.101166582928</v>
      </c>
      <c r="X18" s="277">
        <f t="shared" si="1"/>
        <v>253536.99999999884</v>
      </c>
      <c r="Y18" s="277">
        <f t="shared" si="1"/>
        <v>346081.9999999993</v>
      </c>
      <c r="Z18" s="279">
        <f t="shared" si="1"/>
        <v>394558.00000000076</v>
      </c>
      <c r="AB18" s="251"/>
    </row>
    <row r="19" spans="2:28" x14ac:dyDescent="0.2">
      <c r="B19" s="280" t="s">
        <v>220</v>
      </c>
      <c r="C19" s="276">
        <f t="shared" ref="C19:Z19" si="2">+C18+C15</f>
        <v>-233507.58899228688</v>
      </c>
      <c r="D19" s="277">
        <f t="shared" si="2"/>
        <v>-298846.81296263228</v>
      </c>
      <c r="E19" s="277">
        <f t="shared" si="2"/>
        <v>-243246.2704698173</v>
      </c>
      <c r="F19" s="277">
        <f t="shared" si="2"/>
        <v>-261154.75512417682</v>
      </c>
      <c r="G19" s="278">
        <f t="shared" si="2"/>
        <v>14009.221570815258</v>
      </c>
      <c r="H19" s="277">
        <f t="shared" si="2"/>
        <v>175939.60250860298</v>
      </c>
      <c r="I19" s="277">
        <f t="shared" si="2"/>
        <v>325575.22281037766</v>
      </c>
      <c r="J19" s="277">
        <f t="shared" si="2"/>
        <v>354562.47907188919</v>
      </c>
      <c r="K19" s="278">
        <f t="shared" si="2"/>
        <v>-106387.63682000173</v>
      </c>
      <c r="L19" s="277">
        <f t="shared" si="2"/>
        <v>-7271.9954789148469</v>
      </c>
      <c r="M19" s="277">
        <f t="shared" si="2"/>
        <v>-30587.05986891377</v>
      </c>
      <c r="N19" s="277">
        <f t="shared" si="2"/>
        <v>-30587.05986891377</v>
      </c>
      <c r="O19" s="278">
        <f t="shared" si="2"/>
        <v>0</v>
      </c>
      <c r="P19" s="277">
        <f t="shared" si="2"/>
        <v>166612</v>
      </c>
      <c r="Q19" s="277">
        <f t="shared" si="2"/>
        <v>0</v>
      </c>
      <c r="R19" s="277">
        <f t="shared" si="2"/>
        <v>0</v>
      </c>
      <c r="S19" s="277">
        <f t="shared" si="2"/>
        <v>-26762.640611942938</v>
      </c>
      <c r="T19" s="277">
        <f t="shared" si="2"/>
        <v>-28076.794067056442</v>
      </c>
      <c r="U19" s="277">
        <f t="shared" si="2"/>
        <v>-32138.89247164617</v>
      </c>
      <c r="V19" s="277">
        <f t="shared" si="2"/>
        <v>-38294.664078796217</v>
      </c>
      <c r="W19" s="278">
        <f t="shared" si="2"/>
        <v>-352648.64485341636</v>
      </c>
      <c r="X19" s="277">
        <f t="shared" si="2"/>
        <v>8355.9999999994179</v>
      </c>
      <c r="Y19" s="277">
        <f t="shared" si="2"/>
        <v>19603.000000000524</v>
      </c>
      <c r="Z19" s="279">
        <f t="shared" si="2"/>
        <v>24526.000000002387</v>
      </c>
      <c r="AB19" s="281"/>
    </row>
    <row r="20" spans="2:28" x14ac:dyDescent="0.2">
      <c r="B20" s="28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4"/>
      <c r="AB20" s="250"/>
    </row>
    <row r="21" spans="2:28" x14ac:dyDescent="0.2">
      <c r="B21" s="280" t="s">
        <v>233</v>
      </c>
      <c r="C21" s="285">
        <f t="shared" ref="C21:Z21" si="3">+C19/1000</f>
        <v>-233.50758899228688</v>
      </c>
      <c r="D21" s="286">
        <f t="shared" si="3"/>
        <v>-298.84681296263227</v>
      </c>
      <c r="E21" s="286">
        <f t="shared" si="3"/>
        <v>-243.24627046981729</v>
      </c>
      <c r="F21" s="286">
        <f t="shared" si="3"/>
        <v>-261.1547551241768</v>
      </c>
      <c r="G21" s="287">
        <f t="shared" si="3"/>
        <v>14.009221570815258</v>
      </c>
      <c r="H21" s="286">
        <f t="shared" si="3"/>
        <v>175.93960250860297</v>
      </c>
      <c r="I21" s="286">
        <f t="shared" si="3"/>
        <v>325.57522281037768</v>
      </c>
      <c r="J21" s="286">
        <f t="shared" si="3"/>
        <v>354.56247907188919</v>
      </c>
      <c r="K21" s="287">
        <f t="shared" si="3"/>
        <v>-106.38763682000173</v>
      </c>
      <c r="L21" s="286">
        <f t="shared" si="3"/>
        <v>-7.2719954789148469</v>
      </c>
      <c r="M21" s="286">
        <f t="shared" si="3"/>
        <v>-30.587059868913769</v>
      </c>
      <c r="N21" s="286">
        <f t="shared" si="3"/>
        <v>-30.587059868913769</v>
      </c>
      <c r="O21" s="287">
        <f t="shared" si="3"/>
        <v>0</v>
      </c>
      <c r="P21" s="286">
        <f t="shared" si="3"/>
        <v>166.61199999999999</v>
      </c>
      <c r="Q21" s="286">
        <f t="shared" si="3"/>
        <v>0</v>
      </c>
      <c r="R21" s="286">
        <f t="shared" si="3"/>
        <v>0</v>
      </c>
      <c r="S21" s="278">
        <f t="shared" si="3"/>
        <v>-26.762640611942938</v>
      </c>
      <c r="T21" s="277">
        <f t="shared" si="3"/>
        <v>-28.076794067056444</v>
      </c>
      <c r="U21" s="277">
        <f t="shared" si="3"/>
        <v>-32.138892471646173</v>
      </c>
      <c r="V21" s="277">
        <f t="shared" si="3"/>
        <v>-38.294664078796217</v>
      </c>
      <c r="W21" s="287">
        <f t="shared" si="3"/>
        <v>-352.64864485341639</v>
      </c>
      <c r="X21" s="286">
        <f t="shared" si="3"/>
        <v>8.3559999999994172</v>
      </c>
      <c r="Y21" s="286">
        <f t="shared" si="3"/>
        <v>19.603000000000524</v>
      </c>
      <c r="Z21" s="288">
        <f t="shared" si="3"/>
        <v>24.526000000002387</v>
      </c>
      <c r="AB21" s="250"/>
    </row>
    <row r="22" spans="2:28" x14ac:dyDescent="0.2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28" x14ac:dyDescent="0.2">
      <c r="B23" s="204" t="s">
        <v>653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2:28" x14ac:dyDescent="0.2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2:28" x14ac:dyDescent="0.2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2:28" x14ac:dyDescent="0.2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2:28" x14ac:dyDescent="0.2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2:28" x14ac:dyDescent="0.2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2:28" x14ac:dyDescent="0.2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2:28" x14ac:dyDescent="0.2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2:28" x14ac:dyDescent="0.2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2:28" x14ac:dyDescent="0.2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2:15" x14ac:dyDescent="0.2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2:15" x14ac:dyDescent="0.2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2:15" x14ac:dyDescent="0.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2:15" x14ac:dyDescent="0.2"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2:15" x14ac:dyDescent="0.2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2:15" x14ac:dyDescent="0.2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2:15" x14ac:dyDescent="0.2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2:15" x14ac:dyDescent="0.2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2:15" x14ac:dyDescent="0.2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2:15" x14ac:dyDescent="0.2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2:15" x14ac:dyDescent="0.2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  <row r="44" spans="2:15" x14ac:dyDescent="0.2">
      <c r="B44" s="50"/>
      <c r="C44" s="50"/>
      <c r="D44" s="50"/>
      <c r="E44" s="50"/>
      <c r="F44" s="50"/>
      <c r="G44" s="35"/>
      <c r="H44" s="35"/>
      <c r="I44" s="35"/>
      <c r="J44" s="35"/>
      <c r="K44" s="35"/>
      <c r="L44" s="35"/>
      <c r="M44" s="35"/>
      <c r="N44" s="35"/>
      <c r="O44" s="35"/>
    </row>
    <row r="45" spans="2:15" x14ac:dyDescent="0.2">
      <c r="B45" s="252" t="s">
        <v>651</v>
      </c>
      <c r="C45" s="253">
        <v>28.571822489999263</v>
      </c>
      <c r="D45" s="253">
        <v>63.094999999999793</v>
      </c>
      <c r="E45" s="253">
        <v>90.794000000000011</v>
      </c>
      <c r="F45" s="253">
        <v>105.79200000000017</v>
      </c>
      <c r="G45" s="35"/>
      <c r="H45" s="35"/>
      <c r="I45" s="35"/>
      <c r="J45" s="35"/>
      <c r="K45" s="35"/>
      <c r="L45" s="35"/>
      <c r="M45" s="35"/>
      <c r="N45" s="35"/>
      <c r="O45" s="35"/>
    </row>
    <row r="46" spans="2:15" x14ac:dyDescent="0.2">
      <c r="B46" s="252" t="s">
        <v>645</v>
      </c>
      <c r="C46" s="253">
        <v>-351.82400000000007</v>
      </c>
      <c r="D46" s="253">
        <v>-421.31400000000036</v>
      </c>
      <c r="E46" s="253">
        <v>-551.01699999999994</v>
      </c>
      <c r="F46" s="253">
        <v>-623.70699999999965</v>
      </c>
    </row>
    <row r="47" spans="2:15" x14ac:dyDescent="0.2">
      <c r="B47" s="252" t="s">
        <v>646</v>
      </c>
      <c r="C47" s="253">
        <v>-95.019910109998222</v>
      </c>
      <c r="D47" s="253">
        <v>120.30699999999928</v>
      </c>
      <c r="E47" s="253">
        <v>125.81899999999969</v>
      </c>
      <c r="F47" s="253">
        <v>136.68500000000094</v>
      </c>
    </row>
    <row r="48" spans="2:15" x14ac:dyDescent="0.2">
      <c r="B48" s="252" t="s">
        <v>652</v>
      </c>
      <c r="C48" s="253">
        <v>22.822607046581631</v>
      </c>
      <c r="D48" s="253">
        <v>126.97399999999898</v>
      </c>
      <c r="E48" s="253">
        <v>188.06399999999962</v>
      </c>
      <c r="F48" s="253">
        <v>212.35100000000034</v>
      </c>
    </row>
    <row r="49" spans="2:8" x14ac:dyDescent="0.2">
      <c r="B49" s="252" t="s">
        <v>654</v>
      </c>
      <c r="C49" s="253">
        <v>34.559494120001297</v>
      </c>
      <c r="D49" s="253">
        <v>126.56299999999989</v>
      </c>
      <c r="E49" s="253">
        <v>158.01799999999969</v>
      </c>
      <c r="F49" s="253">
        <v>182.20700000000042</v>
      </c>
      <c r="G49" s="214"/>
      <c r="H49" s="254"/>
    </row>
    <row r="50" spans="2:8" x14ac:dyDescent="0.2">
      <c r="B50" s="289" t="s">
        <v>225</v>
      </c>
      <c r="C50" s="290">
        <v>8.2413416000002258</v>
      </c>
      <c r="D50" s="290">
        <v>-7.2690000000001476</v>
      </c>
      <c r="E50" s="290">
        <v>7.9250000000002068</v>
      </c>
      <c r="F50" s="290">
        <v>11.198000000000292</v>
      </c>
      <c r="G50" s="214"/>
      <c r="H50" s="254"/>
    </row>
    <row r="51" spans="2:8" x14ac:dyDescent="0.2">
      <c r="B51" s="292" t="s">
        <v>655</v>
      </c>
      <c r="C51" s="293">
        <f>SUM(C45:C50)</f>
        <v>-352.64864485341587</v>
      </c>
      <c r="D51" s="293">
        <f>SUM(D45:D50)</f>
        <v>8.3559999999974366</v>
      </c>
      <c r="E51" s="293">
        <f>SUM(E45:E50)</f>
        <v>19.602999999999238</v>
      </c>
      <c r="F51" s="293">
        <f>SUM(F45:F50)</f>
        <v>24.526000000002512</v>
      </c>
      <c r="G51" s="214"/>
      <c r="H51" s="254"/>
    </row>
    <row r="52" spans="2:8" x14ac:dyDescent="0.2">
      <c r="B52" s="289"/>
      <c r="C52" s="291"/>
      <c r="D52" s="291"/>
      <c r="E52" s="291"/>
      <c r="F52" s="291"/>
      <c r="G52" s="214"/>
    </row>
    <row r="53" spans="2:8" x14ac:dyDescent="0.2">
      <c r="B53" s="252" t="s">
        <v>648</v>
      </c>
      <c r="C53" s="253">
        <v>-410.03074601999884</v>
      </c>
      <c r="D53" s="253">
        <v>-245.18100000000143</v>
      </c>
      <c r="E53" s="253">
        <v>-326.4790000000001</v>
      </c>
      <c r="F53" s="253">
        <v>-370.03199999999822</v>
      </c>
      <c r="G53" s="214"/>
    </row>
    <row r="54" spans="2:8" x14ac:dyDescent="0.2">
      <c r="B54" s="289" t="s">
        <v>647</v>
      </c>
      <c r="C54" s="290">
        <v>57.382101166582927</v>
      </c>
      <c r="D54" s="290">
        <v>253.53699999999887</v>
      </c>
      <c r="E54" s="290">
        <v>346.08199999999931</v>
      </c>
      <c r="F54" s="290">
        <v>394.55800000000079</v>
      </c>
      <c r="G54" s="214"/>
    </row>
    <row r="55" spans="2:8" x14ac:dyDescent="0.2">
      <c r="B55" s="292" t="s">
        <v>655</v>
      </c>
      <c r="C55" s="293">
        <f>SUM(C53:C54)</f>
        <v>-352.64864485341593</v>
      </c>
      <c r="D55" s="293">
        <f t="shared" ref="D55:F55" si="4">SUM(D53:D54)</f>
        <v>8.3559999999974366</v>
      </c>
      <c r="E55" s="293">
        <f t="shared" si="4"/>
        <v>19.602999999999213</v>
      </c>
      <c r="F55" s="293">
        <f t="shared" si="4"/>
        <v>24.526000000002568</v>
      </c>
      <c r="G55" s="214"/>
    </row>
    <row r="56" spans="2:8" x14ac:dyDescent="0.2">
      <c r="G56" s="214"/>
    </row>
    <row r="57" spans="2:8" x14ac:dyDescent="0.2">
      <c r="G57" s="214"/>
    </row>
    <row r="58" spans="2:8" x14ac:dyDescent="0.2">
      <c r="G58" s="214"/>
    </row>
    <row r="59" spans="2:8" x14ac:dyDescent="0.2">
      <c r="G59" s="214"/>
    </row>
    <row r="60" spans="2:8" x14ac:dyDescent="0.2">
      <c r="G60" s="214"/>
    </row>
  </sheetData>
  <mergeCells count="5">
    <mergeCell ref="G6:J6"/>
    <mergeCell ref="K6:N6"/>
    <mergeCell ref="O6:R6"/>
    <mergeCell ref="S6:V6"/>
    <mergeCell ref="W6:Z6"/>
  </mergeCells>
  <pageMargins left="0.75" right="0.75" top="1" bottom="1" header="0.5" footer="0.5"/>
  <pageSetup paperSize="9" scale="17" orientation="portrait" r:id="rId1"/>
  <headerFooter alignWithMargins="0"/>
  <colBreaks count="1" manualBreakCount="1">
    <brk id="14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B2:L19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9.140625" style="35"/>
    <col min="2" max="2" width="50.140625" style="35" customWidth="1"/>
    <col min="3" max="3" width="6.5703125" style="35" bestFit="1" customWidth="1"/>
    <col min="4" max="4" width="11" style="35" bestFit="1" customWidth="1"/>
    <col min="5" max="5" width="15.28515625" style="35" bestFit="1" customWidth="1"/>
    <col min="6" max="6" width="5.7109375" style="35" bestFit="1" customWidth="1"/>
    <col min="7" max="7" width="10.7109375" style="35" bestFit="1" customWidth="1"/>
    <col min="8" max="8" width="9.5703125" style="35" customWidth="1"/>
    <col min="9" max="16384" width="9.140625" style="35"/>
  </cols>
  <sheetData>
    <row r="2" spans="2:8" x14ac:dyDescent="0.2">
      <c r="B2" s="242"/>
    </row>
    <row r="3" spans="2:8" x14ac:dyDescent="0.2">
      <c r="B3" s="242"/>
    </row>
    <row r="4" spans="2:8" ht="15.75" customHeight="1" x14ac:dyDescent="0.2">
      <c r="B4" s="819" t="s">
        <v>578</v>
      </c>
      <c r="C4" s="819"/>
      <c r="D4" s="819"/>
      <c r="E4" s="819"/>
      <c r="F4" s="819"/>
      <c r="G4" s="819"/>
      <c r="H4" s="819"/>
    </row>
    <row r="5" spans="2:8" ht="15.75" customHeight="1" x14ac:dyDescent="0.2">
      <c r="C5" s="817" t="s">
        <v>42</v>
      </c>
      <c r="D5" s="817" t="s">
        <v>606</v>
      </c>
      <c r="E5" s="817" t="s">
        <v>607</v>
      </c>
      <c r="F5" s="817" t="s">
        <v>608</v>
      </c>
      <c r="G5" s="817" t="s">
        <v>609</v>
      </c>
      <c r="H5" s="300" t="s">
        <v>610</v>
      </c>
    </row>
    <row r="6" spans="2:8" ht="15.75" customHeight="1" thickBot="1" x14ac:dyDescent="0.25">
      <c r="B6" s="117"/>
      <c r="C6" s="818"/>
      <c r="D6" s="818"/>
      <c r="E6" s="818"/>
      <c r="F6" s="818"/>
      <c r="G6" s="818"/>
      <c r="H6" s="3" t="s">
        <v>611</v>
      </c>
    </row>
    <row r="7" spans="2:8" ht="15.75" customHeight="1" thickBot="1" x14ac:dyDescent="0.25">
      <c r="B7" s="117" t="s">
        <v>612</v>
      </c>
      <c r="C7" s="101"/>
      <c r="D7" s="102">
        <f>D8+D11+D13</f>
        <v>13956.700214</v>
      </c>
      <c r="E7" s="102">
        <f>E8+E11+E13</f>
        <v>13956.700213999999</v>
      </c>
      <c r="F7" s="102">
        <f>F8+F11+F13</f>
        <v>14145.597</v>
      </c>
      <c r="G7" s="102">
        <f>G8+G11+G13</f>
        <v>188.89678600000047</v>
      </c>
      <c r="H7" s="102">
        <f>H8+H11+H13</f>
        <v>188.89678600000025</v>
      </c>
    </row>
    <row r="8" spans="2:8" ht="15.75" customHeight="1" x14ac:dyDescent="0.2">
      <c r="B8" s="44" t="s">
        <v>613</v>
      </c>
      <c r="C8" s="103" t="s">
        <v>58</v>
      </c>
      <c r="D8" s="104">
        <f>SUM(D9:D10)</f>
        <v>7342.7070000000003</v>
      </c>
      <c r="E8" s="104">
        <f>D8+D12+D14</f>
        <v>7490.6590000000006</v>
      </c>
      <c r="F8" s="104">
        <f>F9+F10</f>
        <v>7597.9260000000004</v>
      </c>
      <c r="G8" s="104">
        <f>F8-D8</f>
        <v>255.21900000000005</v>
      </c>
      <c r="H8" s="104">
        <f>F8-E8</f>
        <v>107.26699999999983</v>
      </c>
    </row>
    <row r="9" spans="2:8" ht="15.75" customHeight="1" x14ac:dyDescent="0.2">
      <c r="B9" s="35" t="s">
        <v>614</v>
      </c>
      <c r="C9" s="105"/>
      <c r="D9" s="106">
        <f>MMF_TABULKA!N46</f>
        <v>5336.4309999999996</v>
      </c>
      <c r="E9" s="106">
        <v>5445.8630000000003</v>
      </c>
      <c r="F9" s="106">
        <v>5521.7269999999999</v>
      </c>
      <c r="G9" s="106">
        <f>F9-D9</f>
        <v>185.29600000000028</v>
      </c>
      <c r="H9" s="106">
        <f>F9-E9</f>
        <v>75.863999999999578</v>
      </c>
    </row>
    <row r="10" spans="2:8" ht="15.75" customHeight="1" x14ac:dyDescent="0.2">
      <c r="B10" s="35" t="s">
        <v>615</v>
      </c>
      <c r="C10" s="105"/>
      <c r="D10" s="106">
        <f>MMF_TABULKA!N47</f>
        <v>2006.2760000000007</v>
      </c>
      <c r="E10" s="106">
        <v>2044.7960000000003</v>
      </c>
      <c r="F10" s="106">
        <v>2076.1990000000005</v>
      </c>
      <c r="G10" s="106">
        <f>F10-D10</f>
        <v>69.922999999999774</v>
      </c>
      <c r="H10" s="106">
        <f>F10-E10</f>
        <v>31.403000000000247</v>
      </c>
    </row>
    <row r="11" spans="2:8" ht="15.75" customHeight="1" x14ac:dyDescent="0.2">
      <c r="B11" s="44" t="s">
        <v>59</v>
      </c>
      <c r="C11" s="103" t="s">
        <v>60</v>
      </c>
      <c r="D11" s="104">
        <f>MMF_TABULKA!N48</f>
        <v>4696.3562139999995</v>
      </c>
      <c r="E11" s="104">
        <f>D11-D12</f>
        <v>4646.3562139999995</v>
      </c>
      <c r="F11" s="104">
        <v>5034.107</v>
      </c>
      <c r="G11" s="104">
        <f>F11-D11</f>
        <v>337.75078600000052</v>
      </c>
      <c r="H11" s="104">
        <f>F11-E11</f>
        <v>387.75078600000052</v>
      </c>
    </row>
    <row r="12" spans="2:8" ht="15.75" customHeight="1" x14ac:dyDescent="0.2">
      <c r="B12" s="107" t="s">
        <v>616</v>
      </c>
      <c r="C12" s="108"/>
      <c r="D12" s="109">
        <v>50</v>
      </c>
      <c r="E12" s="109"/>
      <c r="F12" s="109"/>
      <c r="G12" s="104"/>
      <c r="H12" s="104"/>
    </row>
    <row r="13" spans="2:8" ht="15.75" customHeight="1" x14ac:dyDescent="0.2">
      <c r="B13" s="44" t="s">
        <v>617</v>
      </c>
      <c r="C13" s="103" t="s">
        <v>618</v>
      </c>
      <c r="D13" s="104">
        <f>MMF_TABULKA!N78</f>
        <v>1917.6369999999999</v>
      </c>
      <c r="E13" s="104">
        <f>D13-D14</f>
        <v>1819.6849999999999</v>
      </c>
      <c r="F13" s="104">
        <v>1513.5639999999999</v>
      </c>
      <c r="G13" s="104">
        <f>F13-D13</f>
        <v>-404.07300000000009</v>
      </c>
      <c r="H13" s="104">
        <f>F13-E13</f>
        <v>-306.12100000000009</v>
      </c>
    </row>
    <row r="14" spans="2:8" ht="15.75" customHeight="1" x14ac:dyDescent="0.2">
      <c r="B14" s="110" t="s">
        <v>616</v>
      </c>
      <c r="C14" s="111"/>
      <c r="D14" s="112">
        <v>97.951999999999998</v>
      </c>
      <c r="E14" s="112"/>
      <c r="F14" s="112"/>
      <c r="G14" s="113"/>
      <c r="H14" s="113"/>
    </row>
    <row r="15" spans="2:8" ht="13.5" thickBot="1" x14ac:dyDescent="0.25">
      <c r="B15" s="114" t="s">
        <v>619</v>
      </c>
      <c r="C15" s="114"/>
      <c r="D15" s="115">
        <v>147.952</v>
      </c>
      <c r="E15" s="116"/>
      <c r="F15" s="116"/>
      <c r="G15" s="116"/>
      <c r="H15" s="116"/>
    </row>
    <row r="16" spans="2:8" x14ac:dyDescent="0.2">
      <c r="B16" s="29" t="s">
        <v>620</v>
      </c>
    </row>
    <row r="17" spans="2:12" ht="51" x14ac:dyDescent="0.2">
      <c r="B17" s="295" t="s">
        <v>621</v>
      </c>
    </row>
    <row r="19" spans="2:12" x14ac:dyDescent="0.2">
      <c r="B19" s="296"/>
      <c r="C19" s="297"/>
      <c r="D19" s="298"/>
      <c r="E19" s="299"/>
      <c r="F19" s="299"/>
      <c r="G19" s="299"/>
      <c r="H19" s="299"/>
      <c r="I19" s="299"/>
      <c r="J19" s="299"/>
      <c r="K19" s="299"/>
      <c r="L19" s="299"/>
    </row>
  </sheetData>
  <mergeCells count="6">
    <mergeCell ref="G5:G6"/>
    <mergeCell ref="B4:H4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J18"/>
  <sheetViews>
    <sheetView showGridLines="0" workbookViewId="0"/>
  </sheetViews>
  <sheetFormatPr defaultColWidth="9.140625" defaultRowHeight="12.75" x14ac:dyDescent="0.2"/>
  <cols>
    <col min="1" max="1" width="9.140625" style="35"/>
    <col min="2" max="2" width="50.28515625" style="35" customWidth="1"/>
    <col min="3" max="16384" width="9.140625" style="35"/>
  </cols>
  <sheetData>
    <row r="2" spans="2:10" x14ac:dyDescent="0.2">
      <c r="B2" s="242"/>
    </row>
    <row r="3" spans="2:10" x14ac:dyDescent="0.2">
      <c r="B3" s="242"/>
    </row>
    <row r="4" spans="2:10" x14ac:dyDescent="0.2">
      <c r="B4" s="820" t="s">
        <v>182</v>
      </c>
      <c r="C4" s="820"/>
      <c r="D4" s="820"/>
      <c r="E4" s="820"/>
      <c r="F4" s="820"/>
      <c r="G4" s="820"/>
      <c r="H4" s="820"/>
    </row>
    <row r="5" spans="2:10" x14ac:dyDescent="0.2">
      <c r="B5" s="42"/>
      <c r="C5" s="43">
        <v>2013</v>
      </c>
      <c r="D5" s="43">
        <v>2014</v>
      </c>
      <c r="E5" s="43" t="s">
        <v>185</v>
      </c>
      <c r="F5" s="43" t="s">
        <v>380</v>
      </c>
      <c r="G5" s="43" t="s">
        <v>381</v>
      </c>
      <c r="H5" s="43" t="s">
        <v>482</v>
      </c>
      <c r="I5" s="43" t="s">
        <v>483</v>
      </c>
      <c r="J5" s="43" t="s">
        <v>484</v>
      </c>
    </row>
    <row r="6" spans="2:10" ht="16.5" customHeight="1" x14ac:dyDescent="0.2">
      <c r="B6" s="44" t="s">
        <v>181</v>
      </c>
      <c r="C6" s="45">
        <f>MMF_TABULKA!J90*100</f>
        <v>-2.7199884783407948</v>
      </c>
      <c r="D6" s="45">
        <f>MMF_TABULKA!K90*100</f>
        <v>-2.707326627732078</v>
      </c>
      <c r="E6" s="45">
        <f>MMF_TABULKA!L90*100</f>
        <v>-2.7445806862164637</v>
      </c>
      <c r="F6" s="45">
        <f>MMF_TABULKA!M90*100</f>
        <v>-2.1911520941153646</v>
      </c>
      <c r="G6" s="45">
        <f>MMF_TABULKA!O90*100</f>
        <v>-1.6259539031147603</v>
      </c>
      <c r="H6" s="45">
        <f>MMF_TABULKA!P90*100</f>
        <v>-0.82999969762914805</v>
      </c>
      <c r="I6" s="45">
        <f>MMF_TABULKA!Q90*100</f>
        <v>-0.10000013791542728</v>
      </c>
      <c r="J6" s="45">
        <f>MMF_TABULKA!R90*100</f>
        <v>0</v>
      </c>
    </row>
    <row r="7" spans="2:10" ht="16.5" customHeight="1" x14ac:dyDescent="0.2">
      <c r="B7" s="35" t="s">
        <v>485</v>
      </c>
      <c r="C7" s="46">
        <v>-0.70960912340129623</v>
      </c>
      <c r="D7" s="46">
        <v>-0.58457894511018471</v>
      </c>
      <c r="E7" s="46">
        <v>-0.29713538011278506</v>
      </c>
      <c r="F7" s="46">
        <v>-8.260049010237408E-2</v>
      </c>
      <c r="G7" s="46">
        <v>6.0541514146294481E-2</v>
      </c>
      <c r="H7" s="46">
        <v>0.3008132054930735</v>
      </c>
      <c r="I7" s="46">
        <v>0.53012447413590291</v>
      </c>
      <c r="J7" s="46">
        <v>0.52742428767737259</v>
      </c>
    </row>
    <row r="8" spans="2:10" ht="16.5" customHeight="1" x14ac:dyDescent="0.2">
      <c r="B8" s="35" t="s">
        <v>486</v>
      </c>
      <c r="C8" s="46">
        <v>-1.0893911062784209E-2</v>
      </c>
      <c r="D8" s="46">
        <v>0.2738841011498091</v>
      </c>
      <c r="E8" s="46">
        <v>0</v>
      </c>
      <c r="F8" s="46">
        <v>-4.3429924482821979E-2</v>
      </c>
      <c r="G8" s="46">
        <v>0</v>
      </c>
      <c r="H8" s="46">
        <v>0</v>
      </c>
      <c r="I8" s="46">
        <v>0</v>
      </c>
      <c r="J8" s="46">
        <v>0</v>
      </c>
    </row>
    <row r="9" spans="2:10" ht="16.5" customHeight="1" x14ac:dyDescent="0.2">
      <c r="B9" s="44" t="s">
        <v>5</v>
      </c>
      <c r="C9" s="47">
        <f t="shared" ref="C9:I9" si="0">C6-C7-C8</f>
        <v>-1.9994854438767145</v>
      </c>
      <c r="D9" s="47">
        <f t="shared" si="0"/>
        <v>-2.3966317837717024</v>
      </c>
      <c r="E9" s="47">
        <f t="shared" si="0"/>
        <v>-2.4474453061036785</v>
      </c>
      <c r="F9" s="47">
        <f t="shared" si="0"/>
        <v>-2.0651216795301686</v>
      </c>
      <c r="G9" s="47">
        <f t="shared" si="0"/>
        <v>-1.6864954172610547</v>
      </c>
      <c r="H9" s="47">
        <f t="shared" si="0"/>
        <v>-1.1308129031222216</v>
      </c>
      <c r="I9" s="47">
        <f t="shared" si="0"/>
        <v>-0.63012461205133019</v>
      </c>
      <c r="J9" s="47">
        <f>J6-J7-J8</f>
        <v>-0.52742428767737259</v>
      </c>
    </row>
    <row r="10" spans="2:10" ht="16.5" customHeight="1" x14ac:dyDescent="0.2">
      <c r="B10" s="48" t="s">
        <v>9</v>
      </c>
      <c r="C10" s="49">
        <v>1.8420053129096816</v>
      </c>
      <c r="D10" s="49">
        <f t="shared" ref="D10:J10" si="1">D9-C9</f>
        <v>-0.39714633989498793</v>
      </c>
      <c r="E10" s="49">
        <f t="shared" si="1"/>
        <v>-5.0813522331976113E-2</v>
      </c>
      <c r="F10" s="49">
        <f t="shared" si="1"/>
        <v>0.38232362657350993</v>
      </c>
      <c r="G10" s="49">
        <f t="shared" si="1"/>
        <v>0.37862626226911389</v>
      </c>
      <c r="H10" s="49">
        <f t="shared" si="1"/>
        <v>0.55568251413883307</v>
      </c>
      <c r="I10" s="49">
        <f t="shared" si="1"/>
        <v>0.50068829107089141</v>
      </c>
      <c r="J10" s="49">
        <f t="shared" si="1"/>
        <v>0.1027003243739576</v>
      </c>
    </row>
    <row r="11" spans="2:10" ht="16.5" customHeight="1" x14ac:dyDescent="0.2">
      <c r="B11" s="50" t="s">
        <v>265</v>
      </c>
      <c r="C11" s="51" t="s">
        <v>487</v>
      </c>
      <c r="D11" s="52">
        <v>-0.37616399488241509</v>
      </c>
      <c r="E11" s="52">
        <v>0</v>
      </c>
      <c r="F11" s="52">
        <v>0.25</v>
      </c>
      <c r="G11" s="52">
        <v>0.5</v>
      </c>
      <c r="H11" s="52">
        <v>0.5</v>
      </c>
      <c r="I11" s="52">
        <v>0.5</v>
      </c>
      <c r="J11" s="52" t="s">
        <v>266</v>
      </c>
    </row>
    <row r="12" spans="2:10" ht="16.5" customHeight="1" x14ac:dyDescent="0.2">
      <c r="B12" s="44" t="s">
        <v>488</v>
      </c>
      <c r="C12" s="53" t="s">
        <v>487</v>
      </c>
      <c r="D12" s="54">
        <f t="shared" ref="D12:I12" si="2">IF(D9&gt;-0.5,"MTO",D10-D11)</f>
        <v>-2.0982345012572845E-2</v>
      </c>
      <c r="E12" s="54">
        <f t="shared" si="2"/>
        <v>-5.0813522331976113E-2</v>
      </c>
      <c r="F12" s="54">
        <f t="shared" si="2"/>
        <v>0.13232362657350993</v>
      </c>
      <c r="G12" s="54">
        <f t="shared" si="2"/>
        <v>-0.12137373773088611</v>
      </c>
      <c r="H12" s="54">
        <f t="shared" si="2"/>
        <v>5.5682514138833072E-2</v>
      </c>
      <c r="I12" s="54">
        <f t="shared" si="2"/>
        <v>6.8829107089141139E-4</v>
      </c>
      <c r="J12" s="54" t="s">
        <v>266</v>
      </c>
    </row>
    <row r="13" spans="2:10" ht="16.5" customHeight="1" x14ac:dyDescent="0.2">
      <c r="B13" s="55" t="s">
        <v>489</v>
      </c>
      <c r="C13" s="51" t="s">
        <v>487</v>
      </c>
      <c r="D13" s="56"/>
      <c r="E13" s="56">
        <f>IF(E9&gt;-0.5,"MTO",AVERAGE(D12:E12))</f>
        <v>-3.5897933672274479E-2</v>
      </c>
      <c r="F13" s="56">
        <f>IF(F9&gt;-0.5,"MTO",AVERAGE(E12:F12))</f>
        <v>4.075505212076691E-2</v>
      </c>
      <c r="G13" s="56">
        <f>IF(G9&gt;-0.5,"MTO",AVERAGE(F12:G12))</f>
        <v>5.4749444213119114E-3</v>
      </c>
      <c r="H13" s="56">
        <f>IF(H9&gt;-0.5,"MTO",AVERAGE(G12:H12))</f>
        <v>-3.2845611796026519E-2</v>
      </c>
      <c r="I13" s="56">
        <f>IF(I9&gt;-0.5,"MTO",AVERAGE(H12:I12))</f>
        <v>2.8185402604862242E-2</v>
      </c>
      <c r="J13" s="56" t="s">
        <v>266</v>
      </c>
    </row>
    <row r="14" spans="2:10" ht="16.5" customHeight="1" x14ac:dyDescent="0.2"/>
    <row r="15" spans="2:10" ht="16.5" customHeight="1" x14ac:dyDescent="0.2"/>
    <row r="16" spans="2:10" ht="16.5" customHeight="1" x14ac:dyDescent="0.2"/>
    <row r="17" spans="2:8" ht="16.5" customHeight="1" x14ac:dyDescent="0.2">
      <c r="B17" s="821"/>
      <c r="C17" s="821"/>
      <c r="D17" s="821"/>
      <c r="E17" s="821"/>
      <c r="F17" s="822"/>
      <c r="G17" s="822"/>
      <c r="H17" s="822"/>
    </row>
    <row r="18" spans="2:8" ht="25.5" customHeight="1" x14ac:dyDescent="0.2">
      <c r="B18" s="823"/>
      <c r="C18" s="823"/>
      <c r="D18" s="823"/>
      <c r="E18" s="823"/>
      <c r="F18" s="822"/>
      <c r="G18" s="822"/>
      <c r="H18" s="822"/>
    </row>
  </sheetData>
  <mergeCells count="4">
    <mergeCell ref="B4:H4"/>
    <mergeCell ref="B17:E17"/>
    <mergeCell ref="F17:H18"/>
    <mergeCell ref="B18:E18"/>
  </mergeCells>
  <conditionalFormatting sqref="J12">
    <cfRule type="cellIs" dxfId="17" priority="7" operator="lessThan">
      <formula>-0.501111</formula>
    </cfRule>
    <cfRule type="cellIs" dxfId="16" priority="8" operator="between">
      <formula>-0.0001</formula>
      <formula>-0.5</formula>
    </cfRule>
    <cfRule type="cellIs" dxfId="15" priority="9" operator="greaterThan">
      <formula>0</formula>
    </cfRule>
  </conditionalFormatting>
  <conditionalFormatting sqref="J13">
    <cfRule type="cellIs" dxfId="14" priority="4" operator="lessThan">
      <formula>-0.250001</formula>
    </cfRule>
    <cfRule type="cellIs" dxfId="13" priority="5" operator="between">
      <formula>-0.001</formula>
      <formula>-0.25</formula>
    </cfRule>
    <cfRule type="cellIs" dxfId="12" priority="6" operator="greaterThan">
      <formula>0</formula>
    </cfRule>
  </conditionalFormatting>
  <conditionalFormatting sqref="D12:J13">
    <cfRule type="cellIs" dxfId="11" priority="1" operator="lessThan">
      <formula>-0.501111</formula>
    </cfRule>
    <cfRule type="cellIs" dxfId="10" priority="2" operator="between">
      <formula>-0.04</formula>
      <formula>-0.5</formula>
    </cfRule>
    <cfRule type="cellIs" dxfId="9" priority="3" operator="greaterThan">
      <formula>-0.04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B2:AC53"/>
  <sheetViews>
    <sheetView showGridLines="0" workbookViewId="0">
      <selection sqref="A1:XFD1048576"/>
    </sheetView>
  </sheetViews>
  <sheetFormatPr defaultColWidth="9.140625" defaultRowHeight="12.75" x14ac:dyDescent="0.2"/>
  <cols>
    <col min="1" max="1" width="8.28515625" style="301" customWidth="1"/>
    <col min="2" max="2" width="18.5703125" style="301" customWidth="1"/>
    <col min="3" max="9" width="8.28515625" style="301" customWidth="1"/>
    <col min="10" max="10" width="20.5703125" style="301" customWidth="1"/>
    <col min="11" max="11" width="35.28515625" style="301" customWidth="1"/>
    <col min="12" max="15" width="6.7109375" style="301" customWidth="1"/>
    <col min="16" max="16" width="9" style="301" customWidth="1"/>
    <col min="17" max="22" width="6.7109375" style="301" customWidth="1"/>
    <col min="23" max="23" width="7.7109375" style="301" customWidth="1"/>
    <col min="24" max="16384" width="9.140625" style="301"/>
  </cols>
  <sheetData>
    <row r="2" spans="2:29" x14ac:dyDescent="0.2">
      <c r="B2" s="242"/>
    </row>
    <row r="3" spans="2:29" x14ac:dyDescent="0.2">
      <c r="B3" s="242"/>
    </row>
    <row r="4" spans="2:29" ht="13.5" thickBot="1" x14ac:dyDescent="0.25">
      <c r="B4" s="127" t="s">
        <v>188</v>
      </c>
      <c r="K4" s="302" t="s">
        <v>268</v>
      </c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4"/>
      <c r="Y4" s="304"/>
      <c r="Z4" s="304"/>
      <c r="AA4" s="304"/>
      <c r="AB4" s="304"/>
      <c r="AC4" s="304"/>
    </row>
    <row r="5" spans="2:29" x14ac:dyDescent="0.2"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</row>
    <row r="6" spans="2:29" x14ac:dyDescent="0.2">
      <c r="K6" s="305"/>
      <c r="L6" s="306">
        <v>2009</v>
      </c>
      <c r="M6" s="306">
        <v>2010</v>
      </c>
      <c r="N6" s="306">
        <v>2011</v>
      </c>
      <c r="O6" s="306">
        <v>2012</v>
      </c>
      <c r="P6" s="306">
        <v>2013</v>
      </c>
      <c r="Q6" s="306">
        <v>2014</v>
      </c>
      <c r="R6" s="306">
        <v>2015</v>
      </c>
      <c r="S6" s="306">
        <v>2016</v>
      </c>
      <c r="T6" s="306">
        <v>2017</v>
      </c>
      <c r="U6" s="306">
        <v>2018</v>
      </c>
      <c r="V6" s="306">
        <v>2019</v>
      </c>
      <c r="W6" s="307">
        <v>2020</v>
      </c>
      <c r="X6" s="304"/>
    </row>
    <row r="7" spans="2:29" x14ac:dyDescent="0.2">
      <c r="K7" s="325" t="s">
        <v>304</v>
      </c>
      <c r="L7" s="308">
        <v>-6.7436592725324829</v>
      </c>
      <c r="M7" s="308">
        <v>-6.7070214070308927</v>
      </c>
      <c r="N7" s="308">
        <v>-4.310080627655636</v>
      </c>
      <c r="O7" s="308">
        <v>-3.6347000193760159</v>
      </c>
      <c r="P7" s="308">
        <f>'Tabuľka 4'!C9</f>
        <v>-1.9994854438767145</v>
      </c>
      <c r="Q7" s="308">
        <f>'Tabuľka 4'!D9</f>
        <v>-2.3966317837717024</v>
      </c>
      <c r="R7" s="308">
        <f>'Tabuľka 4'!E9</f>
        <v>-2.4474453061036785</v>
      </c>
      <c r="S7" s="308">
        <f>'Tabuľka 4'!F9</f>
        <v>-2.0651216795301686</v>
      </c>
      <c r="T7" s="308">
        <f>'Tabuľka 4'!G9</f>
        <v>-1.6864954172610547</v>
      </c>
      <c r="U7" s="308">
        <f>'Tabuľka 4'!H9</f>
        <v>-1.1308129031222216</v>
      </c>
      <c r="V7" s="308">
        <f>'Tabuľka 4'!I9</f>
        <v>-0.63012461205133019</v>
      </c>
      <c r="W7" s="308">
        <f>'Tabuľka 4'!J9</f>
        <v>-0.52742428767737259</v>
      </c>
      <c r="X7" s="304"/>
    </row>
    <row r="8" spans="2:29" x14ac:dyDescent="0.2">
      <c r="K8" s="325" t="s">
        <v>360</v>
      </c>
      <c r="L8" s="309">
        <f>MMF_TABULKA!F59/MMF_TABULKA!F91*100</f>
        <v>1.4311162689716681</v>
      </c>
      <c r="M8" s="309">
        <f>MMF_TABULKA!G59/MMF_TABULKA!G91*100</f>
        <v>1.2981933282330014</v>
      </c>
      <c r="N8" s="309">
        <f>MMF_TABULKA!H59/MMF_TABULKA!H91*100</f>
        <v>1.528067090299488</v>
      </c>
      <c r="O8" s="309">
        <f>MMF_TABULKA!I59/MMF_TABULKA!I91*100</f>
        <v>1.7650690819561645</v>
      </c>
      <c r="P8" s="309">
        <f>MMF_TABULKA!J59/MMF_TABULKA!J91*100</f>
        <v>1.8700827490967928</v>
      </c>
      <c r="Q8" s="309">
        <f>MMF_TABULKA!K59/MMF_TABULKA!K91*100</f>
        <v>1.9008166013593879</v>
      </c>
      <c r="R8" s="309">
        <f>MMF_TABULKA!L59/MMF_TABULKA!L91*100</f>
        <v>1.7530613730531257</v>
      </c>
      <c r="S8" s="309">
        <f>MMF_TABULKA!M59/MMF_TABULKA!M91*100</f>
        <v>1.6500011536845696</v>
      </c>
      <c r="T8" s="309">
        <f>MMF_TABULKA!N59/MMF_TABULKA!O91*100</f>
        <v>1.3318117438964183</v>
      </c>
      <c r="U8" s="309">
        <f>MMF_TABULKA!O59/MMF_TABULKA!P91*100</f>
        <v>1.2398411769471651</v>
      </c>
      <c r="V8" s="309">
        <f>MMF_TABULKA!P59/MMF_TABULKA!Q91*100</f>
        <v>1.1923542336405735</v>
      </c>
      <c r="W8" s="309">
        <f>MMF_TABULKA!Q59/MMF_TABULKA!R91*100</f>
        <v>1.1143545033742521</v>
      </c>
      <c r="X8" s="304"/>
    </row>
    <row r="9" spans="2:29" x14ac:dyDescent="0.2">
      <c r="K9" s="325" t="s">
        <v>361</v>
      </c>
      <c r="L9" s="309">
        <f>L7+L8</f>
        <v>-5.3125430035608145</v>
      </c>
      <c r="M9" s="309">
        <f t="shared" ref="M9:W9" si="0">M7+M8</f>
        <v>-5.4088280787978915</v>
      </c>
      <c r="N9" s="309">
        <f t="shared" si="0"/>
        <v>-2.7820135373561481</v>
      </c>
      <c r="O9" s="309">
        <f t="shared" si="0"/>
        <v>-1.8696309374198514</v>
      </c>
      <c r="P9" s="309">
        <f t="shared" si="0"/>
        <v>-0.12940269477992161</v>
      </c>
      <c r="Q9" s="309">
        <f t="shared" si="0"/>
        <v>-0.49581518241231448</v>
      </c>
      <c r="R9" s="309">
        <f t="shared" si="0"/>
        <v>-0.69438393305055279</v>
      </c>
      <c r="S9" s="309">
        <f t="shared" si="0"/>
        <v>-0.415120525845599</v>
      </c>
      <c r="T9" s="309">
        <f t="shared" si="0"/>
        <v>-0.35468367336463635</v>
      </c>
      <c r="U9" s="309">
        <f t="shared" si="0"/>
        <v>0.10902827382494351</v>
      </c>
      <c r="V9" s="309">
        <f t="shared" si="0"/>
        <v>0.56222962158924328</v>
      </c>
      <c r="W9" s="309">
        <f t="shared" si="0"/>
        <v>0.58693021569687953</v>
      </c>
      <c r="X9" s="304"/>
    </row>
    <row r="10" spans="2:29" x14ac:dyDescent="0.2">
      <c r="K10" s="325" t="s">
        <v>305</v>
      </c>
      <c r="L10" s="310"/>
      <c r="M10" s="311">
        <f>(M9-L9)</f>
        <v>-9.6285075237076967E-2</v>
      </c>
      <c r="N10" s="311">
        <f t="shared" ref="N10:W10" si="1">(N9-M9)</f>
        <v>2.6268145414417434</v>
      </c>
      <c r="O10" s="311">
        <f t="shared" si="1"/>
        <v>0.91238259993629667</v>
      </c>
      <c r="P10" s="311">
        <f t="shared" si="1"/>
        <v>1.7402282426399298</v>
      </c>
      <c r="Q10" s="311">
        <f t="shared" si="1"/>
        <v>-0.36641248763239287</v>
      </c>
      <c r="R10" s="311">
        <f t="shared" si="1"/>
        <v>-0.19856875063823831</v>
      </c>
      <c r="S10" s="311">
        <f t="shared" si="1"/>
        <v>0.2792634072049538</v>
      </c>
      <c r="T10" s="311">
        <f t="shared" si="1"/>
        <v>6.0436852480962644E-2</v>
      </c>
      <c r="U10" s="311">
        <f t="shared" si="1"/>
        <v>0.46371194718957987</v>
      </c>
      <c r="V10" s="311">
        <f t="shared" si="1"/>
        <v>0.45320134776429977</v>
      </c>
      <c r="W10" s="311">
        <f t="shared" si="1"/>
        <v>2.4700594107636253E-2</v>
      </c>
      <c r="X10" s="312"/>
      <c r="Y10" s="304"/>
      <c r="Z10" s="304"/>
      <c r="AA10" s="304"/>
      <c r="AB10" s="304"/>
      <c r="AC10" s="304"/>
    </row>
    <row r="11" spans="2:29" x14ac:dyDescent="0.2">
      <c r="K11" s="325" t="s">
        <v>306</v>
      </c>
      <c r="L11" s="313">
        <v>-2.0084330000000001</v>
      </c>
      <c r="M11" s="313">
        <v>-0.43078899999999998</v>
      </c>
      <c r="N11" s="313">
        <v>-1.0340959999999999</v>
      </c>
      <c r="O11" s="313">
        <v>-1.8987639999999999</v>
      </c>
      <c r="P11" s="313">
        <v>-1.8038250600106522</v>
      </c>
      <c r="Q11" s="313">
        <v>-1.4859985814303251</v>
      </c>
      <c r="R11" s="313">
        <v>-0.75531757863283056</v>
      </c>
      <c r="S11" s="313">
        <v>-0.20997029082948238</v>
      </c>
      <c r="T11" s="313">
        <v>0.1538964153457161</v>
      </c>
      <c r="U11" s="313">
        <v>0.76466660384759766</v>
      </c>
      <c r="V11" s="313">
        <v>1.3475754184047233</v>
      </c>
      <c r="W11" s="313">
        <v>1.3407115494943964</v>
      </c>
      <c r="X11" s="304"/>
      <c r="Y11" s="312"/>
      <c r="Z11" s="312"/>
      <c r="AA11" s="312"/>
      <c r="AB11" s="312"/>
      <c r="AC11" s="312"/>
    </row>
    <row r="12" spans="2:29" x14ac:dyDescent="0.2">
      <c r="K12" s="325" t="s">
        <v>307</v>
      </c>
      <c r="L12" s="313"/>
      <c r="M12" s="313">
        <f t="shared" ref="M12:V12" si="2">M11-L11</f>
        <v>1.5776440000000003</v>
      </c>
      <c r="N12" s="313">
        <f t="shared" si="2"/>
        <v>-0.60330699999999993</v>
      </c>
      <c r="O12" s="313">
        <f t="shared" si="2"/>
        <v>-0.86466799999999999</v>
      </c>
      <c r="P12" s="313">
        <f t="shared" si="2"/>
        <v>9.4938939989347659E-2</v>
      </c>
      <c r="Q12" s="313">
        <f t="shared" si="2"/>
        <v>0.31782647858032709</v>
      </c>
      <c r="R12" s="313">
        <f t="shared" si="2"/>
        <v>0.73068100279749459</v>
      </c>
      <c r="S12" s="313">
        <f t="shared" si="2"/>
        <v>0.54534728780334818</v>
      </c>
      <c r="T12" s="313">
        <f t="shared" si="2"/>
        <v>0.36386670617519845</v>
      </c>
      <c r="U12" s="313">
        <f t="shared" si="2"/>
        <v>0.61077018850188158</v>
      </c>
      <c r="V12" s="313">
        <f t="shared" si="2"/>
        <v>0.58290881455712562</v>
      </c>
      <c r="W12" s="313">
        <f>W11-V11</f>
        <v>-6.8638689103268646E-3</v>
      </c>
      <c r="X12" s="304"/>
      <c r="Y12" s="304"/>
      <c r="Z12" s="304"/>
      <c r="AA12" s="304"/>
      <c r="AB12" s="304"/>
      <c r="AC12" s="304"/>
    </row>
    <row r="13" spans="2:29" x14ac:dyDescent="0.2"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4"/>
      <c r="Y13" s="304"/>
      <c r="Z13" s="304"/>
      <c r="AA13" s="304"/>
      <c r="AB13" s="304"/>
      <c r="AC13" s="304"/>
    </row>
    <row r="14" spans="2:29" x14ac:dyDescent="0.2">
      <c r="K14" s="305"/>
      <c r="L14" s="306"/>
      <c r="M14" s="306">
        <v>2010</v>
      </c>
      <c r="N14" s="306">
        <v>2011</v>
      </c>
      <c r="O14" s="306">
        <v>2012</v>
      </c>
      <c r="P14" s="306">
        <v>2013</v>
      </c>
      <c r="Q14" s="306">
        <v>2014</v>
      </c>
      <c r="R14" s="306">
        <v>2015</v>
      </c>
      <c r="S14" s="306">
        <v>2016</v>
      </c>
      <c r="T14" s="306">
        <v>2017</v>
      </c>
      <c r="U14" s="306">
        <v>2018</v>
      </c>
      <c r="V14" s="306">
        <v>2019</v>
      </c>
      <c r="W14" s="306">
        <v>2020</v>
      </c>
      <c r="X14" s="304"/>
      <c r="Y14" s="304"/>
      <c r="Z14" s="304"/>
      <c r="AA14" s="304"/>
      <c r="AB14" s="304"/>
      <c r="AC14" s="304"/>
    </row>
    <row r="15" spans="2:29" x14ac:dyDescent="0.2">
      <c r="K15" s="325" t="s">
        <v>360</v>
      </c>
      <c r="L15" s="314">
        <f>MMF_TABULKA!F59</f>
        <v>916.245</v>
      </c>
      <c r="M15" s="314">
        <f>MMF_TABULKA!G59</f>
        <v>877.28399999999999</v>
      </c>
      <c r="N15" s="314">
        <f>MMF_TABULKA!H59</f>
        <v>1079.231</v>
      </c>
      <c r="O15" s="314">
        <f>MMF_TABULKA!I59</f>
        <v>1283.2670000000001</v>
      </c>
      <c r="P15" s="314">
        <f>MMF_TABULKA!J59</f>
        <v>1387.038</v>
      </c>
      <c r="Q15" s="314">
        <f>MMF_TABULKA!K59</f>
        <v>1443.6010000000001</v>
      </c>
      <c r="R15" s="314">
        <f>MMF_TABULKA!L59</f>
        <v>1379.4069999999999</v>
      </c>
      <c r="S15" s="314">
        <f>MMF_TABULKA!M59</f>
        <v>1335.808</v>
      </c>
      <c r="T15" s="314">
        <f>MMF_TABULKA!O59</f>
        <v>1109.5999999999999</v>
      </c>
      <c r="U15" s="314">
        <f>MMF_TABULKA!P59</f>
        <v>1135.847</v>
      </c>
      <c r="V15" s="314">
        <f>MMF_TABULKA!Q59</f>
        <v>1125.58</v>
      </c>
      <c r="W15" s="314">
        <f>MMF_TABULKA!R59</f>
        <v>1079.204</v>
      </c>
      <c r="X15" s="304"/>
      <c r="Y15" s="304"/>
      <c r="Z15" s="304"/>
      <c r="AA15" s="304"/>
      <c r="AB15" s="304"/>
      <c r="AC15" s="304"/>
    </row>
    <row r="16" spans="2:29" x14ac:dyDescent="0.2">
      <c r="K16" s="325" t="s">
        <v>110</v>
      </c>
      <c r="L16" s="315">
        <v>-4.9964929999999983</v>
      </c>
      <c r="M16" s="315">
        <v>-5.0581069999999997</v>
      </c>
      <c r="N16" s="315">
        <v>-3.0206909999999989</v>
      </c>
      <c r="O16" s="315">
        <v>-3.1588849999999984</v>
      </c>
      <c r="P16" s="315">
        <v>-2.0174120000000002</v>
      </c>
      <c r="Q16" s="315">
        <v>-2.0561159999999981</v>
      </c>
      <c r="R16" s="315">
        <v>-2.1595899999999966</v>
      </c>
      <c r="S16" s="315">
        <v>-1.7739130000000005</v>
      </c>
      <c r="T16" s="315">
        <v>-1.3755500000000029</v>
      </c>
      <c r="U16" s="315">
        <v>-0.74281100000000155</v>
      </c>
      <c r="V16" s="315">
        <v>-0.30944699999999287</v>
      </c>
      <c r="W16" s="315">
        <v>-0.27302799999999844</v>
      </c>
      <c r="X16" s="304"/>
      <c r="Y16" s="304"/>
      <c r="Z16" s="304"/>
      <c r="AA16" s="304"/>
      <c r="AB16" s="304"/>
      <c r="AC16" s="304"/>
    </row>
    <row r="17" spans="2:29" x14ac:dyDescent="0.2"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4"/>
      <c r="X17" s="304"/>
      <c r="Y17" s="304"/>
      <c r="Z17" s="304"/>
      <c r="AA17" s="304"/>
      <c r="AB17" s="304"/>
      <c r="AC17" s="304"/>
    </row>
    <row r="18" spans="2:29" x14ac:dyDescent="0.2">
      <c r="K18" s="305"/>
      <c r="L18" s="316"/>
      <c r="M18" s="316"/>
      <c r="N18" s="316"/>
      <c r="O18" s="316"/>
      <c r="P18" s="316"/>
      <c r="Q18" s="316"/>
      <c r="R18" s="316"/>
      <c r="S18" s="317"/>
      <c r="T18" s="317"/>
      <c r="U18" s="317"/>
      <c r="V18" s="317"/>
      <c r="W18" s="305"/>
      <c r="X18" s="305"/>
      <c r="Y18" s="305"/>
      <c r="Z18" s="305"/>
      <c r="AA18" s="305"/>
      <c r="AB18" s="304"/>
      <c r="AC18" s="304"/>
    </row>
    <row r="19" spans="2:29" ht="13.5" thickBot="1" x14ac:dyDescent="0.25">
      <c r="K19" s="320" t="s">
        <v>622</v>
      </c>
      <c r="L19" s="321"/>
      <c r="M19" s="320"/>
      <c r="N19" s="320"/>
      <c r="O19" s="320"/>
      <c r="P19" s="320"/>
      <c r="Q19" s="320"/>
      <c r="R19" s="320"/>
      <c r="S19" s="309"/>
      <c r="T19" s="309"/>
      <c r="U19" s="309"/>
      <c r="V19" s="309"/>
      <c r="W19" s="309"/>
      <c r="X19" s="316"/>
      <c r="Y19" s="305"/>
      <c r="Z19" s="305"/>
      <c r="AA19" s="305"/>
      <c r="AB19" s="304"/>
      <c r="AC19" s="304"/>
    </row>
    <row r="20" spans="2:29" ht="13.5" thickBot="1" x14ac:dyDescent="0.25">
      <c r="K20" s="322"/>
      <c r="L20" s="322"/>
      <c r="M20" s="322">
        <v>2015</v>
      </c>
      <c r="N20" s="322">
        <v>2016</v>
      </c>
      <c r="O20" s="322">
        <v>2017</v>
      </c>
      <c r="P20" s="322">
        <v>2018</v>
      </c>
      <c r="Q20" s="322">
        <v>2019</v>
      </c>
      <c r="R20" s="322">
        <v>2020</v>
      </c>
      <c r="S20" s="318"/>
      <c r="T20" s="318"/>
      <c r="U20" s="318"/>
      <c r="V20" s="318"/>
      <c r="W20" s="318"/>
      <c r="X20" s="316"/>
      <c r="Y20" s="316"/>
      <c r="Z20" s="316"/>
      <c r="AA20" s="316"/>
    </row>
    <row r="21" spans="2:29" x14ac:dyDescent="0.2">
      <c r="K21" s="62" t="s">
        <v>179</v>
      </c>
      <c r="L21" s="235"/>
      <c r="M21" s="235">
        <v>-0.1</v>
      </c>
      <c r="N21" s="235">
        <v>-0.1</v>
      </c>
      <c r="O21" s="235">
        <v>-0.2</v>
      </c>
      <c r="P21" s="235">
        <v>0.4</v>
      </c>
      <c r="Q21" s="235">
        <v>0.9</v>
      </c>
      <c r="R21" s="235">
        <v>1</v>
      </c>
      <c r="S21" s="319"/>
      <c r="T21" s="319"/>
      <c r="U21" s="319"/>
      <c r="V21" s="319"/>
      <c r="W21" s="316"/>
      <c r="X21" s="316"/>
      <c r="Y21" s="316"/>
      <c r="Z21" s="316"/>
      <c r="AA21" s="316"/>
    </row>
    <row r="22" spans="2:29" ht="13.5" thickBot="1" x14ac:dyDescent="0.25">
      <c r="B22" s="127" t="s">
        <v>189</v>
      </c>
      <c r="K22" s="119" t="s">
        <v>180</v>
      </c>
      <c r="L22" s="240"/>
      <c r="M22" s="20">
        <v>-0.69438393305055279</v>
      </c>
      <c r="N22" s="20">
        <v>-0.41152236401344711</v>
      </c>
      <c r="O22" s="20">
        <v>-0.37887646790867291</v>
      </c>
      <c r="P22" s="20">
        <v>0.13979971053362061</v>
      </c>
      <c r="Q22" s="20">
        <v>0.55022364246516497</v>
      </c>
      <c r="R22" s="20">
        <v>0.54204239503287643</v>
      </c>
      <c r="S22" s="316"/>
      <c r="T22" s="316"/>
      <c r="U22" s="316"/>
      <c r="V22" s="316"/>
      <c r="W22" s="316"/>
      <c r="X22" s="316"/>
      <c r="Y22" s="316"/>
      <c r="Z22" s="316"/>
      <c r="AA22" s="316"/>
    </row>
    <row r="23" spans="2:29" x14ac:dyDescent="0.2">
      <c r="K23" s="323"/>
      <c r="L23" s="323"/>
      <c r="M23" s="323"/>
      <c r="N23" s="323"/>
      <c r="O23" s="323"/>
      <c r="P23" s="323"/>
      <c r="Q23" s="323"/>
      <c r="R23" s="323" t="s">
        <v>3</v>
      </c>
      <c r="S23" s="316"/>
      <c r="T23" s="316"/>
      <c r="U23" s="316"/>
      <c r="V23" s="316"/>
      <c r="W23" s="316"/>
      <c r="X23" s="316"/>
      <c r="Y23" s="316"/>
      <c r="Z23" s="316"/>
      <c r="AA23" s="316"/>
    </row>
    <row r="24" spans="2:29" x14ac:dyDescent="0.2"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</row>
    <row r="25" spans="2:29" x14ac:dyDescent="0.2"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</row>
    <row r="26" spans="2:29" x14ac:dyDescent="0.2"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</row>
    <row r="52" spans="5:5" x14ac:dyDescent="0.2">
      <c r="E52" s="324"/>
    </row>
    <row r="53" spans="5:5" x14ac:dyDescent="0.2">
      <c r="E53" s="324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Q48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" width="10" style="35" customWidth="1"/>
    <col min="2" max="3" width="10" style="326" customWidth="1"/>
    <col min="4" max="9" width="10" style="35" customWidth="1"/>
    <col min="10" max="10" width="53.28515625" style="35" customWidth="1"/>
    <col min="11" max="13" width="10" style="35" customWidth="1"/>
    <col min="14" max="16384" width="9.140625" style="35"/>
  </cols>
  <sheetData>
    <row r="2" spans="2:17" x14ac:dyDescent="0.2">
      <c r="B2" s="35"/>
    </row>
    <row r="3" spans="2:17" ht="16.5" customHeight="1" x14ac:dyDescent="0.2">
      <c r="B3" s="35"/>
      <c r="G3" s="327"/>
      <c r="H3" s="215"/>
      <c r="J3" s="204" t="s">
        <v>511</v>
      </c>
    </row>
    <row r="4" spans="2:17" ht="16.5" customHeight="1" x14ac:dyDescent="0.2">
      <c r="G4" s="328"/>
      <c r="H4" s="215"/>
      <c r="J4" s="42"/>
      <c r="K4" s="57"/>
      <c r="L4" s="58">
        <v>2015</v>
      </c>
      <c r="M4" s="58">
        <v>2016</v>
      </c>
      <c r="N4" s="58" t="s">
        <v>381</v>
      </c>
      <c r="O4" s="58">
        <v>2018</v>
      </c>
      <c r="P4" s="58">
        <v>2019</v>
      </c>
      <c r="Q4" s="58">
        <v>2020</v>
      </c>
    </row>
    <row r="5" spans="2:17" ht="16.5" customHeight="1" x14ac:dyDescent="0.2">
      <c r="B5" s="204" t="s">
        <v>509</v>
      </c>
      <c r="G5" s="215"/>
      <c r="H5" s="215"/>
      <c r="I5" s="77"/>
      <c r="J5" s="67" t="s">
        <v>40</v>
      </c>
      <c r="K5" s="60" t="s">
        <v>1</v>
      </c>
      <c r="L5" s="329">
        <f>L17</f>
        <v>35691.877999999997</v>
      </c>
      <c r="M5" s="329">
        <f t="shared" ref="M5:Q5" si="0">M17</f>
        <v>33684.084999999999</v>
      </c>
      <c r="N5" s="329">
        <f t="shared" si="0"/>
        <v>34685.646000000001</v>
      </c>
      <c r="O5" s="329">
        <f t="shared" si="0"/>
        <v>35175.083000000006</v>
      </c>
      <c r="P5" s="329">
        <f t="shared" si="0"/>
        <v>37276.602999999996</v>
      </c>
      <c r="Q5" s="329">
        <f t="shared" si="0"/>
        <v>38858.705000000002</v>
      </c>
    </row>
    <row r="6" spans="2:17" ht="16.5" customHeight="1" x14ac:dyDescent="0.2">
      <c r="G6" s="77"/>
      <c r="H6" s="215"/>
      <c r="I6" s="77"/>
      <c r="J6" s="93" t="s">
        <v>503</v>
      </c>
      <c r="K6" s="89" t="s">
        <v>1</v>
      </c>
      <c r="L6" s="345">
        <f>L25</f>
        <v>30855.431569871358</v>
      </c>
      <c r="M6" s="345">
        <f t="shared" ref="M6:Q6" si="1">M25</f>
        <v>31518.980932939154</v>
      </c>
      <c r="N6" s="345">
        <f t="shared" si="1"/>
        <v>32709.400116666402</v>
      </c>
      <c r="O6" s="345">
        <f t="shared" si="1"/>
        <v>33873.094343228244</v>
      </c>
      <c r="P6" s="345">
        <f t="shared" si="1"/>
        <v>34846.604931576338</v>
      </c>
      <c r="Q6" s="345">
        <f t="shared" si="1"/>
        <v>36521.855219719408</v>
      </c>
    </row>
    <row r="7" spans="2:17" ht="16.5" customHeight="1" x14ac:dyDescent="0.2">
      <c r="G7" s="77"/>
      <c r="H7" s="215"/>
      <c r="I7" s="77"/>
      <c r="J7" s="35" t="s">
        <v>504</v>
      </c>
      <c r="K7" s="76" t="s">
        <v>1</v>
      </c>
      <c r="L7" s="346">
        <f>L27</f>
        <v>138.72009571650693</v>
      </c>
      <c r="M7" s="346">
        <f t="shared" ref="M7:Q7" si="2">M27</f>
        <v>-173.87615788893081</v>
      </c>
      <c r="N7" s="346">
        <f t="shared" si="2"/>
        <v>184.18066549479812</v>
      </c>
      <c r="O7" s="346">
        <f t="shared" si="2"/>
        <v>-1.0193391106004857</v>
      </c>
      <c r="P7" s="346">
        <f t="shared" si="2"/>
        <v>79.416921385549742</v>
      </c>
      <c r="Q7" s="346">
        <f t="shared" si="2"/>
        <v>26.01972681915127</v>
      </c>
    </row>
    <row r="8" spans="2:17" ht="16.5" customHeight="1" x14ac:dyDescent="0.2">
      <c r="G8" s="77"/>
      <c r="H8" s="215"/>
      <c r="I8" s="77"/>
      <c r="J8" s="35" t="s">
        <v>505</v>
      </c>
      <c r="K8" s="330" t="s">
        <v>11</v>
      </c>
      <c r="L8" s="36">
        <f>L31</f>
        <v>6.1349699409353553</v>
      </c>
      <c r="M8" s="36">
        <f t="shared" ref="M8:Q8" si="3">M31</f>
        <v>2.4915079188436438</v>
      </c>
      <c r="N8" s="36">
        <f t="shared" si="3"/>
        <v>3.1924843013590989</v>
      </c>
      <c r="O8" s="36">
        <f t="shared" si="3"/>
        <v>3.5607915813747573</v>
      </c>
      <c r="P8" s="36">
        <f t="shared" si="3"/>
        <v>2.6395393875236177</v>
      </c>
      <c r="Q8" s="36">
        <f t="shared" si="3"/>
        <v>4.7328299688371205</v>
      </c>
    </row>
    <row r="9" spans="2:17" ht="16.5" customHeight="1" x14ac:dyDescent="0.2">
      <c r="G9" s="77"/>
      <c r="H9" s="215"/>
      <c r="I9" s="77"/>
      <c r="J9" s="44" t="s">
        <v>506</v>
      </c>
      <c r="K9" s="331" t="s">
        <v>11</v>
      </c>
      <c r="L9" s="347">
        <f t="shared" ref="L9:Q9" si="4">L32</f>
        <v>5.3946939925689774</v>
      </c>
      <c r="M9" s="347">
        <f t="shared" si="4"/>
        <v>1.3141418190988574</v>
      </c>
      <c r="N9" s="347">
        <f t="shared" si="4"/>
        <v>2.0079687841633831</v>
      </c>
      <c r="O9" s="347">
        <f t="shared" si="4"/>
        <v>2.0216278425842615</v>
      </c>
      <c r="P9" s="347">
        <f t="shared" si="4"/>
        <v>0.64462710391539613</v>
      </c>
      <c r="Q9" s="347">
        <f t="shared" si="4"/>
        <v>2.6052000707900369</v>
      </c>
    </row>
    <row r="10" spans="2:17" ht="16.5" customHeight="1" x14ac:dyDescent="0.2">
      <c r="G10" s="30"/>
      <c r="H10" s="215"/>
      <c r="I10" s="30"/>
      <c r="J10" s="332" t="s">
        <v>507</v>
      </c>
      <c r="K10" s="333" t="s">
        <v>12</v>
      </c>
      <c r="L10" s="334">
        <f t="shared" ref="L10:Q10" si="5">L33</f>
        <v>3.5522619364109831</v>
      </c>
      <c r="M10" s="334">
        <f t="shared" si="5"/>
        <v>2.0541528429540299</v>
      </c>
      <c r="N10" s="334">
        <f t="shared" si="5"/>
        <v>1.4466785182213631</v>
      </c>
      <c r="O10" s="334">
        <f t="shared" si="5"/>
        <v>1.4845714599467197</v>
      </c>
      <c r="P10" s="334">
        <f t="shared" si="5"/>
        <v>1.5535533119782063</v>
      </c>
      <c r="Q10" s="334">
        <f t="shared" si="5"/>
        <v>2.5674236581022867</v>
      </c>
    </row>
    <row r="11" spans="2:17" ht="16.5" customHeight="1" x14ac:dyDescent="0.2">
      <c r="G11" s="30"/>
      <c r="H11" s="215"/>
      <c r="I11" s="30"/>
      <c r="J11" s="88" t="s">
        <v>508</v>
      </c>
      <c r="K11" s="89" t="s">
        <v>12</v>
      </c>
      <c r="L11" s="90">
        <f t="shared" ref="L11:Q11" si="6">L34</f>
        <v>-1.8424320561579943</v>
      </c>
      <c r="M11" s="90">
        <f t="shared" si="6"/>
        <v>0.74001102385517248</v>
      </c>
      <c r="N11" s="90">
        <f t="shared" si="6"/>
        <v>-0.56129026594202003</v>
      </c>
      <c r="O11" s="90">
        <f t="shared" si="6"/>
        <v>-0.53705638263754185</v>
      </c>
      <c r="P11" s="90">
        <f t="shared" si="6"/>
        <v>0.90892620806281021</v>
      </c>
      <c r="Q11" s="90">
        <f t="shared" si="6"/>
        <v>-3.7776412687750227E-2</v>
      </c>
    </row>
    <row r="12" spans="2:17" ht="16.5" customHeight="1" x14ac:dyDescent="0.2">
      <c r="G12" s="335"/>
      <c r="H12" s="215"/>
      <c r="I12" s="335"/>
      <c r="J12" s="91" t="s">
        <v>498</v>
      </c>
      <c r="K12" s="92" t="s">
        <v>0</v>
      </c>
      <c r="L12" s="54">
        <v>-0.67766084565613038</v>
      </c>
      <c r="M12" s="54">
        <f>M35</f>
        <v>0.28203955605814734</v>
      </c>
      <c r="N12" s="54">
        <f t="shared" ref="N12:Q13" si="7">N35</f>
        <v>-0.20911805254159332</v>
      </c>
      <c r="O12" s="54">
        <f t="shared" si="7"/>
        <v>-0.19628724043372778</v>
      </c>
      <c r="P12" s="54">
        <f t="shared" si="7"/>
        <v>0.32319822024066847</v>
      </c>
      <c r="Q12" s="54">
        <f t="shared" si="7"/>
        <v>-1.3032513715465103E-2</v>
      </c>
    </row>
    <row r="13" spans="2:17" ht="16.5" customHeight="1" x14ac:dyDescent="0.2">
      <c r="G13" s="77"/>
      <c r="H13" s="215"/>
      <c r="I13" s="30"/>
      <c r="J13" s="93" t="s">
        <v>499</v>
      </c>
      <c r="K13" s="89" t="s">
        <v>0</v>
      </c>
      <c r="L13" s="56">
        <v>0.20479076800477036</v>
      </c>
      <c r="M13" s="56">
        <f>M36</f>
        <v>-0.19781064479899152</v>
      </c>
      <c r="N13" s="56">
        <f t="shared" si="7"/>
        <v>3.646075175827701E-2</v>
      </c>
      <c r="O13" s="56">
        <f t="shared" si="7"/>
        <v>-0.20270264648766056</v>
      </c>
      <c r="P13" s="56">
        <f t="shared" si="7"/>
        <v>6.3455489903470344E-2</v>
      </c>
      <c r="Q13" s="56">
        <f t="shared" si="7"/>
        <v>0.15508285326260168</v>
      </c>
    </row>
    <row r="14" spans="2:17" ht="16.5" customHeight="1" x14ac:dyDescent="0.2">
      <c r="G14" s="336"/>
      <c r="H14" s="215"/>
      <c r="I14" s="77"/>
    </row>
    <row r="15" spans="2:17" ht="16.5" customHeight="1" thickBot="1" x14ac:dyDescent="0.25">
      <c r="G15" s="84"/>
      <c r="H15" s="215"/>
      <c r="I15" s="84"/>
      <c r="J15" s="205" t="s">
        <v>1046</v>
      </c>
      <c r="K15" s="117"/>
      <c r="L15" s="117"/>
      <c r="M15" s="117"/>
      <c r="N15" s="117"/>
      <c r="O15" s="117"/>
      <c r="P15" s="117"/>
      <c r="Q15" s="117"/>
    </row>
    <row r="16" spans="2:17" ht="16.5" customHeight="1" x14ac:dyDescent="0.2">
      <c r="G16" s="84"/>
      <c r="H16" s="215"/>
      <c r="I16" s="84"/>
      <c r="J16" s="42"/>
      <c r="K16" s="57"/>
      <c r="L16" s="58">
        <v>2015</v>
      </c>
      <c r="M16" s="58">
        <v>2016</v>
      </c>
      <c r="N16" s="58" t="s">
        <v>381</v>
      </c>
      <c r="O16" s="58">
        <v>2018</v>
      </c>
      <c r="P16" s="58">
        <v>2019</v>
      </c>
      <c r="Q16" s="58">
        <v>2020</v>
      </c>
    </row>
    <row r="17" spans="2:17" ht="16.5" customHeight="1" x14ac:dyDescent="0.2">
      <c r="G17" s="84"/>
      <c r="H17" s="215"/>
      <c r="I17" s="84"/>
      <c r="J17" s="59" t="s">
        <v>183</v>
      </c>
      <c r="K17" s="60" t="s">
        <v>1</v>
      </c>
      <c r="L17" s="61">
        <f>MMF_TABULKA!L42</f>
        <v>35691.877999999997</v>
      </c>
      <c r="M17" s="61">
        <f>MMF_TABULKA!M42</f>
        <v>33684.084999999999</v>
      </c>
      <c r="N17" s="61">
        <f>MMF_TABULKA!O42</f>
        <v>34685.646000000001</v>
      </c>
      <c r="O17" s="61">
        <f>MMF_TABULKA!P42</f>
        <v>35175.083000000006</v>
      </c>
      <c r="P17" s="61">
        <f>MMF_TABULKA!Q42</f>
        <v>37276.602999999996</v>
      </c>
      <c r="Q17" s="61">
        <f>MMF_TABULKA!R42</f>
        <v>38858.705000000002</v>
      </c>
    </row>
    <row r="18" spans="2:17" ht="16.5" customHeight="1" x14ac:dyDescent="0.2">
      <c r="G18" s="337"/>
      <c r="H18" s="215"/>
      <c r="I18" s="337"/>
      <c r="J18" s="62" t="s">
        <v>134</v>
      </c>
      <c r="K18" s="60" t="s">
        <v>1</v>
      </c>
      <c r="L18" s="63">
        <f>MMF_TABULKA!L59</f>
        <v>1379.4069999999999</v>
      </c>
      <c r="M18" s="63">
        <f>MMF_TABULKA!M59</f>
        <v>1335.808</v>
      </c>
      <c r="N18" s="63">
        <f>MMF_TABULKA!O59</f>
        <v>1109.5999999999999</v>
      </c>
      <c r="O18" s="63">
        <f>MMF_TABULKA!P59</f>
        <v>1135.847</v>
      </c>
      <c r="P18" s="63">
        <f>MMF_TABULKA!Q59</f>
        <v>1125.58</v>
      </c>
      <c r="Q18" s="63">
        <f>MMF_TABULKA!R59</f>
        <v>1079.204</v>
      </c>
    </row>
    <row r="19" spans="2:17" ht="16.5" customHeight="1" x14ac:dyDescent="0.2">
      <c r="G19" s="338"/>
      <c r="H19" s="215"/>
      <c r="I19" s="339"/>
      <c r="J19" s="62" t="s">
        <v>133</v>
      </c>
      <c r="K19" s="60" t="s">
        <v>1</v>
      </c>
      <c r="L19" s="63">
        <v>2345</v>
      </c>
      <c r="M19" s="63">
        <v>506.88200000000001</v>
      </c>
      <c r="N19" s="63">
        <v>483.02800000000002</v>
      </c>
      <c r="O19" s="63">
        <v>50.597000000000001</v>
      </c>
      <c r="P19" s="63">
        <v>462.596</v>
      </c>
      <c r="Q19" s="63">
        <v>418.91199999999998</v>
      </c>
    </row>
    <row r="20" spans="2:17" x14ac:dyDescent="0.2">
      <c r="G20" s="340"/>
      <c r="H20" s="215"/>
      <c r="J20" s="64" t="s">
        <v>135</v>
      </c>
      <c r="K20" s="60" t="s">
        <v>1</v>
      </c>
      <c r="L20" s="63">
        <v>2789</v>
      </c>
      <c r="M20" s="63">
        <v>796.34500000000003</v>
      </c>
      <c r="N20" s="63">
        <v>810.125</v>
      </c>
      <c r="O20" s="63">
        <v>346.04300000000001</v>
      </c>
      <c r="P20" s="63">
        <v>1375</v>
      </c>
      <c r="Q20" s="63">
        <v>1226.511</v>
      </c>
    </row>
    <row r="21" spans="2:17" ht="16.5" customHeight="1" x14ac:dyDescent="0.2">
      <c r="G21" s="96"/>
      <c r="H21" s="215"/>
      <c r="I21" s="96"/>
      <c r="J21" s="65" t="s">
        <v>136</v>
      </c>
      <c r="K21" s="60" t="s">
        <v>1</v>
      </c>
      <c r="L21" s="63">
        <v>2605.6450000000004</v>
      </c>
      <c r="M21" s="63">
        <v>2092.6889999999999</v>
      </c>
      <c r="N21" s="63">
        <v>2327.6189999999997</v>
      </c>
      <c r="O21" s="63">
        <v>2112.6799999999998</v>
      </c>
      <c r="P21" s="63">
        <v>2103.37</v>
      </c>
      <c r="Q21" s="63">
        <v>2243.6410000000001</v>
      </c>
    </row>
    <row r="22" spans="2:17" ht="16.5" customHeight="1" x14ac:dyDescent="0.2">
      <c r="B22" s="341" t="s">
        <v>510</v>
      </c>
      <c r="J22" s="65" t="s">
        <v>137</v>
      </c>
      <c r="K22" s="60" t="s">
        <v>1</v>
      </c>
      <c r="L22" s="63">
        <v>1944.4865</v>
      </c>
      <c r="M22" s="63">
        <v>2061.7060000000001</v>
      </c>
      <c r="N22" s="63">
        <v>2269.5907500000003</v>
      </c>
      <c r="O22" s="63">
        <v>2284.65825</v>
      </c>
      <c r="P22" s="63">
        <v>2159.0895</v>
      </c>
      <c r="Q22" s="63">
        <v>2196.8274999999999</v>
      </c>
    </row>
    <row r="23" spans="2:17" ht="16.5" customHeight="1" x14ac:dyDescent="0.2">
      <c r="J23" s="66" t="s">
        <v>138</v>
      </c>
      <c r="K23" s="60" t="s">
        <v>1</v>
      </c>
      <c r="L23" s="63">
        <v>6.8809301286389077</v>
      </c>
      <c r="M23" s="63">
        <v>1.9680670608477755</v>
      </c>
      <c r="N23" s="63">
        <v>-1.5073666663996375</v>
      </c>
      <c r="O23" s="63">
        <v>-7.9230932282369482</v>
      </c>
      <c r="P23" s="63">
        <v>-14.862431576344125</v>
      </c>
      <c r="Q23" s="63">
        <v>-15.678719719403368</v>
      </c>
    </row>
    <row r="24" spans="2:17" ht="16.5" customHeight="1" x14ac:dyDescent="0.2">
      <c r="J24" s="67" t="s">
        <v>139</v>
      </c>
      <c r="K24" s="60" t="s">
        <v>1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</row>
    <row r="25" spans="2:17" ht="13.5" thickBot="1" x14ac:dyDescent="0.25">
      <c r="J25" s="69" t="s">
        <v>140</v>
      </c>
      <c r="K25" s="70" t="s">
        <v>1</v>
      </c>
      <c r="L25" s="71">
        <f t="shared" ref="L25:Q25" si="8">L17-L18-L20-L21+L22-L23-L24</f>
        <v>30855.431569871358</v>
      </c>
      <c r="M25" s="71">
        <f t="shared" si="8"/>
        <v>31518.980932939154</v>
      </c>
      <c r="N25" s="71">
        <f>N17-N18-N20-N21+N22-N23-N24</f>
        <v>32709.400116666402</v>
      </c>
      <c r="O25" s="71">
        <f>O17-O18-O20-O21+O22-O23-O24</f>
        <v>33873.094343228244</v>
      </c>
      <c r="P25" s="71">
        <f t="shared" si="8"/>
        <v>34846.604931576338</v>
      </c>
      <c r="Q25" s="71">
        <f t="shared" si="8"/>
        <v>36521.855219719408</v>
      </c>
    </row>
    <row r="26" spans="2:17" ht="14.25" thickTop="1" thickBot="1" x14ac:dyDescent="0.25">
      <c r="B26" s="824"/>
      <c r="C26" s="824"/>
      <c r="D26" s="824"/>
      <c r="E26" s="824"/>
      <c r="F26" s="824"/>
      <c r="G26" s="824"/>
      <c r="H26" s="824"/>
      <c r="J26" s="72" t="s">
        <v>490</v>
      </c>
      <c r="K26" s="73" t="s">
        <v>1</v>
      </c>
      <c r="L26" s="74">
        <v>1914.252718783111</v>
      </c>
      <c r="M26" s="74">
        <f t="shared" ref="M26:Q26" si="9">M25-L25</f>
        <v>663.54936306779564</v>
      </c>
      <c r="N26" s="74">
        <f t="shared" si="9"/>
        <v>1190.4191837272483</v>
      </c>
      <c r="O26" s="74">
        <f t="shared" si="9"/>
        <v>1163.6942265618418</v>
      </c>
      <c r="P26" s="74">
        <f t="shared" si="9"/>
        <v>973.51058834809373</v>
      </c>
      <c r="Q26" s="74">
        <f t="shared" si="9"/>
        <v>1675.2502881430701</v>
      </c>
    </row>
    <row r="27" spans="2:17" ht="13.5" thickTop="1" x14ac:dyDescent="0.2">
      <c r="J27" s="75" t="s">
        <v>10</v>
      </c>
      <c r="K27" s="76" t="s">
        <v>1</v>
      </c>
      <c r="L27" s="77">
        <v>138.72009571650693</v>
      </c>
      <c r="M27" s="77">
        <v>-173.87615788893081</v>
      </c>
      <c r="N27" s="77">
        <v>184.18066549479812</v>
      </c>
      <c r="O27" s="77">
        <v>-1.0193391106004857</v>
      </c>
      <c r="P27" s="77">
        <v>79.416921385549742</v>
      </c>
      <c r="Q27" s="77">
        <v>26.01972681915127</v>
      </c>
    </row>
    <row r="28" spans="2:17" x14ac:dyDescent="0.2">
      <c r="J28" s="75" t="s">
        <v>491</v>
      </c>
      <c r="K28" s="76" t="s">
        <v>1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 x14ac:dyDescent="0.2">
      <c r="J29" s="75" t="s">
        <v>492</v>
      </c>
      <c r="K29" s="76" t="s">
        <v>1</v>
      </c>
      <c r="L29" s="77">
        <v>0</v>
      </c>
      <c r="M29" s="77">
        <v>-35.159999999999997</v>
      </c>
      <c r="N29" s="77">
        <v>0</v>
      </c>
      <c r="O29" s="77">
        <v>0</v>
      </c>
      <c r="P29" s="77">
        <v>0</v>
      </c>
      <c r="Q29" s="77">
        <v>0</v>
      </c>
    </row>
    <row r="30" spans="2:17" ht="13.5" thickBot="1" x14ac:dyDescent="0.25">
      <c r="J30" s="78" t="s">
        <v>493</v>
      </c>
      <c r="K30" s="70" t="s">
        <v>1</v>
      </c>
      <c r="L30" s="77">
        <v>0</v>
      </c>
      <c r="M30" s="77">
        <v>-33.5</v>
      </c>
      <c r="N30" s="77">
        <v>0</v>
      </c>
      <c r="O30" s="77">
        <v>0</v>
      </c>
      <c r="P30" s="77">
        <v>0</v>
      </c>
      <c r="Q30" s="77">
        <v>0</v>
      </c>
    </row>
    <row r="31" spans="2:17" ht="26.25" thickTop="1" x14ac:dyDescent="0.2">
      <c r="J31" s="79" t="s">
        <v>494</v>
      </c>
      <c r="K31" s="80" t="s">
        <v>11</v>
      </c>
      <c r="L31" s="81">
        <v>6.1349699409353553</v>
      </c>
      <c r="M31" s="81">
        <v>2.4915079188436438</v>
      </c>
      <c r="N31" s="81">
        <v>3.1924843013590989</v>
      </c>
      <c r="O31" s="81">
        <v>3.5607915813747573</v>
      </c>
      <c r="P31" s="81">
        <v>2.6395393875236177</v>
      </c>
      <c r="Q31" s="81">
        <v>4.7328299688371205</v>
      </c>
    </row>
    <row r="32" spans="2:17" x14ac:dyDescent="0.2">
      <c r="J32" s="82" t="s">
        <v>495</v>
      </c>
      <c r="K32" s="83" t="s">
        <v>11</v>
      </c>
      <c r="L32" s="84">
        <v>5.3946939925689774</v>
      </c>
      <c r="M32" s="84">
        <v>1.3141418190988574</v>
      </c>
      <c r="N32" s="84">
        <v>2.0079687841633831</v>
      </c>
      <c r="O32" s="84">
        <v>2.0216278425842615</v>
      </c>
      <c r="P32" s="84">
        <v>0.64462710391539613</v>
      </c>
      <c r="Q32" s="84">
        <v>2.6052000707900369</v>
      </c>
    </row>
    <row r="33" spans="10:17" x14ac:dyDescent="0.2">
      <c r="J33" s="85" t="s">
        <v>496</v>
      </c>
      <c r="K33" s="86" t="s">
        <v>12</v>
      </c>
      <c r="L33" s="87">
        <v>3.5522619364109831</v>
      </c>
      <c r="M33" s="87">
        <v>2.0541528429540299</v>
      </c>
      <c r="N33" s="87">
        <v>1.4466785182213631</v>
      </c>
      <c r="O33" s="87">
        <v>1.4845714599467197</v>
      </c>
      <c r="P33" s="87">
        <v>1.5535533119782063</v>
      </c>
      <c r="Q33" s="87">
        <v>2.5674236581022867</v>
      </c>
    </row>
    <row r="34" spans="10:17" x14ac:dyDescent="0.2">
      <c r="J34" s="88" t="s">
        <v>497</v>
      </c>
      <c r="K34" s="89" t="s">
        <v>12</v>
      </c>
      <c r="L34" s="90">
        <v>-1.8424320561579943</v>
      </c>
      <c r="M34" s="90">
        <f>M33-M32</f>
        <v>0.74001102385517248</v>
      </c>
      <c r="N34" s="90">
        <f t="shared" ref="N34:Q34" si="10">N33-N32</f>
        <v>-0.56129026594202003</v>
      </c>
      <c r="O34" s="90">
        <f t="shared" si="10"/>
        <v>-0.53705638263754185</v>
      </c>
      <c r="P34" s="90">
        <f t="shared" si="10"/>
        <v>0.90892620806281021</v>
      </c>
      <c r="Q34" s="90">
        <f t="shared" si="10"/>
        <v>-3.7776412687750227E-2</v>
      </c>
    </row>
    <row r="35" spans="10:17" x14ac:dyDescent="0.2">
      <c r="J35" s="91" t="s">
        <v>498</v>
      </c>
      <c r="K35" s="92" t="s">
        <v>0</v>
      </c>
      <c r="L35" s="54">
        <v>-0.67766084565613038</v>
      </c>
      <c r="M35" s="54">
        <f t="shared" ref="M35:Q35" si="11">(M34/100*L25)/M40*100</f>
        <v>0.28203955605814734</v>
      </c>
      <c r="N35" s="54">
        <f t="shared" si="11"/>
        <v>-0.20911805254159332</v>
      </c>
      <c r="O35" s="54">
        <f t="shared" si="11"/>
        <v>-0.19628724043372778</v>
      </c>
      <c r="P35" s="54">
        <f t="shared" si="11"/>
        <v>0.32319822024066847</v>
      </c>
      <c r="Q35" s="54">
        <f t="shared" si="11"/>
        <v>-1.3032513715465103E-2</v>
      </c>
    </row>
    <row r="36" spans="10:17" x14ac:dyDescent="0.2">
      <c r="J36" s="93" t="s">
        <v>499</v>
      </c>
      <c r="K36" s="89" t="s">
        <v>0</v>
      </c>
      <c r="L36" s="56">
        <v>0.20479076800477036</v>
      </c>
      <c r="M36" s="56">
        <f t="shared" ref="M36:Q36" si="12">AVERAGE(L35:M35)</f>
        <v>-0.19781064479899152</v>
      </c>
      <c r="N36" s="56">
        <f t="shared" si="12"/>
        <v>3.646075175827701E-2</v>
      </c>
      <c r="O36" s="56">
        <f t="shared" si="12"/>
        <v>-0.20270264648766056</v>
      </c>
      <c r="P36" s="56">
        <f t="shared" si="12"/>
        <v>6.3455489903470344E-2</v>
      </c>
      <c r="Q36" s="56">
        <f t="shared" si="12"/>
        <v>0.15508285326260168</v>
      </c>
    </row>
    <row r="37" spans="10:17" x14ac:dyDescent="0.2">
      <c r="J37" s="94" t="s">
        <v>184</v>
      </c>
      <c r="K37" s="95" t="s">
        <v>11</v>
      </c>
      <c r="L37" s="96">
        <v>0.70238445629776658</v>
      </c>
      <c r="M37" s="96">
        <v>1.16209452955444</v>
      </c>
      <c r="N37" s="96">
        <v>1.1611990036798137</v>
      </c>
      <c r="O37" s="96">
        <v>1.508664164</v>
      </c>
      <c r="P37" s="96">
        <v>1.9821349047758563</v>
      </c>
      <c r="Q37" s="96">
        <v>2.0736082543372003</v>
      </c>
    </row>
    <row r="38" spans="10:17" x14ac:dyDescent="0.2">
      <c r="J38" s="35" t="s">
        <v>236</v>
      </c>
      <c r="L38" s="97">
        <v>-0.5</v>
      </c>
      <c r="M38" s="97">
        <v>-0.5</v>
      </c>
      <c r="N38" s="97">
        <v>-0.5</v>
      </c>
      <c r="O38" s="97">
        <v>-0.5</v>
      </c>
      <c r="P38" s="97">
        <v>-0.5</v>
      </c>
      <c r="Q38" s="97">
        <v>-0.5</v>
      </c>
    </row>
    <row r="39" spans="10:17" x14ac:dyDescent="0.2">
      <c r="J39" s="35" t="s">
        <v>235</v>
      </c>
      <c r="L39" s="35">
        <v>-0.25</v>
      </c>
      <c r="M39" s="97">
        <v>-0.25</v>
      </c>
      <c r="N39" s="35">
        <v>-0.25</v>
      </c>
      <c r="O39" s="35">
        <v>-0.25</v>
      </c>
      <c r="P39" s="35">
        <v>-0.25</v>
      </c>
      <c r="Q39" s="35">
        <v>-0.25</v>
      </c>
    </row>
    <row r="40" spans="10:17" x14ac:dyDescent="0.2">
      <c r="J40" s="50" t="s">
        <v>267</v>
      </c>
      <c r="K40" s="50"/>
      <c r="L40" s="342">
        <f>MMF_TABULKA!L91</f>
        <v>78685.607999999993</v>
      </c>
      <c r="M40" s="342">
        <f>MMF_TABULKA!M91</f>
        <v>80958.004000000001</v>
      </c>
      <c r="N40" s="342">
        <f>MMF_TABULKA!O91</f>
        <v>84599.569358327397</v>
      </c>
      <c r="O40" s="342">
        <f>MMF_TABULKA!P91</f>
        <v>89495.333808169264</v>
      </c>
      <c r="P40" s="342">
        <f>MMF_TABULKA!Q91</f>
        <v>95260.868620557332</v>
      </c>
      <c r="Q40" s="342">
        <f>MMF_TABULKA!R91</f>
        <v>101007.35417605055</v>
      </c>
    </row>
    <row r="41" spans="10:17" x14ac:dyDescent="0.2">
      <c r="Q41" s="343" t="s">
        <v>3</v>
      </c>
    </row>
    <row r="44" spans="10:17" x14ac:dyDescent="0.2">
      <c r="J44" s="42"/>
      <c r="K44" s="58">
        <v>2015</v>
      </c>
      <c r="L44" s="58">
        <v>2016</v>
      </c>
      <c r="M44" s="58" t="s">
        <v>381</v>
      </c>
      <c r="N44" s="58">
        <v>2018</v>
      </c>
      <c r="O44" s="58">
        <v>2019</v>
      </c>
      <c r="P44" s="58">
        <v>2020</v>
      </c>
    </row>
    <row r="45" spans="10:17" x14ac:dyDescent="0.2">
      <c r="J45" s="94" t="s">
        <v>500</v>
      </c>
      <c r="K45" s="96">
        <v>2.8299999999999996</v>
      </c>
      <c r="L45" s="96">
        <v>2.7659467859610323</v>
      </c>
      <c r="M45" s="96">
        <v>2.7035826651428745</v>
      </c>
      <c r="N45" s="96">
        <v>2.7298853348070944</v>
      </c>
      <c r="O45" s="96">
        <v>2.798867186838581</v>
      </c>
      <c r="P45" s="96">
        <v>2.8912052655659841</v>
      </c>
    </row>
    <row r="46" spans="10:17" x14ac:dyDescent="0.2">
      <c r="J46" s="35" t="s">
        <v>501</v>
      </c>
      <c r="K46" s="98">
        <v>6.7939323258187194</v>
      </c>
      <c r="L46" s="98">
        <v>4.510245367483301</v>
      </c>
      <c r="M46" s="98">
        <v>5.0249862415178592</v>
      </c>
      <c r="N46" s="98">
        <v>3.8571999810490309</v>
      </c>
      <c r="O46" s="98">
        <v>2.9278438160337261</v>
      </c>
      <c r="P46" s="98">
        <v>3.178409614382649</v>
      </c>
    </row>
    <row r="47" spans="10:17" x14ac:dyDescent="0.2">
      <c r="J47" s="35" t="s">
        <v>152</v>
      </c>
      <c r="K47" s="36">
        <v>-0.21598934156671357</v>
      </c>
      <c r="L47" s="98">
        <v>-0.38457231464752439</v>
      </c>
      <c r="M47" s="36">
        <v>1.126098917058016</v>
      </c>
      <c r="N47" s="36">
        <v>1.5559055842263358</v>
      </c>
      <c r="O47" s="36">
        <v>1.9821349047758563</v>
      </c>
      <c r="P47" s="36">
        <v>2.0736082543372003</v>
      </c>
    </row>
    <row r="48" spans="10:17" x14ac:dyDescent="0.2">
      <c r="J48" s="50" t="s">
        <v>502</v>
      </c>
      <c r="K48" s="344">
        <v>138.72009571650693</v>
      </c>
      <c r="L48" s="344">
        <v>-173.87615788893081</v>
      </c>
      <c r="M48" s="344">
        <v>184.18066549479812</v>
      </c>
      <c r="N48" s="344">
        <v>-1.0193391106004857</v>
      </c>
      <c r="O48" s="344">
        <v>79.416921385549742</v>
      </c>
      <c r="P48" s="344">
        <v>26.01972681915127</v>
      </c>
    </row>
  </sheetData>
  <mergeCells count="1">
    <mergeCell ref="B26:H26"/>
  </mergeCells>
  <conditionalFormatting sqref="I19 G19">
    <cfRule type="cellIs" dxfId="8" priority="31" operator="between">
      <formula>-0.0000001</formula>
      <formula>-0.5</formula>
    </cfRule>
    <cfRule type="cellIs" dxfId="7" priority="32" operator="lessThan">
      <formula>-0.5000001</formula>
    </cfRule>
    <cfRule type="cellIs" dxfId="6" priority="33" operator="greaterThan">
      <formula>0</formula>
    </cfRule>
  </conditionalFormatting>
  <conditionalFormatting sqref="L12:Q13">
    <cfRule type="cellIs" dxfId="5" priority="19" operator="lessThan">
      <formula>-0.501111</formula>
    </cfRule>
    <cfRule type="cellIs" dxfId="4" priority="20" operator="between">
      <formula>-0.04</formula>
      <formula>-0.5</formula>
    </cfRule>
    <cfRule type="cellIs" dxfId="3" priority="21" operator="greaterThan">
      <formula>-0.04</formula>
    </cfRule>
  </conditionalFormatting>
  <conditionalFormatting sqref="L35:Q36">
    <cfRule type="cellIs" dxfId="2" priority="1" operator="lessThan">
      <formula>-0.501111</formula>
    </cfRule>
    <cfRule type="cellIs" dxfId="1" priority="2" operator="between">
      <formula>-0.04</formula>
      <formula>-0.5</formula>
    </cfRule>
    <cfRule type="cellIs" dxfId="0" priority="3" operator="greaterThan">
      <formula>-0.04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B4:H17"/>
  <sheetViews>
    <sheetView showGridLines="0" zoomScaleNormal="100" workbookViewId="0">
      <selection activeCell="C6" sqref="C6:H6"/>
    </sheetView>
  </sheetViews>
  <sheetFormatPr defaultColWidth="9.140625" defaultRowHeight="12.75" x14ac:dyDescent="0.2"/>
  <cols>
    <col min="1" max="1" width="9.140625" style="35"/>
    <col min="2" max="2" width="43.140625" style="35" customWidth="1"/>
    <col min="3" max="16384" width="9.140625" style="35"/>
  </cols>
  <sheetData>
    <row r="4" spans="2:8" ht="13.5" thickBot="1" x14ac:dyDescent="0.25">
      <c r="B4" s="360" t="s">
        <v>583</v>
      </c>
    </row>
    <row r="5" spans="2:8" ht="13.5" thickBot="1" x14ac:dyDescent="0.25">
      <c r="B5" s="361"/>
      <c r="C5" s="362" t="s">
        <v>185</v>
      </c>
      <c r="D5" s="362" t="s">
        <v>380</v>
      </c>
      <c r="E5" s="362" t="s">
        <v>381</v>
      </c>
      <c r="F5" s="362" t="s">
        <v>186</v>
      </c>
      <c r="G5" s="362" t="s">
        <v>187</v>
      </c>
      <c r="H5" s="362" t="s">
        <v>382</v>
      </c>
    </row>
    <row r="6" spans="2:8" x14ac:dyDescent="0.2">
      <c r="B6" s="363" t="s">
        <v>13</v>
      </c>
      <c r="C6" s="364">
        <f>SUM(C7:C10)</f>
        <v>52.480982290941967</v>
      </c>
      <c r="D6" s="364">
        <f t="shared" ref="D6:H6" si="0">SUM(D7:D10)</f>
        <v>51.94451557871907</v>
      </c>
      <c r="E6" s="364">
        <f t="shared" si="0"/>
        <v>51.116082340070129</v>
      </c>
      <c r="F6" s="364">
        <f t="shared" si="0"/>
        <v>49.945843575777936</v>
      </c>
      <c r="G6" s="364">
        <f t="shared" si="0"/>
        <v>47.827914878975811</v>
      </c>
      <c r="H6" s="364">
        <f t="shared" si="0"/>
        <v>45.509670510470727</v>
      </c>
    </row>
    <row r="7" spans="2:8" x14ac:dyDescent="0.2">
      <c r="B7" s="79" t="s">
        <v>14</v>
      </c>
      <c r="C7" s="365">
        <v>47.415432191186774</v>
      </c>
      <c r="D7" s="365">
        <v>47.136354307182565</v>
      </c>
      <c r="E7" s="365">
        <v>46.453209438402475</v>
      </c>
      <c r="F7" s="365">
        <v>45.660664414641708</v>
      </c>
      <c r="G7" s="365">
        <v>43.925052719124949</v>
      </c>
      <c r="H7" s="365">
        <v>41.949357081936576</v>
      </c>
    </row>
    <row r="8" spans="2:8" x14ac:dyDescent="0.2">
      <c r="B8" s="79" t="s">
        <v>15</v>
      </c>
      <c r="C8" s="365">
        <v>2.3900684538613159</v>
      </c>
      <c r="D8" s="365">
        <v>2.3229820420683494</v>
      </c>
      <c r="E8" s="365">
        <v>2.2229899144892733</v>
      </c>
      <c r="F8" s="365">
        <v>2.1013831833602352</v>
      </c>
      <c r="G8" s="365">
        <v>1.9741998175850488</v>
      </c>
      <c r="H8" s="365">
        <v>1.8618841270301156</v>
      </c>
    </row>
    <row r="9" spans="2:8" x14ac:dyDescent="0.2">
      <c r="B9" s="79" t="s">
        <v>16</v>
      </c>
      <c r="C9" s="365">
        <v>0.83776438507026618</v>
      </c>
      <c r="D9" s="365">
        <v>0.81424932363698099</v>
      </c>
      <c r="E9" s="365">
        <v>0.77920018387790169</v>
      </c>
      <c r="F9" s="365">
        <v>0.73657471507171168</v>
      </c>
      <c r="G9" s="365">
        <v>0.69199452991104093</v>
      </c>
      <c r="H9" s="365">
        <v>0.65262574728078593</v>
      </c>
    </row>
    <row r="10" spans="2:8" ht="13.5" thickBot="1" x14ac:dyDescent="0.25">
      <c r="B10" s="366" t="s">
        <v>17</v>
      </c>
      <c r="C10" s="367">
        <v>1.8377172608236059</v>
      </c>
      <c r="D10" s="367">
        <v>1.6709299058311766</v>
      </c>
      <c r="E10" s="367">
        <v>1.6606828033004735</v>
      </c>
      <c r="F10" s="367">
        <v>1.4472212627042826</v>
      </c>
      <c r="G10" s="367">
        <v>1.2366678123547721</v>
      </c>
      <c r="H10" s="367">
        <v>1.0458035542232471</v>
      </c>
    </row>
    <row r="11" spans="2:8" x14ac:dyDescent="0.2">
      <c r="B11" s="79" t="s">
        <v>141</v>
      </c>
      <c r="C11" s="365">
        <v>-1.1424152441525166</v>
      </c>
      <c r="D11" s="365">
        <f>D6-C6</f>
        <v>-0.53646671222289655</v>
      </c>
      <c r="E11" s="365">
        <f t="shared" ref="E11:H11" si="1">E6-D6</f>
        <v>-0.82843323864894103</v>
      </c>
      <c r="F11" s="365">
        <f t="shared" si="1"/>
        <v>-1.1702387642921934</v>
      </c>
      <c r="G11" s="365">
        <f t="shared" si="1"/>
        <v>-2.1179286968021245</v>
      </c>
      <c r="H11" s="365">
        <f t="shared" si="1"/>
        <v>-2.3182443685050842</v>
      </c>
    </row>
    <row r="12" spans="2:8" ht="13.5" thickBot="1" x14ac:dyDescent="0.25">
      <c r="B12" s="366" t="s">
        <v>142</v>
      </c>
      <c r="C12" s="367">
        <v>48.174203597689683</v>
      </c>
      <c r="D12" s="367">
        <v>47.019375625910939</v>
      </c>
      <c r="E12" s="367">
        <v>46.709840245483377</v>
      </c>
      <c r="F12" s="367">
        <v>45.480871476442992</v>
      </c>
      <c r="G12" s="367">
        <v>43.3</v>
      </c>
      <c r="H12" s="367">
        <v>41.1</v>
      </c>
    </row>
    <row r="13" spans="2:8" hidden="1" x14ac:dyDescent="0.2">
      <c r="B13" s="79" t="s">
        <v>395</v>
      </c>
      <c r="C13" s="368">
        <v>52.480978390988689</v>
      </c>
      <c r="D13" s="368">
        <v>51.944514238273406</v>
      </c>
      <c r="E13" s="368">
        <v>51.753576813312797</v>
      </c>
      <c r="F13" s="368">
        <v>49.936921613254334</v>
      </c>
      <c r="G13" s="368">
        <v>47.993310076994348</v>
      </c>
      <c r="H13" s="368">
        <v>45.978313115681111</v>
      </c>
    </row>
    <row r="14" spans="2:8" x14ac:dyDescent="0.2">
      <c r="B14" s="363" t="s">
        <v>396</v>
      </c>
      <c r="C14" s="369">
        <v>3.8999532705474849E-6</v>
      </c>
      <c r="D14" s="369">
        <v>1.3404456566945555E-6</v>
      </c>
      <c r="E14" s="369">
        <v>-0.6374944732426755</v>
      </c>
      <c r="F14" s="369">
        <v>8.921962523594118E-3</v>
      </c>
      <c r="G14" s="369">
        <v>-0.16539519801854397</v>
      </c>
      <c r="H14" s="369">
        <v>-0.46864260521039824</v>
      </c>
    </row>
    <row r="15" spans="2:8" ht="16.5" customHeight="1" x14ac:dyDescent="0.2">
      <c r="B15" s="370" t="s">
        <v>397</v>
      </c>
      <c r="C15" s="365">
        <v>0</v>
      </c>
      <c r="D15" s="365">
        <v>0</v>
      </c>
      <c r="E15" s="365">
        <v>1.161376892028332E-2</v>
      </c>
      <c r="F15" s="365">
        <v>8.0680420328334862E-2</v>
      </c>
      <c r="G15" s="365">
        <v>9.4475260559014618E-2</v>
      </c>
      <c r="H15" s="365">
        <v>0.12538215191991198</v>
      </c>
    </row>
    <row r="16" spans="2:8" ht="13.5" thickBot="1" x14ac:dyDescent="0.25">
      <c r="B16" s="371" t="s">
        <v>398</v>
      </c>
      <c r="C16" s="367">
        <v>-3.8999532750342209E-6</v>
      </c>
      <c r="D16" s="367">
        <v>-1.3404456560017399E-6</v>
      </c>
      <c r="E16" s="367">
        <v>0.62573853414018754</v>
      </c>
      <c r="F16" s="367">
        <v>-8.9457876351500987E-2</v>
      </c>
      <c r="G16" s="367">
        <v>7.0780124325195787E-2</v>
      </c>
      <c r="H16" s="367">
        <v>0.34231734636299421</v>
      </c>
    </row>
    <row r="17" spans="2:8" x14ac:dyDescent="0.2">
      <c r="B17" s="825"/>
      <c r="C17" s="825"/>
      <c r="D17" s="825"/>
      <c r="E17" s="825"/>
      <c r="F17" s="79"/>
      <c r="G17" s="826" t="s">
        <v>3</v>
      </c>
      <c r="H17" s="826"/>
    </row>
  </sheetData>
  <mergeCells count="2">
    <mergeCell ref="B17:E17"/>
    <mergeCell ref="G17:H17"/>
  </mergeCells>
  <pageMargins left="0.7" right="0.7" top="0.75" bottom="0.75" header="0.3" footer="0.3"/>
  <ignoredErrors>
    <ignoredError sqref="C6:H6" formulaRange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4:N35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9.140625" style="35"/>
    <col min="2" max="2" width="33.85546875" style="35" customWidth="1"/>
    <col min="3" max="8" width="10" style="35" customWidth="1"/>
    <col min="9" max="16384" width="9.140625" style="35"/>
  </cols>
  <sheetData>
    <row r="4" spans="2:8" ht="13.5" thickBot="1" x14ac:dyDescent="0.25">
      <c r="B4" s="360" t="s">
        <v>582</v>
      </c>
    </row>
    <row r="5" spans="2:8" ht="13.5" thickBot="1" x14ac:dyDescent="0.25">
      <c r="B5" s="372"/>
      <c r="C5" s="373" t="s">
        <v>185</v>
      </c>
      <c r="D5" s="373" t="s">
        <v>380</v>
      </c>
      <c r="E5" s="373" t="s">
        <v>381</v>
      </c>
      <c r="F5" s="373" t="s">
        <v>186</v>
      </c>
      <c r="G5" s="373" t="s">
        <v>187</v>
      </c>
      <c r="H5" s="373" t="s">
        <v>382</v>
      </c>
    </row>
    <row r="6" spans="2:8" x14ac:dyDescent="0.2">
      <c r="B6" s="363" t="s">
        <v>18</v>
      </c>
      <c r="C6" s="374">
        <v>40725.017999999996</v>
      </c>
      <c r="D6" s="374">
        <f>C19</f>
        <v>41295.344182659996</v>
      </c>
      <c r="E6" s="374">
        <f t="shared" ref="E6:H6" si="0">D19</f>
        <v>42053.200185439789</v>
      </c>
      <c r="F6" s="374">
        <f t="shared" si="0"/>
        <v>43243.942717987149</v>
      </c>
      <c r="G6" s="374">
        <f t="shared" si="0"/>
        <v>44699.156616888307</v>
      </c>
      <c r="H6" s="374">
        <f t="shared" si="0"/>
        <v>45561.24434225291</v>
      </c>
    </row>
    <row r="7" spans="2:8" ht="26.25" thickBot="1" x14ac:dyDescent="0.25">
      <c r="B7" s="375" t="s">
        <v>19</v>
      </c>
      <c r="C7" s="376">
        <f>SUM(C8:C13,C18)</f>
        <v>570.32618266000031</v>
      </c>
      <c r="D7" s="376">
        <f t="shared" ref="D7:H7" si="1">SUM(D8:D13,D18)</f>
        <v>757.85600277979074</v>
      </c>
      <c r="E7" s="376">
        <f t="shared" si="1"/>
        <v>1190.7425325473573</v>
      </c>
      <c r="F7" s="376">
        <f t="shared" si="1"/>
        <v>1455.2138989011603</v>
      </c>
      <c r="G7" s="376">
        <f t="shared" si="1"/>
        <v>862.08772536460526</v>
      </c>
      <c r="H7" s="376">
        <f t="shared" si="1"/>
        <v>406.82692005164785</v>
      </c>
    </row>
    <row r="8" spans="2:8" x14ac:dyDescent="0.2">
      <c r="B8" s="79" t="s">
        <v>449</v>
      </c>
      <c r="C8" s="377">
        <v>1932.596</v>
      </c>
      <c r="D8" s="377">
        <v>980.255</v>
      </c>
      <c r="E8" s="377">
        <v>1984.23</v>
      </c>
      <c r="F8" s="377">
        <v>1972.905</v>
      </c>
      <c r="G8" s="378">
        <v>1420.5440000000001</v>
      </c>
      <c r="H8" s="377">
        <v>1448.748</v>
      </c>
    </row>
    <row r="9" spans="2:8" ht="25.5" x14ac:dyDescent="0.2">
      <c r="B9" s="79" t="s">
        <v>20</v>
      </c>
      <c r="C9" s="377">
        <v>-1261.9756430099997</v>
      </c>
      <c r="D9" s="377">
        <v>20.472519840000359</v>
      </c>
      <c r="E9" s="377">
        <v>-867.27216309427877</v>
      </c>
      <c r="F9" s="377">
        <v>-452.65955216429302</v>
      </c>
      <c r="G9" s="377">
        <v>-611.64551930964444</v>
      </c>
      <c r="H9" s="377">
        <v>-983.15847342103007</v>
      </c>
    </row>
    <row r="10" spans="2:8" x14ac:dyDescent="0.2">
      <c r="B10" s="79" t="s">
        <v>450</v>
      </c>
      <c r="C10" s="377">
        <v>-116</v>
      </c>
      <c r="D10" s="377">
        <v>0</v>
      </c>
      <c r="E10" s="377">
        <v>0</v>
      </c>
      <c r="F10" s="377">
        <v>0</v>
      </c>
      <c r="G10" s="377">
        <v>0</v>
      </c>
      <c r="H10" s="377">
        <v>0</v>
      </c>
    </row>
    <row r="11" spans="2:8" x14ac:dyDescent="0.2">
      <c r="B11" s="79" t="s">
        <v>21</v>
      </c>
      <c r="C11" s="377">
        <v>17.647361610000004</v>
      </c>
      <c r="D11" s="377">
        <v>43.726086390000013</v>
      </c>
      <c r="E11" s="377">
        <v>89.420169301636093</v>
      </c>
      <c r="F11" s="377">
        <v>51.042355175042303</v>
      </c>
      <c r="G11" s="377">
        <v>170.8546432595538</v>
      </c>
      <c r="H11" s="377">
        <v>121.26827494210428</v>
      </c>
    </row>
    <row r="12" spans="2:8" x14ac:dyDescent="0.2">
      <c r="B12" s="79" t="s">
        <v>22</v>
      </c>
      <c r="C12" s="377">
        <v>-86.015535939999992</v>
      </c>
      <c r="D12" s="377">
        <v>-61.400103450209656</v>
      </c>
      <c r="E12" s="377">
        <v>-62.814473660000004</v>
      </c>
      <c r="F12" s="377">
        <v>-6.8389041095890404</v>
      </c>
      <c r="G12" s="377">
        <v>-0.53039858530414108</v>
      </c>
      <c r="H12" s="377">
        <v>-59.108881469426457</v>
      </c>
    </row>
    <row r="13" spans="2:8" x14ac:dyDescent="0.2">
      <c r="B13" s="79" t="s">
        <v>23</v>
      </c>
      <c r="C13" s="377">
        <v>24.348000000000035</v>
      </c>
      <c r="D13" s="377">
        <v>-93.267500000000013</v>
      </c>
      <c r="E13" s="377">
        <v>52.178999999999974</v>
      </c>
      <c r="F13" s="377">
        <v>-109.73499999999999</v>
      </c>
      <c r="G13" s="377">
        <v>-117.13499999999999</v>
      </c>
      <c r="H13" s="377">
        <v>-121.72200000000001</v>
      </c>
    </row>
    <row r="14" spans="2:8" x14ac:dyDescent="0.2">
      <c r="B14" s="370" t="s">
        <v>447</v>
      </c>
      <c r="C14" s="377">
        <v>-9.2910000000000004</v>
      </c>
      <c r="D14" s="377">
        <v>32.155000000000001</v>
      </c>
      <c r="E14" s="377">
        <v>33.030999999999999</v>
      </c>
      <c r="F14" s="377">
        <v>6.867000000000008</v>
      </c>
      <c r="G14" s="377">
        <v>17.597000000000001</v>
      </c>
      <c r="H14" s="377">
        <v>18.63</v>
      </c>
    </row>
    <row r="15" spans="2:8" x14ac:dyDescent="0.2">
      <c r="B15" s="370" t="s">
        <v>24</v>
      </c>
      <c r="C15" s="377">
        <v>-77.163999999999987</v>
      </c>
      <c r="D15" s="377">
        <v>-40.156999999999996</v>
      </c>
      <c r="E15" s="377">
        <v>69.167000000000002</v>
      </c>
      <c r="F15" s="377">
        <v>-37.177</v>
      </c>
      <c r="G15" s="377">
        <v>-37.177</v>
      </c>
      <c r="H15" s="377">
        <v>-37.177</v>
      </c>
    </row>
    <row r="16" spans="2:8" ht="16.5" customHeight="1" x14ac:dyDescent="0.2">
      <c r="B16" s="370" t="s">
        <v>143</v>
      </c>
      <c r="C16" s="377">
        <v>32.843000000000004</v>
      </c>
      <c r="D16" s="377">
        <v>-23.012</v>
      </c>
      <c r="E16" s="377">
        <v>-2.911999999999999</v>
      </c>
      <c r="F16" s="377">
        <v>-8.2680000000000007</v>
      </c>
      <c r="G16" s="377">
        <v>-13.266000000000002</v>
      </c>
      <c r="H16" s="377">
        <v>-13.706</v>
      </c>
    </row>
    <row r="17" spans="2:14" ht="16.5" customHeight="1" x14ac:dyDescent="0.2">
      <c r="B17" s="370" t="s">
        <v>448</v>
      </c>
      <c r="C17" s="377">
        <v>143.71599999999998</v>
      </c>
      <c r="D17" s="377">
        <v>116.619</v>
      </c>
      <c r="E17" s="377">
        <v>138.143</v>
      </c>
      <c r="F17" s="377">
        <v>138.143</v>
      </c>
      <c r="G17" s="377">
        <v>138.143</v>
      </c>
      <c r="H17" s="377">
        <v>138.143</v>
      </c>
    </row>
    <row r="18" spans="2:14" ht="16.5" customHeight="1" thickBot="1" x14ac:dyDescent="0.25">
      <c r="B18" s="79" t="s">
        <v>144</v>
      </c>
      <c r="C18" s="377">
        <v>59.725999999999999</v>
      </c>
      <c r="D18" s="377">
        <v>-131.93</v>
      </c>
      <c r="E18" s="377">
        <v>-5</v>
      </c>
      <c r="F18" s="377">
        <v>0.5</v>
      </c>
      <c r="G18" s="379">
        <v>0</v>
      </c>
      <c r="H18" s="377">
        <v>0.8</v>
      </c>
    </row>
    <row r="19" spans="2:14" ht="16.5" customHeight="1" x14ac:dyDescent="0.2">
      <c r="B19" s="380" t="s">
        <v>25</v>
      </c>
      <c r="C19" s="381">
        <f>C6+C7</f>
        <v>41295.344182659996</v>
      </c>
      <c r="D19" s="381">
        <f t="shared" ref="D19:H19" si="2">D6+D7</f>
        <v>42053.200185439789</v>
      </c>
      <c r="E19" s="381">
        <f t="shared" si="2"/>
        <v>43243.942717987149</v>
      </c>
      <c r="F19" s="381">
        <f t="shared" si="2"/>
        <v>44699.156616888307</v>
      </c>
      <c r="G19" s="381">
        <f t="shared" si="2"/>
        <v>45561.24434225291</v>
      </c>
      <c r="H19" s="381">
        <f t="shared" si="2"/>
        <v>45968.071262304555</v>
      </c>
    </row>
    <row r="20" spans="2:14" ht="16.5" customHeight="1" thickBot="1" x14ac:dyDescent="0.25">
      <c r="B20" s="375" t="s">
        <v>4</v>
      </c>
      <c r="C20" s="382">
        <f>C19/MMF_TABULKA!L91*100</f>
        <v>52.48144512356059</v>
      </c>
      <c r="D20" s="382">
        <f>D19/MMF_TABULKA!M91*100</f>
        <v>51.944462693818124</v>
      </c>
      <c r="E20" s="382">
        <f>E19/MMF_TABULKA!O91*100</f>
        <v>51.116031731585295</v>
      </c>
      <c r="F20" s="382">
        <f>F19/MMF_TABULKA!P91*100</f>
        <v>49.945795735786284</v>
      </c>
      <c r="G20" s="382">
        <f>G19/MMF_TABULKA!Q91*100</f>
        <v>47.82786993443473</v>
      </c>
      <c r="H20" s="382">
        <f>H19/MMF_TABULKA!R91*100</f>
        <v>45.509628122903415</v>
      </c>
      <c r="I20" s="231"/>
      <c r="J20" s="231"/>
      <c r="K20" s="231"/>
      <c r="L20" s="231"/>
      <c r="M20" s="231"/>
      <c r="N20" s="231"/>
    </row>
    <row r="21" spans="2:14" ht="16.5" customHeight="1" thickBot="1" x14ac:dyDescent="0.25">
      <c r="B21" s="383" t="s">
        <v>26</v>
      </c>
      <c r="C21" s="384">
        <v>-1.1000000000000001</v>
      </c>
      <c r="D21" s="384">
        <f>D20-C20</f>
        <v>-0.53698242974246568</v>
      </c>
      <c r="E21" s="384">
        <f t="shared" ref="E21:H21" si="3">E20-D20</f>
        <v>-0.82843096223282942</v>
      </c>
      <c r="F21" s="384">
        <f t="shared" si="3"/>
        <v>-1.1702359957990112</v>
      </c>
      <c r="G21" s="384">
        <f t="shared" si="3"/>
        <v>-2.1179258013515536</v>
      </c>
      <c r="H21" s="384">
        <f t="shared" si="3"/>
        <v>-2.3182418115313155</v>
      </c>
    </row>
    <row r="22" spans="2:14" ht="16.5" customHeight="1" x14ac:dyDescent="0.2">
      <c r="B22" s="827" t="s">
        <v>27</v>
      </c>
      <c r="C22" s="827"/>
      <c r="D22" s="827"/>
      <c r="E22" s="827"/>
      <c r="F22" s="827"/>
      <c r="G22" s="826" t="s">
        <v>3</v>
      </c>
      <c r="H22" s="826"/>
    </row>
    <row r="23" spans="2:14" s="97" customFormat="1" ht="16.5" customHeight="1" x14ac:dyDescent="0.2">
      <c r="C23" s="299"/>
      <c r="D23" s="299"/>
      <c r="E23" s="299"/>
      <c r="F23" s="299"/>
      <c r="G23" s="299"/>
      <c r="H23" s="299"/>
    </row>
    <row r="24" spans="2:14" s="97" customFormat="1" ht="16.5" customHeight="1" x14ac:dyDescent="0.2">
      <c r="C24" s="385"/>
      <c r="D24" s="385"/>
      <c r="E24" s="385"/>
      <c r="F24" s="385"/>
      <c r="G24" s="385"/>
      <c r="H24" s="385"/>
    </row>
    <row r="25" spans="2:14" s="97" customFormat="1" x14ac:dyDescent="0.2"/>
    <row r="26" spans="2:14" s="97" customFormat="1" ht="15" customHeight="1" x14ac:dyDescent="0.2">
      <c r="B26" s="386"/>
      <c r="C26" s="386"/>
      <c r="D26" s="387"/>
    </row>
    <row r="27" spans="2:14" s="97" customFormat="1" ht="15" customHeight="1" x14ac:dyDescent="0.2">
      <c r="B27" s="386"/>
      <c r="C27" s="386"/>
      <c r="D27" s="386"/>
      <c r="E27" s="387"/>
      <c r="F27" s="388"/>
    </row>
    <row r="28" spans="2:14" ht="15" customHeight="1" x14ac:dyDescent="0.2"/>
    <row r="29" spans="2:14" ht="15" customHeight="1" x14ac:dyDescent="0.2"/>
    <row r="30" spans="2:14" ht="20.25" customHeight="1" x14ac:dyDescent="0.2"/>
    <row r="31" spans="2:14" ht="15" customHeight="1" x14ac:dyDescent="0.2"/>
    <row r="32" spans="2:14" ht="15" customHeight="1" x14ac:dyDescent="0.2"/>
    <row r="33" ht="15" customHeight="1" x14ac:dyDescent="0.2"/>
    <row r="34" ht="20.25" customHeight="1" x14ac:dyDescent="0.2"/>
    <row r="35" ht="20.25" customHeight="1" x14ac:dyDescent="0.2"/>
  </sheetData>
  <mergeCells count="2">
    <mergeCell ref="G22:H22"/>
    <mergeCell ref="B22:F2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B4:Q23"/>
  <sheetViews>
    <sheetView showGridLines="0" zoomScaleNormal="100" zoomScalePageLayoutView="90" workbookViewId="0">
      <selection activeCell="P7" sqref="P7"/>
    </sheetView>
  </sheetViews>
  <sheetFormatPr defaultColWidth="8.85546875" defaultRowHeight="12.75" x14ac:dyDescent="0.2"/>
  <cols>
    <col min="1" max="1" width="8.85546875" style="35"/>
    <col min="2" max="2" width="9.5703125" style="35" customWidth="1"/>
    <col min="3" max="3" width="7.42578125" style="35" customWidth="1"/>
    <col min="4" max="4" width="6.28515625" style="35" customWidth="1"/>
    <col min="5" max="5" width="8.28515625" style="35" customWidth="1"/>
    <col min="6" max="6" width="8.140625" style="35" customWidth="1"/>
    <col min="7" max="9" width="8.28515625" style="35" customWidth="1"/>
    <col min="10" max="10" width="44.7109375" style="35" bestFit="1" customWidth="1"/>
    <col min="11" max="16" width="6.7109375" style="35" customWidth="1"/>
    <col min="17" max="17" width="3.42578125" style="35" bestFit="1" customWidth="1"/>
    <col min="18" max="16384" width="8.85546875" style="35"/>
  </cols>
  <sheetData>
    <row r="4" spans="2:17" ht="13.5" thickBot="1" x14ac:dyDescent="0.25">
      <c r="B4" s="127" t="s">
        <v>581</v>
      </c>
      <c r="J4" s="205" t="s">
        <v>268</v>
      </c>
      <c r="K4" s="117"/>
      <c r="L4" s="117"/>
      <c r="M4" s="117"/>
      <c r="N4" s="117"/>
      <c r="O4" s="117"/>
      <c r="P4" s="117"/>
    </row>
    <row r="6" spans="2:17" x14ac:dyDescent="0.2">
      <c r="K6" s="44">
        <v>2015</v>
      </c>
      <c r="L6" s="44">
        <v>2016</v>
      </c>
      <c r="M6" s="44">
        <v>2017</v>
      </c>
      <c r="N6" s="44">
        <v>2018</v>
      </c>
      <c r="O6" s="44">
        <v>2019</v>
      </c>
      <c r="P6" s="44">
        <v>2020</v>
      </c>
    </row>
    <row r="7" spans="2:17" x14ac:dyDescent="0.2">
      <c r="J7" s="50" t="s">
        <v>145</v>
      </c>
      <c r="K7" s="390">
        <f>'Tabuľka 8'!C21</f>
        <v>-1.1000000000000001</v>
      </c>
      <c r="L7" s="390">
        <f>'Tabuľka 8'!D21</f>
        <v>-0.53698242974246568</v>
      </c>
      <c r="M7" s="390">
        <f>'Tabuľka 8'!E21</f>
        <v>-0.82843096223282942</v>
      </c>
      <c r="N7" s="390">
        <f>'Tabuľka 8'!F21</f>
        <v>-1.1702359957990112</v>
      </c>
      <c r="O7" s="390">
        <f>'Tabuľka 8'!G21</f>
        <v>-2.1179258013515536</v>
      </c>
      <c r="P7" s="390">
        <f>'Tabuľka 8'!H21</f>
        <v>-2.3182418115313155</v>
      </c>
      <c r="Q7" s="36"/>
    </row>
    <row r="8" spans="2:17" x14ac:dyDescent="0.2">
      <c r="J8" s="391" t="s">
        <v>146</v>
      </c>
      <c r="K8" s="392"/>
      <c r="L8" s="392"/>
      <c r="M8" s="392"/>
      <c r="N8" s="392"/>
      <c r="O8" s="392"/>
      <c r="P8" s="392"/>
    </row>
    <row r="9" spans="2:17" x14ac:dyDescent="0.2">
      <c r="J9" s="35" t="s">
        <v>147</v>
      </c>
      <c r="K9" s="36">
        <f>('Tabuľka 4'!E6+'Graf 17'!K10)*-1</f>
        <v>0.99151931316333797</v>
      </c>
      <c r="L9" s="36">
        <f>('Tabuľka 4'!F6+'Graf 17'!L10)*-1</f>
        <v>0.54115094043079504</v>
      </c>
      <c r="M9" s="36">
        <f>('Tabuľka 4'!G6+'Graf 17'!M10)*-1</f>
        <v>0.31436330233970033</v>
      </c>
      <c r="N9" s="36">
        <f>('Tabuľka 4'!H6+'Graf 17'!N10)*-1</f>
        <v>-0.4391692653412077</v>
      </c>
      <c r="O9" s="36">
        <f>('Tabuľka 4'!I6+'Graf 17'!O10)*-1</f>
        <v>-1.081576322911741</v>
      </c>
      <c r="P9" s="36">
        <f>('Tabuľka 4'!J6+'Graf 17'!P10)*-1</f>
        <v>-1.0684410148185881</v>
      </c>
    </row>
    <row r="10" spans="2:17" ht="17.100000000000001" customHeight="1" x14ac:dyDescent="0.2">
      <c r="J10" s="35" t="s">
        <v>148</v>
      </c>
      <c r="K10" s="36">
        <f>MMF_TABULKA!L59/MMF_TABULKA!L91*100</f>
        <v>1.7530613730531257</v>
      </c>
      <c r="L10" s="36">
        <f>MMF_TABULKA!M59/MMF_TABULKA!M91*100</f>
        <v>1.6500011536845696</v>
      </c>
      <c r="M10" s="36">
        <f>MMF_TABULKA!O59/MMF_TABULKA!O91*100</f>
        <v>1.31159060077506</v>
      </c>
      <c r="N10" s="36">
        <f>MMF_TABULKA!P59/MMF_TABULKA!P91*100</f>
        <v>1.2691689629703558</v>
      </c>
      <c r="O10" s="36">
        <f>MMF_TABULKA!Q59/MMF_TABULKA!Q91*100</f>
        <v>1.1815764608271684</v>
      </c>
      <c r="P10" s="36">
        <f>MMF_TABULKA!R59/MMF_TABULKA!R91*100</f>
        <v>1.0684410148185881</v>
      </c>
    </row>
    <row r="11" spans="2:17" ht="17.100000000000001" customHeight="1" x14ac:dyDescent="0.2">
      <c r="J11" s="35" t="s">
        <v>149</v>
      </c>
      <c r="K11" s="36">
        <v>-1.8667688006504277</v>
      </c>
      <c r="L11" s="36">
        <v>-1.4730794775277323</v>
      </c>
      <c r="M11" s="36">
        <v>-2.235937486695271</v>
      </c>
      <c r="N11" s="36">
        <v>-2.7962608561482538</v>
      </c>
      <c r="O11" s="36">
        <v>-3.0229044101755544</v>
      </c>
      <c r="P11" s="36">
        <v>-2.7210139721347164</v>
      </c>
    </row>
    <row r="12" spans="2:17" ht="17.100000000000001" customHeight="1" x14ac:dyDescent="0.2">
      <c r="J12" s="35" t="s">
        <v>150</v>
      </c>
      <c r="K12" s="36">
        <v>-2.020227129718557</v>
      </c>
      <c r="L12" s="36">
        <v>-1.2545393288105282</v>
      </c>
      <c r="M12" s="36">
        <v>-0.21844965506843006</v>
      </c>
      <c r="N12" s="36">
        <v>0.79602239422691401</v>
      </c>
      <c r="O12" s="36">
        <v>0.80497557545799348</v>
      </c>
      <c r="P12" s="36">
        <v>0.40276960362962511</v>
      </c>
    </row>
    <row r="13" spans="2:17" ht="17.100000000000001" customHeight="1" x14ac:dyDescent="0.2">
      <c r="J13" s="35" t="s">
        <v>151</v>
      </c>
      <c r="K13" s="36">
        <v>-1.9744414802591592</v>
      </c>
      <c r="L13" s="36">
        <v>-1.6630257286846351</v>
      </c>
      <c r="M13" s="36">
        <v>-1.6944293432987514</v>
      </c>
      <c r="N13" s="36">
        <v>-2.0749685079826774</v>
      </c>
      <c r="O13" s="36">
        <v>-2.1325399499122972</v>
      </c>
      <c r="P13" s="36">
        <v>-1.8212914009610059</v>
      </c>
    </row>
    <row r="14" spans="2:17" ht="17.100000000000001" customHeight="1" x14ac:dyDescent="0.2">
      <c r="J14" s="50" t="s">
        <v>152</v>
      </c>
      <c r="K14" s="390">
        <v>0.1076726796087315</v>
      </c>
      <c r="L14" s="390">
        <v>0.18994625115690278</v>
      </c>
      <c r="M14" s="390">
        <v>-0.54150814339651965</v>
      </c>
      <c r="N14" s="390">
        <v>-0.72129234816557641</v>
      </c>
      <c r="O14" s="390">
        <v>-0.89036446026325722</v>
      </c>
      <c r="P14" s="390">
        <v>-0.89972257117371046</v>
      </c>
    </row>
    <row r="15" spans="2:17" ht="17.100000000000001" customHeight="1" x14ac:dyDescent="0.2">
      <c r="C15" s="389"/>
    </row>
    <row r="16" spans="2:17" ht="17.100000000000001" customHeight="1" x14ac:dyDescent="0.2">
      <c r="K16" s="36"/>
      <c r="L16" s="36"/>
      <c r="M16" s="36"/>
      <c r="N16" s="36"/>
      <c r="O16" s="36"/>
      <c r="P16" s="36"/>
      <c r="Q16" s="36"/>
    </row>
    <row r="17" spans="2:16" ht="17.100000000000001" customHeight="1" x14ac:dyDescent="0.2"/>
    <row r="18" spans="2:16" ht="17.100000000000001" customHeight="1" x14ac:dyDescent="0.2"/>
    <row r="19" spans="2:16" ht="17.100000000000001" customHeight="1" x14ac:dyDescent="0.2"/>
    <row r="23" spans="2:16" x14ac:dyDescent="0.2"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/>
  <dimension ref="B4:T30"/>
  <sheetViews>
    <sheetView showGridLines="0" zoomScaleNormal="100" zoomScalePageLayoutView="90" workbookViewId="0">
      <selection activeCell="M15" sqref="M15"/>
    </sheetView>
  </sheetViews>
  <sheetFormatPr defaultColWidth="8.85546875" defaultRowHeight="12.75" x14ac:dyDescent="0.2"/>
  <cols>
    <col min="1" max="1" width="8.85546875" style="35" customWidth="1"/>
    <col min="2" max="2" width="9.140625" style="35" customWidth="1"/>
    <col min="3" max="3" width="6.28515625" style="35" customWidth="1"/>
    <col min="4" max="4" width="8.28515625" style="35" customWidth="1"/>
    <col min="5" max="5" width="8.140625" style="35" customWidth="1"/>
    <col min="6" max="7" width="8.28515625" style="35" customWidth="1"/>
    <col min="8" max="8" width="4.28515625" style="35" hidden="1" customWidth="1"/>
    <col min="9" max="9" width="8" style="35" customWidth="1"/>
    <col min="10" max="10" width="8.28515625" style="35" customWidth="1"/>
    <col min="11" max="11" width="13" style="35" customWidth="1"/>
    <col min="12" max="12" width="9" style="35" customWidth="1"/>
    <col min="13" max="13" width="26" style="35" customWidth="1"/>
    <col min="14" max="14" width="9" style="35" customWidth="1"/>
    <col min="15" max="19" width="5" style="35" bestFit="1" customWidth="1"/>
    <col min="20" max="16384" width="8.85546875" style="35"/>
  </cols>
  <sheetData>
    <row r="4" spans="2:20" ht="13.5" thickBot="1" x14ac:dyDescent="0.25">
      <c r="B4" s="127" t="s">
        <v>580</v>
      </c>
      <c r="M4" s="117" t="s">
        <v>268</v>
      </c>
      <c r="N4" s="205"/>
      <c r="O4" s="205"/>
      <c r="P4" s="205"/>
      <c r="Q4" s="205"/>
      <c r="R4" s="205"/>
      <c r="S4" s="205"/>
    </row>
    <row r="5" spans="2:20" x14ac:dyDescent="0.2">
      <c r="N5" s="44">
        <v>2015</v>
      </c>
      <c r="O5" s="44">
        <v>2016</v>
      </c>
      <c r="P5" s="44">
        <v>2017</v>
      </c>
      <c r="Q5" s="44">
        <v>2018</v>
      </c>
      <c r="R5" s="44">
        <v>2019</v>
      </c>
      <c r="S5" s="44">
        <v>2020</v>
      </c>
    </row>
    <row r="6" spans="2:20" x14ac:dyDescent="0.2">
      <c r="M6" s="35" t="s">
        <v>13</v>
      </c>
      <c r="N6" s="36">
        <f>'Tabuľka 7 '!C6</f>
        <v>52.480982290941967</v>
      </c>
      <c r="O6" s="36">
        <f>'Tabuľka 7 '!D6</f>
        <v>51.94451557871907</v>
      </c>
      <c r="P6" s="36">
        <f>'Tabuľka 7 '!E6</f>
        <v>51.116082340070129</v>
      </c>
      <c r="Q6" s="36">
        <f>'Tabuľka 7 '!F6</f>
        <v>49.945843575777936</v>
      </c>
      <c r="R6" s="36">
        <f>'Tabuľka 7 '!G6</f>
        <v>47.827914878975811</v>
      </c>
      <c r="S6" s="36">
        <f>'Tabuľka 7 '!H6</f>
        <v>45.509670510470727</v>
      </c>
    </row>
    <row r="7" spans="2:20" x14ac:dyDescent="0.2">
      <c r="M7" s="50" t="s">
        <v>153</v>
      </c>
      <c r="N7" s="390">
        <v>48.174203597689683</v>
      </c>
      <c r="O7" s="390">
        <v>47.019375625910939</v>
      </c>
      <c r="P7" s="390">
        <v>46.709840245483377</v>
      </c>
      <c r="Q7" s="390">
        <v>45.480871476442992</v>
      </c>
      <c r="R7" s="390">
        <v>43.3</v>
      </c>
      <c r="S7" s="390">
        <v>41.1</v>
      </c>
      <c r="T7" s="36"/>
    </row>
    <row r="8" spans="2:20" x14ac:dyDescent="0.2">
      <c r="M8" s="35" t="s">
        <v>1047</v>
      </c>
      <c r="N8" s="36">
        <f t="shared" ref="N8:S8" si="0">N6-N7</f>
        <v>4.3067786932522836</v>
      </c>
      <c r="O8" s="36">
        <f t="shared" si="0"/>
        <v>4.9251399528081308</v>
      </c>
      <c r="P8" s="36">
        <f t="shared" si="0"/>
        <v>4.4062420945867515</v>
      </c>
      <c r="Q8" s="36">
        <f t="shared" si="0"/>
        <v>4.4649720993349433</v>
      </c>
      <c r="R8" s="36">
        <f t="shared" si="0"/>
        <v>4.5279148789758139</v>
      </c>
      <c r="S8" s="36">
        <f t="shared" si="0"/>
        <v>4.4096705104707254</v>
      </c>
    </row>
    <row r="17" spans="2:7" ht="17.100000000000001" customHeight="1" x14ac:dyDescent="0.2"/>
    <row r="18" spans="2:7" ht="17.100000000000001" customHeight="1" x14ac:dyDescent="0.2"/>
    <row r="19" spans="2:7" ht="17.100000000000001" customHeight="1" x14ac:dyDescent="0.2"/>
    <row r="20" spans="2:7" ht="17.100000000000001" customHeight="1" x14ac:dyDescent="0.2"/>
    <row r="21" spans="2:7" ht="17.100000000000001" customHeight="1" x14ac:dyDescent="0.2"/>
    <row r="22" spans="2:7" ht="17.100000000000001" customHeight="1" x14ac:dyDescent="0.2">
      <c r="B22" s="389"/>
    </row>
    <row r="23" spans="2:7" ht="17.100000000000001" customHeight="1" x14ac:dyDescent="0.2"/>
    <row r="24" spans="2:7" ht="17.100000000000001" customHeight="1" x14ac:dyDescent="0.2"/>
    <row r="25" spans="2:7" ht="17.100000000000001" customHeight="1" x14ac:dyDescent="0.2"/>
    <row r="26" spans="2:7" ht="17.100000000000001" customHeight="1" x14ac:dyDescent="0.2"/>
    <row r="30" spans="2:7" x14ac:dyDescent="0.2">
      <c r="G30" s="36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2"/>
  <dimension ref="B4:X32"/>
  <sheetViews>
    <sheetView showGridLines="0" zoomScaleNormal="100" zoomScalePageLayoutView="90" workbookViewId="0"/>
  </sheetViews>
  <sheetFormatPr defaultColWidth="8.85546875" defaultRowHeight="12.75" x14ac:dyDescent="0.2"/>
  <cols>
    <col min="1" max="1" width="8.85546875" style="35"/>
    <col min="2" max="2" width="7.85546875" style="35" customWidth="1"/>
    <col min="3" max="3" width="13" style="35" customWidth="1"/>
    <col min="4" max="6" width="9" style="35" customWidth="1"/>
    <col min="7" max="8" width="10.140625" style="35" customWidth="1"/>
    <col min="9" max="9" width="3.42578125" style="35" bestFit="1" customWidth="1"/>
    <col min="10" max="16384" width="8.85546875" style="35"/>
  </cols>
  <sheetData>
    <row r="4" spans="2:24" ht="13.5" thickBot="1" x14ac:dyDescent="0.25">
      <c r="B4" s="127" t="s">
        <v>579</v>
      </c>
      <c r="L4" s="205" t="s">
        <v>268</v>
      </c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</row>
    <row r="6" spans="2:24" x14ac:dyDescent="0.2">
      <c r="L6" s="35">
        <v>1998</v>
      </c>
      <c r="M6" s="36">
        <v>33.860943795753776</v>
      </c>
      <c r="N6" s="36">
        <v>33.860943795753776</v>
      </c>
      <c r="P6" s="36">
        <v>33.860943795753776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</row>
    <row r="7" spans="2:24" ht="22.5" customHeight="1" x14ac:dyDescent="0.2">
      <c r="L7" s="35">
        <v>1999</v>
      </c>
      <c r="M7" s="36">
        <v>47.07994984798902</v>
      </c>
      <c r="N7" s="36">
        <v>47.07994984798902</v>
      </c>
      <c r="P7" s="36">
        <v>47.07994984798902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</row>
    <row r="8" spans="2:24" x14ac:dyDescent="0.2">
      <c r="G8" s="35" t="s">
        <v>175</v>
      </c>
      <c r="H8" s="35" t="s">
        <v>176</v>
      </c>
      <c r="L8" s="35">
        <v>2000</v>
      </c>
      <c r="M8" s="36">
        <v>49.623613418770361</v>
      </c>
      <c r="N8" s="36">
        <v>49.623613418770361</v>
      </c>
      <c r="P8" s="36">
        <v>49.623613418770361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</row>
    <row r="9" spans="2:24" x14ac:dyDescent="0.2">
      <c r="L9" s="35">
        <v>2001</v>
      </c>
      <c r="M9" s="36">
        <v>48.281258206277919</v>
      </c>
      <c r="N9" s="36">
        <v>48.281258206277919</v>
      </c>
      <c r="P9" s="36">
        <v>48.281258206277919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</row>
    <row r="10" spans="2:24" x14ac:dyDescent="0.2">
      <c r="L10" s="35">
        <v>2002</v>
      </c>
      <c r="M10" s="36">
        <v>42.88215599197013</v>
      </c>
      <c r="N10" s="36">
        <v>42.88215599197013</v>
      </c>
      <c r="O10" s="35">
        <v>0</v>
      </c>
      <c r="P10" s="36">
        <v>42.88215599197013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</row>
    <row r="11" spans="2:24" x14ac:dyDescent="0.2">
      <c r="L11" s="35">
        <v>2003</v>
      </c>
      <c r="M11" s="36">
        <v>41.588629367554795</v>
      </c>
      <c r="N11" s="36">
        <v>41.588629367554795</v>
      </c>
      <c r="O11" s="35">
        <v>0</v>
      </c>
      <c r="P11" s="36">
        <v>41.588629367554795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</row>
    <row r="12" spans="2:24" x14ac:dyDescent="0.2">
      <c r="L12" s="35">
        <v>2004</v>
      </c>
      <c r="M12" s="36">
        <v>40.639217872327734</v>
      </c>
      <c r="N12" s="36">
        <v>40.639217872327734</v>
      </c>
      <c r="O12" s="35">
        <v>0</v>
      </c>
      <c r="P12" s="36">
        <v>40.639217872327734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</row>
    <row r="13" spans="2:24" x14ac:dyDescent="0.2">
      <c r="L13" s="35">
        <v>2005</v>
      </c>
      <c r="M13" s="36">
        <v>33.928324096966726</v>
      </c>
      <c r="N13" s="36">
        <v>33.928324096966726</v>
      </c>
      <c r="O13" s="35">
        <v>0</v>
      </c>
      <c r="P13" s="36">
        <v>33.928324096966726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</row>
    <row r="14" spans="2:24" x14ac:dyDescent="0.2">
      <c r="L14" s="35">
        <v>2006</v>
      </c>
      <c r="M14" s="36">
        <v>30.767079387245609</v>
      </c>
      <c r="N14" s="36">
        <v>30.767079387245609</v>
      </c>
      <c r="O14" s="35">
        <v>0</v>
      </c>
      <c r="P14" s="36">
        <v>30.767079387245609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</row>
    <row r="15" spans="2:24" x14ac:dyDescent="0.2">
      <c r="L15" s="35">
        <v>2007</v>
      </c>
      <c r="M15" s="36">
        <v>29.897666684381687</v>
      </c>
      <c r="N15" s="36">
        <v>29.897666684381687</v>
      </c>
      <c r="O15" s="35">
        <v>0</v>
      </c>
      <c r="P15" s="36">
        <v>29.897666684381687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</row>
    <row r="16" spans="2:24" x14ac:dyDescent="0.2">
      <c r="L16" s="35">
        <v>2008</v>
      </c>
      <c r="M16" s="36">
        <v>28.21367341902042</v>
      </c>
      <c r="N16" s="36">
        <v>28.21367341902042</v>
      </c>
      <c r="O16" s="35">
        <v>0</v>
      </c>
      <c r="P16" s="36">
        <v>28.21367341902042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</row>
    <row r="17" spans="12:24" x14ac:dyDescent="0.2">
      <c r="L17" s="35">
        <v>2009</v>
      </c>
      <c r="M17" s="36">
        <v>36.007894575405679</v>
      </c>
      <c r="N17" s="36">
        <v>36.007894575405679</v>
      </c>
      <c r="O17" s="35">
        <v>0</v>
      </c>
      <c r="P17" s="36">
        <v>36.007894575405679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</row>
    <row r="18" spans="12:24" x14ac:dyDescent="0.2">
      <c r="L18" s="35">
        <v>2010</v>
      </c>
      <c r="M18" s="36">
        <v>40.815353172271344</v>
      </c>
      <c r="N18" s="36">
        <v>40.815353172271344</v>
      </c>
      <c r="O18" s="35">
        <v>0</v>
      </c>
      <c r="P18" s="36">
        <v>40.815353172271344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</row>
    <row r="19" spans="12:24" x14ac:dyDescent="0.2">
      <c r="L19" s="35">
        <v>2011</v>
      </c>
      <c r="M19" s="36">
        <v>43.268992990071645</v>
      </c>
      <c r="N19" s="36">
        <v>43.268992990071645</v>
      </c>
      <c r="O19" s="35">
        <v>0</v>
      </c>
      <c r="P19" s="36">
        <v>43.268992990071645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</row>
    <row r="20" spans="12:24" x14ac:dyDescent="0.2">
      <c r="L20" s="35">
        <v>2012</v>
      </c>
      <c r="M20" s="36">
        <v>51.735739372043824</v>
      </c>
      <c r="N20" s="36">
        <v>51.735739372043824</v>
      </c>
      <c r="O20" s="35">
        <v>0</v>
      </c>
      <c r="P20" s="36">
        <v>51.735739372043824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</row>
    <row r="21" spans="12:24" x14ac:dyDescent="0.2">
      <c r="L21" s="35">
        <v>2013</v>
      </c>
      <c r="M21" s="36">
        <v>54.313562057737364</v>
      </c>
      <c r="N21" s="36">
        <v>54.313562057737364</v>
      </c>
      <c r="O21" s="35">
        <v>0</v>
      </c>
      <c r="P21" s="36">
        <v>54.313562057737364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</row>
    <row r="22" spans="12:24" x14ac:dyDescent="0.2">
      <c r="L22" s="35">
        <v>2014</v>
      </c>
      <c r="M22" s="36">
        <v>53.623397535094455</v>
      </c>
      <c r="N22" s="36">
        <v>53.623397535094455</v>
      </c>
      <c r="O22" s="35">
        <v>0</v>
      </c>
      <c r="P22" s="36">
        <v>53.623397535094455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</row>
    <row r="23" spans="12:24" ht="17.100000000000001" customHeight="1" x14ac:dyDescent="0.2">
      <c r="L23" s="35">
        <v>2015</v>
      </c>
      <c r="M23" s="36">
        <f>'Tabuľka 7 '!C6</f>
        <v>52.480982290941967</v>
      </c>
      <c r="N23" s="36">
        <v>52.480982290941959</v>
      </c>
      <c r="O23" s="35">
        <v>0</v>
      </c>
      <c r="P23" s="36">
        <v>52.480982290941959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</row>
    <row r="24" spans="12:24" ht="17.100000000000001" customHeight="1" x14ac:dyDescent="0.2">
      <c r="L24" s="35">
        <v>2016</v>
      </c>
      <c r="M24" s="36">
        <f>'Tabuľka 7 '!D6</f>
        <v>51.94451557871907</v>
      </c>
      <c r="N24" s="36">
        <v>51.944515578719063</v>
      </c>
      <c r="O24" s="35">
        <v>0</v>
      </c>
      <c r="P24" s="36">
        <v>51.944515578719063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</row>
    <row r="25" spans="12:24" ht="17.100000000000001" customHeight="1" x14ac:dyDescent="0.2">
      <c r="L25" s="35">
        <v>2017</v>
      </c>
      <c r="M25" s="36">
        <f>'Tabuľka 7 '!E6</f>
        <v>51.116082340070129</v>
      </c>
      <c r="N25" s="36">
        <v>51.839882656629655</v>
      </c>
      <c r="O25" s="35">
        <v>-0.72380031655953303</v>
      </c>
      <c r="P25" s="36">
        <v>48.488390337002244</v>
      </c>
      <c r="Q25" s="36">
        <v>1.1711614365298217</v>
      </c>
      <c r="R25" s="36">
        <v>0.8529617298549681</v>
      </c>
      <c r="S25" s="36">
        <v>0.6406106906263318</v>
      </c>
      <c r="T25" s="36">
        <v>0.65873621922953163</v>
      </c>
      <c r="U25" s="36">
        <v>0.66514659754476213</v>
      </c>
      <c r="V25" s="36">
        <v>0.71746454278367366</v>
      </c>
      <c r="W25" s="36">
        <v>0.80442408455873249</v>
      </c>
      <c r="X25" s="36">
        <v>1.1636428304414324</v>
      </c>
    </row>
    <row r="26" spans="12:24" ht="17.100000000000001" customHeight="1" x14ac:dyDescent="0.2">
      <c r="L26" s="35">
        <v>2018</v>
      </c>
      <c r="M26" s="36">
        <f>'Tabuľka 7 '!F6</f>
        <v>49.945843575777936</v>
      </c>
      <c r="N26" s="36">
        <v>50.551443098910944</v>
      </c>
      <c r="O26" s="35">
        <v>-0.60559952313301579</v>
      </c>
      <c r="P26" s="36">
        <v>44.456294248023518</v>
      </c>
      <c r="Q26" s="36">
        <v>2.033356266345514</v>
      </c>
      <c r="R26" s="36">
        <v>1.4552700862352879</v>
      </c>
      <c r="S26" s="36">
        <v>1.2464343575407</v>
      </c>
      <c r="T26" s="36">
        <v>1.254757120474558</v>
      </c>
      <c r="U26" s="36">
        <v>1.2445202397978647</v>
      </c>
      <c r="V26" s="36">
        <v>1.3458637013159844</v>
      </c>
      <c r="W26" s="36">
        <v>1.5241567695111158</v>
      </c>
      <c r="X26" s="36">
        <v>2.1743278066322986</v>
      </c>
    </row>
    <row r="27" spans="12:24" ht="17.100000000000001" customHeight="1" x14ac:dyDescent="0.2">
      <c r="L27" s="35">
        <v>2019</v>
      </c>
      <c r="M27" s="36">
        <f>'Tabuľka 7 '!G6</f>
        <v>47.827914878975811</v>
      </c>
      <c r="N27" s="36">
        <v>49.273192642905336</v>
      </c>
      <c r="O27" s="35">
        <v>-1.445277763929532</v>
      </c>
      <c r="P27" s="36">
        <v>40.829930986026767</v>
      </c>
      <c r="Q27" s="36">
        <v>2.8808146293411525</v>
      </c>
      <c r="R27" s="36">
        <v>2.0201590945089407</v>
      </c>
      <c r="S27" s="36">
        <v>1.6613990249918658</v>
      </c>
      <c r="T27" s="36">
        <v>1.7216562038621674</v>
      </c>
      <c r="U27" s="36">
        <v>1.7012115785069426</v>
      </c>
      <c r="V27" s="36">
        <v>1.9279669709044356</v>
      </c>
      <c r="W27" s="36">
        <v>2.1004469079605528</v>
      </c>
      <c r="X27" s="36">
        <v>2.8026926653235904</v>
      </c>
    </row>
    <row r="28" spans="12:24" ht="17.100000000000001" customHeight="1" x14ac:dyDescent="0.2">
      <c r="L28" s="50">
        <v>2020</v>
      </c>
      <c r="M28" s="390">
        <f>'Tabuľka 7 '!H6</f>
        <v>45.509670510470727</v>
      </c>
      <c r="N28" s="390">
        <v>48.590678156517406</v>
      </c>
      <c r="O28" s="50">
        <v>-3.0810076460466931</v>
      </c>
      <c r="P28" s="390">
        <v>39.220204987738398</v>
      </c>
      <c r="Q28" s="390">
        <v>3.0195622552233132</v>
      </c>
      <c r="R28" s="390">
        <v>2.4480533605873802</v>
      </c>
      <c r="S28" s="390">
        <v>1.891815600086602</v>
      </c>
      <c r="T28" s="390">
        <v>1.8620823109208899</v>
      </c>
      <c r="U28" s="390">
        <v>1.8821200629775205</v>
      </c>
      <c r="V28" s="390">
        <v>2.0710566711054099</v>
      </c>
      <c r="W28" s="390">
        <v>2.3789702768683441</v>
      </c>
      <c r="X28" s="390">
        <v>3.4032531036483817</v>
      </c>
    </row>
    <row r="29" spans="12:24" ht="17.100000000000001" customHeight="1" x14ac:dyDescent="0.2"/>
    <row r="30" spans="12:24" ht="17.100000000000001" customHeight="1" x14ac:dyDescent="0.2"/>
    <row r="31" spans="12:24" ht="17.100000000000001" customHeight="1" x14ac:dyDescent="0.2"/>
    <row r="32" spans="12:24" ht="17.100000000000001" customHeight="1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7"/>
  <dimension ref="A1:AD106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ColWidth="9.140625" defaultRowHeight="12.75" x14ac:dyDescent="0.2"/>
  <cols>
    <col min="1" max="1" width="40.85546875" style="784" customWidth="1"/>
    <col min="2" max="2" width="40.85546875" style="784" hidden="1" customWidth="1"/>
    <col min="3" max="3" width="40.85546875" style="789" hidden="1" customWidth="1"/>
    <col min="4" max="4" width="70" style="789" bestFit="1" customWidth="1"/>
    <col min="5" max="5" width="10.140625" style="784" customWidth="1"/>
    <col min="6" max="8" width="10" style="784" customWidth="1"/>
    <col min="9" max="11" width="10.28515625" style="784" customWidth="1"/>
    <col min="12" max="12" width="10" style="784" bestFit="1" customWidth="1"/>
    <col min="13" max="14" width="10.85546875" style="784" customWidth="1"/>
    <col min="15" max="15" width="10.42578125" style="784" bestFit="1" customWidth="1"/>
    <col min="16" max="17" width="10.42578125" style="784" customWidth="1"/>
    <col min="18" max="18" width="13.5703125" style="784" bestFit="1" customWidth="1"/>
    <col min="19" max="20" width="9.140625" style="784"/>
    <col min="21" max="21" width="46.140625" style="784" bestFit="1" customWidth="1"/>
    <col min="22" max="22" width="4.42578125" style="784" bestFit="1" customWidth="1"/>
    <col min="23" max="23" width="5" style="784" bestFit="1" customWidth="1"/>
    <col min="24" max="25" width="4.42578125" style="784" bestFit="1" customWidth="1"/>
    <col min="26" max="26" width="5.7109375" style="784" bestFit="1" customWidth="1"/>
    <col min="27" max="27" width="7" style="784" bestFit="1" customWidth="1"/>
    <col min="28" max="30" width="4.42578125" style="784" bestFit="1" customWidth="1"/>
    <col min="31" max="16384" width="9.140625" style="784"/>
  </cols>
  <sheetData>
    <row r="1" spans="1:30" ht="15.75" customHeight="1" x14ac:dyDescent="0.2">
      <c r="A1" s="35"/>
    </row>
    <row r="2" spans="1:30" ht="15.75" customHeight="1" x14ac:dyDescent="0.2">
      <c r="K2" s="787"/>
    </row>
    <row r="3" spans="1:30" ht="16.5" customHeight="1" x14ac:dyDescent="0.2">
      <c r="A3" s="131" t="s">
        <v>831</v>
      </c>
      <c r="B3" s="131"/>
      <c r="C3" s="132"/>
      <c r="D3" s="132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</row>
    <row r="4" spans="1:30" ht="16.5" customHeight="1" x14ac:dyDescent="0.2">
      <c r="A4" s="134"/>
      <c r="B4" s="811" t="s">
        <v>832</v>
      </c>
      <c r="C4" s="811" t="s">
        <v>833</v>
      </c>
      <c r="D4" s="811" t="s">
        <v>834</v>
      </c>
      <c r="E4" s="790">
        <v>2008</v>
      </c>
      <c r="F4" s="790">
        <v>2009</v>
      </c>
      <c r="G4" s="790">
        <v>2010</v>
      </c>
      <c r="H4" s="791">
        <v>2011</v>
      </c>
      <c r="I4" s="792">
        <v>2012</v>
      </c>
      <c r="J4" s="792">
        <v>2013</v>
      </c>
      <c r="K4" s="792">
        <v>2014</v>
      </c>
      <c r="L4" s="792">
        <v>2015</v>
      </c>
      <c r="M4" s="792">
        <v>2016</v>
      </c>
      <c r="N4" s="792">
        <v>2017</v>
      </c>
      <c r="O4" s="792">
        <v>2017</v>
      </c>
      <c r="P4" s="792">
        <v>2018</v>
      </c>
      <c r="Q4" s="792">
        <v>2019</v>
      </c>
      <c r="R4" s="792">
        <v>2020</v>
      </c>
    </row>
    <row r="5" spans="1:30" x14ac:dyDescent="0.2">
      <c r="A5" s="135"/>
      <c r="B5" s="812"/>
      <c r="C5" s="812"/>
      <c r="D5" s="812"/>
      <c r="E5" s="793" t="s">
        <v>835</v>
      </c>
      <c r="F5" s="793" t="s">
        <v>835</v>
      </c>
      <c r="G5" s="793" t="s">
        <v>835</v>
      </c>
      <c r="H5" s="794" t="s">
        <v>835</v>
      </c>
      <c r="I5" s="794" t="s">
        <v>835</v>
      </c>
      <c r="J5" s="794" t="s">
        <v>835</v>
      </c>
      <c r="K5" s="794" t="s">
        <v>836</v>
      </c>
      <c r="L5" s="794" t="s">
        <v>836</v>
      </c>
      <c r="M5" s="794" t="s">
        <v>836</v>
      </c>
      <c r="N5" s="794" t="s">
        <v>838</v>
      </c>
      <c r="O5" s="794" t="s">
        <v>837</v>
      </c>
      <c r="P5" s="794" t="s">
        <v>838</v>
      </c>
      <c r="Q5" s="794" t="s">
        <v>839</v>
      </c>
      <c r="R5" s="794" t="s">
        <v>839</v>
      </c>
    </row>
    <row r="6" spans="1:30" ht="16.5" customHeight="1" x14ac:dyDescent="0.2">
      <c r="A6" s="136" t="s">
        <v>43</v>
      </c>
      <c r="B6" s="137" t="s">
        <v>44</v>
      </c>
      <c r="C6" s="137" t="s">
        <v>840</v>
      </c>
      <c r="D6" s="137" t="s">
        <v>840</v>
      </c>
      <c r="E6" s="795">
        <f t="shared" ref="E6:P6" si="0">E8+E23+E29+E36</f>
        <v>23636.485000000001</v>
      </c>
      <c r="F6" s="795">
        <f t="shared" si="0"/>
        <v>23227.662</v>
      </c>
      <c r="G6" s="795">
        <f t="shared" si="0"/>
        <v>23422.342000000001</v>
      </c>
      <c r="H6" s="795">
        <f t="shared" si="0"/>
        <v>25807.131000000001</v>
      </c>
      <c r="I6" s="795">
        <f t="shared" si="0"/>
        <v>26380.595999999998</v>
      </c>
      <c r="J6" s="795">
        <f t="shared" si="0"/>
        <v>28719.138999999996</v>
      </c>
      <c r="K6" s="795">
        <f t="shared" si="0"/>
        <v>29927.375000000004</v>
      </c>
      <c r="L6" s="795">
        <f t="shared" si="0"/>
        <v>33532.288</v>
      </c>
      <c r="M6" s="795">
        <f t="shared" si="0"/>
        <v>31910.171999999999</v>
      </c>
      <c r="N6" s="795">
        <f>N8+N23+N29+N36</f>
        <v>33450.130000000005</v>
      </c>
      <c r="O6" s="795">
        <f t="shared" si="0"/>
        <v>33310.095999999998</v>
      </c>
      <c r="P6" s="795">
        <f t="shared" si="0"/>
        <v>34432.272000000004</v>
      </c>
      <c r="Q6" s="795">
        <f>Q8+Q23+Q29+Q36+Q41</f>
        <v>37181.342000000004</v>
      </c>
      <c r="R6" s="795">
        <f>R8+R23+R29+R36+R41</f>
        <v>38858.705000000002</v>
      </c>
    </row>
    <row r="7" spans="1:30" ht="16.5" customHeight="1" x14ac:dyDescent="0.2">
      <c r="A7" s="138" t="s">
        <v>4</v>
      </c>
      <c r="B7" s="139"/>
      <c r="C7" s="140"/>
      <c r="D7" s="140"/>
      <c r="E7" s="141">
        <f t="shared" ref="E7:P7" si="1">E6/E91</f>
        <v>0.34510049407518584</v>
      </c>
      <c r="F7" s="141">
        <f t="shared" si="1"/>
        <v>0.36280127016654928</v>
      </c>
      <c r="G7" s="141">
        <f t="shared" si="1"/>
        <v>0.34660073722980939</v>
      </c>
      <c r="H7" s="141">
        <f t="shared" si="1"/>
        <v>0.36539932207421505</v>
      </c>
      <c r="I7" s="141">
        <f t="shared" si="1"/>
        <v>0.36285180218283847</v>
      </c>
      <c r="J7" s="141">
        <f t="shared" si="1"/>
        <v>0.38720760651700176</v>
      </c>
      <c r="K7" s="141">
        <f t="shared" si="1"/>
        <v>0.39405937814609376</v>
      </c>
      <c r="L7" s="141">
        <f t="shared" si="1"/>
        <v>0.42615528877911196</v>
      </c>
      <c r="M7" s="141">
        <f t="shared" si="1"/>
        <v>0.39415709903124585</v>
      </c>
      <c r="N7" s="141">
        <f>N6/N91</f>
        <v>0.39825667360698164</v>
      </c>
      <c r="O7" s="141">
        <f t="shared" si="1"/>
        <v>0.39373836359512371</v>
      </c>
      <c r="P7" s="141">
        <f t="shared" si="1"/>
        <v>0.38473818170011648</v>
      </c>
      <c r="Q7" s="141">
        <f>Q6/Q91</f>
        <v>0.39031075968980045</v>
      </c>
      <c r="R7" s="141">
        <f>R6/R91</f>
        <v>0.38471164121645346</v>
      </c>
    </row>
    <row r="8" spans="1:30" s="786" customFormat="1" ht="16.5" customHeight="1" x14ac:dyDescent="0.2">
      <c r="A8" s="142" t="s">
        <v>841</v>
      </c>
      <c r="B8" s="143" t="s">
        <v>842</v>
      </c>
      <c r="C8" s="144" t="s">
        <v>843</v>
      </c>
      <c r="D8" s="144" t="s">
        <v>844</v>
      </c>
      <c r="E8" s="796">
        <f t="shared" ref="E8:P8" si="2">E9+E14+E22</f>
        <v>11680.142000000002</v>
      </c>
      <c r="F8" s="796">
        <f t="shared" si="2"/>
        <v>10368.727999999999</v>
      </c>
      <c r="G8" s="796">
        <f t="shared" si="2"/>
        <v>10591.187</v>
      </c>
      <c r="H8" s="796">
        <f t="shared" si="2"/>
        <v>11431.008</v>
      </c>
      <c r="I8" s="796">
        <f t="shared" si="2"/>
        <v>11391.065000000001</v>
      </c>
      <c r="J8" s="796">
        <f t="shared" si="2"/>
        <v>12346.803999999998</v>
      </c>
      <c r="K8" s="796">
        <f t="shared" si="2"/>
        <v>13251.973000000002</v>
      </c>
      <c r="L8" s="796">
        <f t="shared" si="2"/>
        <v>14301.679</v>
      </c>
      <c r="M8" s="796">
        <f t="shared" si="2"/>
        <v>14577.630000000001</v>
      </c>
      <c r="N8" s="796">
        <f>N9+N14+N22</f>
        <v>15594.23</v>
      </c>
      <c r="O8" s="796">
        <f t="shared" si="2"/>
        <v>15313.552</v>
      </c>
      <c r="P8" s="796">
        <f t="shared" si="2"/>
        <v>16223.173000000001</v>
      </c>
      <c r="Q8" s="796">
        <f>Q9+Q14+Q22</f>
        <v>17014.188000000002</v>
      </c>
      <c r="R8" s="796">
        <f>R9+R14+R22</f>
        <v>17848.026000000002</v>
      </c>
      <c r="S8" s="797"/>
      <c r="T8" s="797"/>
    </row>
    <row r="9" spans="1:30" s="800" customFormat="1" ht="16.5" customHeight="1" x14ac:dyDescent="0.2">
      <c r="A9" s="145" t="s">
        <v>845</v>
      </c>
      <c r="B9" s="146" t="s">
        <v>46</v>
      </c>
      <c r="C9" s="147" t="s">
        <v>840</v>
      </c>
      <c r="D9" s="147" t="s">
        <v>846</v>
      </c>
      <c r="E9" s="798">
        <v>7078.8890000000001</v>
      </c>
      <c r="F9" s="798">
        <v>6630.0069999999996</v>
      </c>
      <c r="G9" s="798">
        <v>6779.116</v>
      </c>
      <c r="H9" s="798">
        <v>7377.5659999999998</v>
      </c>
      <c r="I9" s="798">
        <v>7163.223</v>
      </c>
      <c r="J9" s="798">
        <v>7632.2809999999999</v>
      </c>
      <c r="K9" s="798">
        <v>8045.2539999999999</v>
      </c>
      <c r="L9" s="799">
        <v>8505.7839999999997</v>
      </c>
      <c r="M9" s="798">
        <v>8620.7759999999998</v>
      </c>
      <c r="N9" s="798">
        <v>9138.4410000000007</v>
      </c>
      <c r="O9" s="798">
        <v>9265.1565666666665</v>
      </c>
      <c r="P9" s="798">
        <v>9831.2980000000007</v>
      </c>
      <c r="Q9" s="798">
        <v>10238.887000000001</v>
      </c>
      <c r="R9" s="798">
        <f>10639.173</f>
        <v>10639.173000000001</v>
      </c>
      <c r="S9" s="797"/>
      <c r="T9" s="797"/>
    </row>
    <row r="10" spans="1:30" s="800" customFormat="1" ht="16.5" customHeight="1" x14ac:dyDescent="0.2">
      <c r="A10" s="148" t="s">
        <v>847</v>
      </c>
      <c r="B10" s="149" t="s">
        <v>848</v>
      </c>
      <c r="C10" s="150" t="s">
        <v>849</v>
      </c>
      <c r="D10" s="150" t="s">
        <v>850</v>
      </c>
      <c r="E10" s="798">
        <v>4621.424</v>
      </c>
      <c r="F10" s="798">
        <v>4221.2879999999996</v>
      </c>
      <c r="G10" s="798">
        <v>4182.1009999999997</v>
      </c>
      <c r="H10" s="798">
        <v>4710.9139999999998</v>
      </c>
      <c r="I10" s="798">
        <v>4327.7020000000002</v>
      </c>
      <c r="J10" s="798">
        <v>4696.12</v>
      </c>
      <c r="K10" s="798">
        <v>5021.1310000000003</v>
      </c>
      <c r="L10" s="799">
        <v>5420.1729999999998</v>
      </c>
      <c r="M10" s="798">
        <v>5419.65</v>
      </c>
      <c r="N10" s="798">
        <v>5759.7039999999997</v>
      </c>
      <c r="O10" s="798">
        <v>5880.0109999999995</v>
      </c>
      <c r="P10" s="798">
        <v>6104.4170000000004</v>
      </c>
      <c r="Q10" s="798">
        <v>6402.027</v>
      </c>
      <c r="R10" s="798">
        <v>6709.5569999999998</v>
      </c>
      <c r="S10" s="797"/>
      <c r="T10" s="797"/>
    </row>
    <row r="11" spans="1:30" s="800" customFormat="1" ht="16.5" customHeight="1" x14ac:dyDescent="0.2">
      <c r="A11" s="151" t="s">
        <v>851</v>
      </c>
      <c r="B11" s="149" t="s">
        <v>852</v>
      </c>
      <c r="C11" s="150" t="s">
        <v>849</v>
      </c>
      <c r="D11" s="150" t="s">
        <v>853</v>
      </c>
      <c r="E11" s="798">
        <f>0+1809.268</f>
        <v>1809.268</v>
      </c>
      <c r="F11" s="798">
        <f>0+1761.719</f>
        <v>1761.7190000000001</v>
      </c>
      <c r="G11" s="798">
        <f>0+1930.806</f>
        <v>1930.806</v>
      </c>
      <c r="H11" s="798">
        <f>0+1999.131</f>
        <v>1999.1310000000001</v>
      </c>
      <c r="I11" s="798">
        <f>0+1973.341</f>
        <v>1973.3409999999999</v>
      </c>
      <c r="J11" s="798">
        <f>0+1984.783</f>
        <v>1984.7829999999999</v>
      </c>
      <c r="K11" s="798">
        <f>0+2014.994</f>
        <v>2014.9939999999999</v>
      </c>
      <c r="L11" s="798">
        <f>0+2108.224</f>
        <v>2108.2240000000002</v>
      </c>
      <c r="M11" s="798">
        <f>0+2173.884</f>
        <v>2173.884</v>
      </c>
      <c r="N11" s="798">
        <v>2259.7530000000002</v>
      </c>
      <c r="O11" s="798">
        <v>2271.5810000000001</v>
      </c>
      <c r="P11" s="798">
        <v>2341.1289999999999</v>
      </c>
      <c r="Q11" s="798">
        <v>2439.864</v>
      </c>
      <c r="R11" s="798">
        <v>2505.5300000000002</v>
      </c>
      <c r="S11" s="797"/>
      <c r="T11" s="797"/>
    </row>
    <row r="12" spans="1:30" s="800" customFormat="1" ht="16.5" customHeight="1" x14ac:dyDescent="0.2">
      <c r="A12" s="148" t="s">
        <v>854</v>
      </c>
      <c r="B12" s="149" t="s">
        <v>855</v>
      </c>
      <c r="C12" s="150" t="s">
        <v>849</v>
      </c>
      <c r="D12" s="150" t="s">
        <v>856</v>
      </c>
      <c r="E12" s="798">
        <v>3.3000000000000002E-2</v>
      </c>
      <c r="F12" s="798">
        <v>2.1999999999999999E-2</v>
      </c>
      <c r="G12" s="798">
        <v>1.9E-2</v>
      </c>
      <c r="H12" s="798">
        <v>5.5E-2</v>
      </c>
      <c r="I12" s="798">
        <v>8.3000000000000004E-2</v>
      </c>
      <c r="J12" s="798">
        <v>5.8000000000000003E-2</v>
      </c>
      <c r="K12" s="798">
        <v>-7.0000000000000001E-3</v>
      </c>
      <c r="L12" s="799">
        <v>0.02</v>
      </c>
      <c r="M12" s="798">
        <v>3.9E-2</v>
      </c>
      <c r="N12" s="798">
        <v>0</v>
      </c>
      <c r="O12" s="798">
        <v>0</v>
      </c>
      <c r="P12" s="798">
        <v>0</v>
      </c>
      <c r="Q12" s="798">
        <v>0</v>
      </c>
      <c r="R12" s="798">
        <v>0</v>
      </c>
      <c r="S12" s="797"/>
      <c r="T12" s="797"/>
    </row>
    <row r="13" spans="1:30" s="800" customFormat="1" ht="16.5" customHeight="1" x14ac:dyDescent="0.2">
      <c r="A13" s="151" t="s">
        <v>857</v>
      </c>
      <c r="B13" s="149" t="s">
        <v>858</v>
      </c>
      <c r="C13" s="150" t="s">
        <v>849</v>
      </c>
      <c r="D13" s="150" t="s">
        <v>859</v>
      </c>
      <c r="E13" s="798">
        <v>171.512</v>
      </c>
      <c r="F13" s="798">
        <v>182.28200000000001</v>
      </c>
      <c r="G13" s="798">
        <v>188.87</v>
      </c>
      <c r="H13" s="798">
        <v>195.32599999999999</v>
      </c>
      <c r="I13" s="798">
        <v>215.346</v>
      </c>
      <c r="J13" s="798">
        <v>222.65199999999999</v>
      </c>
      <c r="K13" s="798">
        <v>224.87299999999999</v>
      </c>
      <c r="L13" s="799">
        <v>228.214</v>
      </c>
      <c r="M13" s="798">
        <v>236.89500000000001</v>
      </c>
      <c r="N13" s="798">
        <v>241.744</v>
      </c>
      <c r="O13" s="798">
        <v>256.11766666666665</v>
      </c>
      <c r="P13" s="798">
        <v>261.26</v>
      </c>
      <c r="Q13" s="798">
        <v>267.09699999999998</v>
      </c>
      <c r="R13" s="798">
        <v>273.15499999999997</v>
      </c>
      <c r="S13" s="797"/>
      <c r="T13" s="797"/>
      <c r="U13" s="797"/>
      <c r="Y13" s="801"/>
      <c r="Z13" s="801"/>
      <c r="AA13" s="801"/>
      <c r="AB13" s="801"/>
      <c r="AC13" s="801"/>
      <c r="AD13" s="801"/>
    </row>
    <row r="14" spans="1:30" ht="16.5" customHeight="1" x14ac:dyDescent="0.2">
      <c r="A14" s="152" t="s">
        <v>47</v>
      </c>
      <c r="B14" s="146" t="s">
        <v>48</v>
      </c>
      <c r="C14" s="153" t="s">
        <v>840</v>
      </c>
      <c r="D14" s="147" t="s">
        <v>860</v>
      </c>
      <c r="E14" s="798">
        <v>4601.1530000000002</v>
      </c>
      <c r="F14" s="802">
        <v>3738.6759999999999</v>
      </c>
      <c r="G14" s="802">
        <v>3812.0509999999999</v>
      </c>
      <c r="H14" s="802">
        <v>4053.4290000000001</v>
      </c>
      <c r="I14" s="802">
        <v>4227.83</v>
      </c>
      <c r="J14" s="798">
        <v>4714.5159999999996</v>
      </c>
      <c r="K14" s="798">
        <v>5206.7150000000001</v>
      </c>
      <c r="L14" s="799">
        <v>5795.9009999999998</v>
      </c>
      <c r="M14" s="798">
        <v>5956.85</v>
      </c>
      <c r="N14" s="798">
        <v>6455.7889999999998</v>
      </c>
      <c r="O14" s="798">
        <v>6048.3954333333331</v>
      </c>
      <c r="P14" s="798">
        <v>6391.875</v>
      </c>
      <c r="Q14" s="798">
        <v>6775.3010000000004</v>
      </c>
      <c r="R14" s="798">
        <v>7208.8530000000001</v>
      </c>
      <c r="S14" s="797"/>
      <c r="T14" s="797"/>
      <c r="U14" s="797"/>
      <c r="V14" s="800"/>
      <c r="W14" s="800"/>
      <c r="X14" s="800"/>
      <c r="Y14" s="801"/>
      <c r="Z14" s="801"/>
      <c r="AA14" s="801"/>
      <c r="AB14" s="801"/>
      <c r="AC14" s="801"/>
      <c r="AD14" s="801"/>
    </row>
    <row r="15" spans="1:30" ht="16.5" customHeight="1" x14ac:dyDescent="0.2">
      <c r="A15" s="148" t="s">
        <v>861</v>
      </c>
      <c r="B15" s="149" t="s">
        <v>862</v>
      </c>
      <c r="C15" s="150" t="s">
        <v>849</v>
      </c>
      <c r="D15" s="150" t="s">
        <v>863</v>
      </c>
      <c r="E15" s="798">
        <v>2095.1779999999999</v>
      </c>
      <c r="F15" s="802">
        <v>1793.693</v>
      </c>
      <c r="G15" s="802">
        <v>1789.5650000000001</v>
      </c>
      <c r="H15" s="802">
        <v>1999.8820000000001</v>
      </c>
      <c r="I15" s="802">
        <v>2122.7759999999998</v>
      </c>
      <c r="J15" s="798">
        <v>2175.0250000000001</v>
      </c>
      <c r="K15" s="799">
        <v>2275.1170000000002</v>
      </c>
      <c r="L15" s="799">
        <v>2464.4140000000002</v>
      </c>
      <c r="M15" s="798">
        <v>2682.069</v>
      </c>
      <c r="N15" s="798">
        <v>2802.8179999999998</v>
      </c>
      <c r="O15" s="798">
        <f>O16+O17</f>
        <v>2865.913</v>
      </c>
      <c r="P15" s="798">
        <f>P16+P17</f>
        <v>3077.0920000000001</v>
      </c>
      <c r="Q15" s="798">
        <f>Q16+Q17</f>
        <v>3296.297</v>
      </c>
      <c r="R15" s="798">
        <f>R16+R17</f>
        <v>3542.1279999999997</v>
      </c>
      <c r="S15" s="797"/>
      <c r="T15" s="797"/>
      <c r="U15" s="797"/>
    </row>
    <row r="16" spans="1:30" ht="16.5" customHeight="1" x14ac:dyDescent="0.2">
      <c r="A16" s="154" t="s">
        <v>864</v>
      </c>
      <c r="B16" s="149" t="s">
        <v>865</v>
      </c>
      <c r="C16" s="153" t="s">
        <v>866</v>
      </c>
      <c r="D16" s="153" t="s">
        <v>866</v>
      </c>
      <c r="E16" s="799">
        <f>0+1639.776</f>
        <v>1639.7760000000001</v>
      </c>
      <c r="F16" s="803">
        <v>1468.115</v>
      </c>
      <c r="G16" s="803">
        <v>1431.1880000000001</v>
      </c>
      <c r="H16" s="803">
        <v>1638.58</v>
      </c>
      <c r="I16" s="803">
        <v>1763.433</v>
      </c>
      <c r="J16" s="799">
        <v>1788.0440000000001</v>
      </c>
      <c r="K16" s="799">
        <v>1903.7840000000001</v>
      </c>
      <c r="L16" s="799">
        <f>2082.0493+0.007</f>
        <v>2082.0563000000002</v>
      </c>
      <c r="M16" s="798">
        <f>2291.785</f>
        <v>2291.7849999999999</v>
      </c>
      <c r="N16" s="798">
        <v>2668.252</v>
      </c>
      <c r="O16" s="798">
        <v>2734.1680000000001</v>
      </c>
      <c r="P16" s="798">
        <v>2938.9360000000001</v>
      </c>
      <c r="Q16" s="798">
        <v>3149.7049999999999</v>
      </c>
      <c r="R16" s="798">
        <v>3386.2559999999999</v>
      </c>
      <c r="S16" s="797"/>
      <c r="T16" s="797"/>
      <c r="U16" s="797"/>
    </row>
    <row r="17" spans="1:21" ht="16.5" customHeight="1" x14ac:dyDescent="0.2">
      <c r="A17" s="154" t="s">
        <v>867</v>
      </c>
      <c r="B17" s="149" t="s">
        <v>868</v>
      </c>
      <c r="C17" s="155" t="s">
        <v>869</v>
      </c>
      <c r="D17" s="155" t="s">
        <v>869</v>
      </c>
      <c r="E17" s="799">
        <f>0+202.365</f>
        <v>202.36500000000001</v>
      </c>
      <c r="F17" s="803">
        <v>188.64599999999999</v>
      </c>
      <c r="G17" s="803">
        <v>47.405999999999999</v>
      </c>
      <c r="H17" s="803">
        <v>59.451999999999998</v>
      </c>
      <c r="I17" s="803">
        <v>85.807000000000002</v>
      </c>
      <c r="J17" s="799">
        <v>79.712000000000003</v>
      </c>
      <c r="K17" s="799">
        <v>82.671000000000006</v>
      </c>
      <c r="L17" s="799">
        <v>100.68899999999999</v>
      </c>
      <c r="M17" s="798">
        <v>111.893</v>
      </c>
      <c r="N17" s="798">
        <v>134.566</v>
      </c>
      <c r="O17" s="798">
        <v>131.745</v>
      </c>
      <c r="P17" s="798">
        <v>138.15600000000001</v>
      </c>
      <c r="Q17" s="798">
        <v>146.59200000000001</v>
      </c>
      <c r="R17" s="798">
        <v>155.87200000000001</v>
      </c>
      <c r="S17" s="797"/>
      <c r="T17" s="797"/>
      <c r="U17" s="797"/>
    </row>
    <row r="18" spans="1:21" ht="16.5" customHeight="1" x14ac:dyDescent="0.2">
      <c r="A18" s="156" t="s">
        <v>870</v>
      </c>
      <c r="B18" s="149" t="s">
        <v>871</v>
      </c>
      <c r="C18" s="150" t="s">
        <v>849</v>
      </c>
      <c r="D18" s="150" t="s">
        <v>872</v>
      </c>
      <c r="E18" s="799">
        <v>2087.4659999999999</v>
      </c>
      <c r="F18" s="803">
        <v>1576.972</v>
      </c>
      <c r="G18" s="803">
        <v>1659.23</v>
      </c>
      <c r="H18" s="803">
        <v>1699.1869999999999</v>
      </c>
      <c r="I18" s="803">
        <v>1714.779</v>
      </c>
      <c r="J18" s="799">
        <v>2117.8330000000001</v>
      </c>
      <c r="K18" s="799">
        <v>2504.402</v>
      </c>
      <c r="L18" s="799">
        <v>2945.3249999999998</v>
      </c>
      <c r="M18" s="798">
        <v>2811.8240000000001</v>
      </c>
      <c r="N18" s="798">
        <v>3195.8870000000002</v>
      </c>
      <c r="O18" s="798">
        <v>2733.759</v>
      </c>
      <c r="P18" s="798">
        <v>2794.125</v>
      </c>
      <c r="Q18" s="798">
        <v>2956.9940000000001</v>
      </c>
      <c r="R18" s="798">
        <v>3131.4270000000001</v>
      </c>
      <c r="S18" s="797"/>
      <c r="T18" s="797"/>
      <c r="U18" s="797"/>
    </row>
    <row r="19" spans="1:21" ht="16.5" customHeight="1" x14ac:dyDescent="0.2">
      <c r="A19" s="157" t="s">
        <v>873</v>
      </c>
      <c r="B19" s="149" t="s">
        <v>874</v>
      </c>
      <c r="C19" s="150" t="s">
        <v>849</v>
      </c>
      <c r="D19" s="150" t="s">
        <v>875</v>
      </c>
      <c r="E19" s="799">
        <v>205.96799999999999</v>
      </c>
      <c r="F19" s="803">
        <v>155.755</v>
      </c>
      <c r="G19" s="803">
        <v>152.33199999999999</v>
      </c>
      <c r="H19" s="803">
        <v>143.19999999999999</v>
      </c>
      <c r="I19" s="803">
        <v>167.14400000000001</v>
      </c>
      <c r="J19" s="799">
        <v>177.78399999999999</v>
      </c>
      <c r="K19" s="799">
        <v>175.06100000000001</v>
      </c>
      <c r="L19" s="799">
        <v>162.006</v>
      </c>
      <c r="M19" s="798">
        <v>172.21199999999999</v>
      </c>
      <c r="N19" s="798">
        <v>190.024</v>
      </c>
      <c r="O19" s="798">
        <v>171.56399999999999</v>
      </c>
      <c r="P19" s="798">
        <v>242.63800000000001</v>
      </c>
      <c r="Q19" s="798">
        <v>241.69</v>
      </c>
      <c r="R19" s="798">
        <v>252.46600000000001</v>
      </c>
      <c r="S19" s="797"/>
      <c r="T19" s="797"/>
      <c r="U19" s="797"/>
    </row>
    <row r="20" spans="1:21" s="800" customFormat="1" ht="16.5" customHeight="1" x14ac:dyDescent="0.2">
      <c r="A20" s="157" t="s">
        <v>876</v>
      </c>
      <c r="B20" s="149" t="s">
        <v>874</v>
      </c>
      <c r="C20" s="147" t="s">
        <v>877</v>
      </c>
      <c r="D20" s="147" t="s">
        <v>878</v>
      </c>
      <c r="E20" s="799">
        <v>0</v>
      </c>
      <c r="F20" s="799">
        <v>0</v>
      </c>
      <c r="G20" s="799">
        <v>0</v>
      </c>
      <c r="H20" s="799">
        <v>0</v>
      </c>
      <c r="I20" s="799">
        <f>10.028-10.028</f>
        <v>0</v>
      </c>
      <c r="J20" s="799">
        <f>0.012-0.012</f>
        <v>0</v>
      </c>
      <c r="K20" s="799">
        <f>0.006-0.006</f>
        <v>0</v>
      </c>
      <c r="L20" s="799">
        <v>0</v>
      </c>
      <c r="M20" s="798">
        <v>0</v>
      </c>
      <c r="N20" s="798">
        <v>0</v>
      </c>
      <c r="O20" s="798">
        <v>0</v>
      </c>
      <c r="P20" s="798">
        <v>0</v>
      </c>
      <c r="Q20" s="798">
        <v>0</v>
      </c>
      <c r="R20" s="798">
        <v>0</v>
      </c>
      <c r="S20" s="797"/>
      <c r="T20" s="797"/>
      <c r="U20" s="797"/>
    </row>
    <row r="21" spans="1:21" ht="16.5" customHeight="1" x14ac:dyDescent="0.2">
      <c r="A21" s="156" t="s">
        <v>857</v>
      </c>
      <c r="B21" s="149" t="s">
        <v>879</v>
      </c>
      <c r="C21" s="150" t="s">
        <v>849</v>
      </c>
      <c r="D21" s="150" t="s">
        <v>880</v>
      </c>
      <c r="E21" s="799">
        <v>78.835999999999999</v>
      </c>
      <c r="F21" s="799">
        <v>84.311999999999998</v>
      </c>
      <c r="G21" s="799">
        <v>87.986999999999995</v>
      </c>
      <c r="H21" s="799">
        <v>90.650999999999996</v>
      </c>
      <c r="I21" s="799">
        <v>100.535</v>
      </c>
      <c r="J21" s="799">
        <v>104.57899999999999</v>
      </c>
      <c r="K21" s="799">
        <v>105.777</v>
      </c>
      <c r="L21" s="799">
        <v>106.937</v>
      </c>
      <c r="M21" s="798">
        <v>111.006</v>
      </c>
      <c r="N21" s="798">
        <v>111.367</v>
      </c>
      <c r="O21" s="798">
        <v>118.55433333333333</v>
      </c>
      <c r="P21" s="798">
        <v>120.506</v>
      </c>
      <c r="Q21" s="798">
        <v>122.795</v>
      </c>
      <c r="R21" s="798">
        <v>125.251</v>
      </c>
      <c r="S21" s="797"/>
      <c r="T21" s="797"/>
      <c r="U21" s="797"/>
    </row>
    <row r="22" spans="1:21" ht="16.5" customHeight="1" x14ac:dyDescent="0.2">
      <c r="A22" s="158" t="s">
        <v>881</v>
      </c>
      <c r="B22" s="146" t="s">
        <v>50</v>
      </c>
      <c r="C22" s="150" t="s">
        <v>840</v>
      </c>
      <c r="D22" s="147" t="s">
        <v>882</v>
      </c>
      <c r="E22" s="798">
        <v>0.1</v>
      </c>
      <c r="F22" s="799">
        <v>4.4999999999999998E-2</v>
      </c>
      <c r="G22" s="799">
        <v>0.02</v>
      </c>
      <c r="H22" s="799">
        <v>1.2999999999999999E-2</v>
      </c>
      <c r="I22" s="799">
        <v>1.2E-2</v>
      </c>
      <c r="J22" s="799">
        <v>7.0000000000000001E-3</v>
      </c>
      <c r="K22" s="799">
        <v>4.0000000000000001E-3</v>
      </c>
      <c r="L22" s="799">
        <v>-6.0000000000000001E-3</v>
      </c>
      <c r="M22" s="798">
        <v>4.0000000000000001E-3</v>
      </c>
      <c r="N22" s="798">
        <v>0</v>
      </c>
      <c r="O22" s="798">
        <v>0</v>
      </c>
      <c r="P22" s="798">
        <v>0</v>
      </c>
      <c r="Q22" s="798">
        <v>0</v>
      </c>
      <c r="R22" s="798">
        <v>0</v>
      </c>
      <c r="S22" s="797"/>
      <c r="T22" s="797"/>
      <c r="U22" s="797"/>
    </row>
    <row r="23" spans="1:21" s="786" customFormat="1" ht="16.5" customHeight="1" x14ac:dyDescent="0.2">
      <c r="A23" s="159" t="s">
        <v>51</v>
      </c>
      <c r="B23" s="143" t="s">
        <v>52</v>
      </c>
      <c r="C23" s="160" t="s">
        <v>840</v>
      </c>
      <c r="D23" s="161" t="s">
        <v>883</v>
      </c>
      <c r="E23" s="796">
        <f>E24+E28</f>
        <v>8081.1660000000002</v>
      </c>
      <c r="F23" s="796">
        <f t="shared" ref="F23:L23" si="3">F24+F28</f>
        <v>8042.8820000000005</v>
      </c>
      <c r="G23" s="796">
        <f t="shared" si="3"/>
        <v>8323.8810000000012</v>
      </c>
      <c r="H23" s="796">
        <f t="shared" si="3"/>
        <v>8721.9049999999988</v>
      </c>
      <c r="I23" s="796">
        <f t="shared" si="3"/>
        <v>9107.7000000000007</v>
      </c>
      <c r="J23" s="796">
        <f t="shared" si="3"/>
        <v>10006.788</v>
      </c>
      <c r="K23" s="796">
        <f t="shared" si="3"/>
        <v>10360.110999999999</v>
      </c>
      <c r="L23" s="796">
        <f t="shared" si="3"/>
        <v>11042.304000000002</v>
      </c>
      <c r="M23" s="796">
        <f t="shared" ref="M23:R23" si="4">M24+M28</f>
        <v>11617.093000000001</v>
      </c>
      <c r="N23" s="796">
        <f t="shared" si="4"/>
        <v>12033.629000000001</v>
      </c>
      <c r="O23" s="796">
        <f t="shared" si="4"/>
        <v>12501.758</v>
      </c>
      <c r="P23" s="796">
        <f t="shared" si="4"/>
        <v>13107.877</v>
      </c>
      <c r="Q23" s="796">
        <f t="shared" si="4"/>
        <v>13817.028000000002</v>
      </c>
      <c r="R23" s="796">
        <f t="shared" si="4"/>
        <v>14608.424000000001</v>
      </c>
      <c r="S23" s="797"/>
      <c r="T23" s="797"/>
      <c r="U23" s="797"/>
    </row>
    <row r="24" spans="1:21" ht="15.75" customHeight="1" x14ac:dyDescent="0.2">
      <c r="A24" s="145" t="s">
        <v>884</v>
      </c>
      <c r="B24" s="146" t="s">
        <v>885</v>
      </c>
      <c r="C24" s="150" t="s">
        <v>849</v>
      </c>
      <c r="D24" s="150" t="s">
        <v>886</v>
      </c>
      <c r="E24" s="798">
        <f t="shared" ref="E24:L24" si="5">E25+E26+E27</f>
        <v>7994.9760000000006</v>
      </c>
      <c r="F24" s="798">
        <f t="shared" si="5"/>
        <v>7947.0910000000003</v>
      </c>
      <c r="G24" s="798">
        <f t="shared" si="5"/>
        <v>8185.0930000000008</v>
      </c>
      <c r="H24" s="798">
        <f t="shared" si="5"/>
        <v>8573.57</v>
      </c>
      <c r="I24" s="798">
        <f t="shared" si="5"/>
        <v>8987.6020000000008</v>
      </c>
      <c r="J24" s="798">
        <f t="shared" si="5"/>
        <v>9864.496000000001</v>
      </c>
      <c r="K24" s="798">
        <f t="shared" si="5"/>
        <v>10206.748</v>
      </c>
      <c r="L24" s="798">
        <f t="shared" si="5"/>
        <v>10871.448000000002</v>
      </c>
      <c r="M24" s="798">
        <f>6467.179+4969.279</f>
        <v>11436.458000000001</v>
      </c>
      <c r="N24" s="798">
        <f>SUM(N25:N26)</f>
        <v>11857.274000000001</v>
      </c>
      <c r="O24" s="798">
        <f t="shared" ref="O24" si="6">SUM(O25:O26)</f>
        <v>12325.062</v>
      </c>
      <c r="P24" s="798">
        <f t="shared" ref="P24" si="7">SUM(P25:P26)</f>
        <v>12941.491</v>
      </c>
      <c r="Q24" s="798">
        <f t="shared" ref="Q24:R24" si="8">SUM(Q25:Q26)</f>
        <v>13650.221000000001</v>
      </c>
      <c r="R24" s="798">
        <f t="shared" si="8"/>
        <v>14437.813</v>
      </c>
      <c r="S24" s="797"/>
      <c r="T24" s="797"/>
      <c r="U24" s="797"/>
    </row>
    <row r="25" spans="1:21" ht="16.5" customHeight="1" x14ac:dyDescent="0.2">
      <c r="A25" s="157" t="s">
        <v>887</v>
      </c>
      <c r="B25" s="149" t="s">
        <v>888</v>
      </c>
      <c r="C25" s="150" t="s">
        <v>849</v>
      </c>
      <c r="D25" s="150" t="s">
        <v>889</v>
      </c>
      <c r="E25" s="798">
        <f>1817.308+2647.291</f>
        <v>4464.5990000000002</v>
      </c>
      <c r="F25" s="798">
        <f>1747.634+2558.815</f>
        <v>4306.4490000000005</v>
      </c>
      <c r="G25" s="798">
        <f>1783.901+2795.29</f>
        <v>4579.1909999999998</v>
      </c>
      <c r="H25" s="798">
        <f>1907.943+2742.951</f>
        <v>4650.8940000000002</v>
      </c>
      <c r="I25" s="798">
        <f>2067.599+2801.073</f>
        <v>4868.6720000000005</v>
      </c>
      <c r="J25" s="798">
        <f>2530.574+3024.958</f>
        <v>5555.5320000000002</v>
      </c>
      <c r="K25" s="798">
        <f>2650.909+3180.657</f>
        <v>5831.5660000000007</v>
      </c>
      <c r="L25" s="798">
        <f>2923.897+3358.847</f>
        <v>6282.7440000000006</v>
      </c>
      <c r="M25" s="798">
        <f>2994.504+3472.675</f>
        <v>6467.1790000000001</v>
      </c>
      <c r="N25" s="798">
        <v>6678.2280000000001</v>
      </c>
      <c r="O25" s="798">
        <v>6932.5029999999997</v>
      </c>
      <c r="P25" s="798">
        <v>7300.9409999999998</v>
      </c>
      <c r="Q25" s="798">
        <v>7705.0020000000004</v>
      </c>
      <c r="R25" s="798">
        <v>8147.2669999999998</v>
      </c>
      <c r="S25" s="797"/>
      <c r="T25" s="797"/>
    </row>
    <row r="26" spans="1:21" ht="16.5" customHeight="1" x14ac:dyDescent="0.2">
      <c r="A26" s="157" t="s">
        <v>890</v>
      </c>
      <c r="B26" s="149" t="s">
        <v>891</v>
      </c>
      <c r="C26" s="150" t="s">
        <v>849</v>
      </c>
      <c r="D26" s="150" t="s">
        <v>892</v>
      </c>
      <c r="E26" s="798">
        <v>1982.5840000000001</v>
      </c>
      <c r="F26" s="798">
        <v>1911.952</v>
      </c>
      <c r="G26" s="798">
        <v>2108.2130000000002</v>
      </c>
      <c r="H26" s="798">
        <v>2050.326</v>
      </c>
      <c r="I26" s="798">
        <v>2159.192</v>
      </c>
      <c r="J26" s="798">
        <f>2254.846</f>
        <v>2254.846</v>
      </c>
      <c r="K26" s="798">
        <v>2292.3809999999999</v>
      </c>
      <c r="L26" s="798">
        <v>2477.6559999999999</v>
      </c>
      <c r="M26" s="798">
        <v>2632.7469999999998</v>
      </c>
      <c r="N26" s="798">
        <v>5179.0460000000003</v>
      </c>
      <c r="O26" s="798">
        <v>5392.5590000000002</v>
      </c>
      <c r="P26" s="798">
        <v>5640.55</v>
      </c>
      <c r="Q26" s="798">
        <v>5945.2190000000001</v>
      </c>
      <c r="R26" s="798">
        <v>6290.5460000000003</v>
      </c>
      <c r="S26" s="797"/>
      <c r="T26" s="797"/>
    </row>
    <row r="27" spans="1:21" ht="16.5" customHeight="1" x14ac:dyDescent="0.2">
      <c r="A27" s="157" t="s">
        <v>893</v>
      </c>
      <c r="B27" s="149" t="s">
        <v>894</v>
      </c>
      <c r="C27" s="150" t="s">
        <v>849</v>
      </c>
      <c r="D27" s="150" t="s">
        <v>895</v>
      </c>
      <c r="E27" s="798">
        <f>0.066+1547.727+0</f>
        <v>1547.7930000000001</v>
      </c>
      <c r="F27" s="798">
        <f>0.026+1728.664+0</f>
        <v>1728.69</v>
      </c>
      <c r="G27" s="798">
        <f>0.029+1497.66+0</f>
        <v>1497.6890000000001</v>
      </c>
      <c r="H27" s="798">
        <f>0.014+1872.336+0</f>
        <v>1872.35</v>
      </c>
      <c r="I27" s="798">
        <f>0.108+1959.63+0</f>
        <v>1959.7380000000001</v>
      </c>
      <c r="J27" s="798">
        <f>0.214+2053.904+0</f>
        <v>2054.1179999999999</v>
      </c>
      <c r="K27" s="798">
        <f>0.244+2082.557+0</f>
        <v>2082.8009999999999</v>
      </c>
      <c r="L27" s="798">
        <f>0.295+2110.753</f>
        <v>2111.0480000000002</v>
      </c>
      <c r="M27" s="798">
        <f>14.534+2321.998+0</f>
        <v>2336.5320000000002</v>
      </c>
      <c r="N27" s="798" t="s">
        <v>2</v>
      </c>
      <c r="O27" s="798" t="s">
        <v>2</v>
      </c>
      <c r="P27" s="798" t="s">
        <v>2</v>
      </c>
      <c r="Q27" s="798" t="s">
        <v>2</v>
      </c>
      <c r="R27" s="798" t="s">
        <v>2</v>
      </c>
      <c r="S27" s="797"/>
      <c r="T27" s="797"/>
    </row>
    <row r="28" spans="1:21" ht="16.5" customHeight="1" x14ac:dyDescent="0.2">
      <c r="A28" s="145" t="s">
        <v>896</v>
      </c>
      <c r="B28" s="146" t="s">
        <v>897</v>
      </c>
      <c r="C28" s="150" t="s">
        <v>849</v>
      </c>
      <c r="D28" s="150" t="s">
        <v>898</v>
      </c>
      <c r="E28" s="798">
        <v>86.19</v>
      </c>
      <c r="F28" s="798">
        <v>95.790999999999997</v>
      </c>
      <c r="G28" s="798">
        <v>138.78800000000001</v>
      </c>
      <c r="H28" s="798">
        <v>148.33500000000001</v>
      </c>
      <c r="I28" s="798">
        <v>120.098</v>
      </c>
      <c r="J28" s="798">
        <v>142.292</v>
      </c>
      <c r="K28" s="798">
        <v>153.363</v>
      </c>
      <c r="L28" s="798">
        <v>170.85599999999999</v>
      </c>
      <c r="M28" s="798">
        <v>180.63499999999999</v>
      </c>
      <c r="N28" s="798">
        <v>176.35499999999999</v>
      </c>
      <c r="O28" s="798">
        <v>176.696</v>
      </c>
      <c r="P28" s="798">
        <v>166.386</v>
      </c>
      <c r="Q28" s="798">
        <v>166.80699999999999</v>
      </c>
      <c r="R28" s="798">
        <v>170.61099999999999</v>
      </c>
      <c r="S28" s="797"/>
      <c r="T28" s="797"/>
    </row>
    <row r="29" spans="1:21" s="804" customFormat="1" ht="16.5" customHeight="1" x14ac:dyDescent="0.2">
      <c r="A29" s="162" t="s">
        <v>899</v>
      </c>
      <c r="B29" s="143" t="s">
        <v>843</v>
      </c>
      <c r="C29" s="163" t="s">
        <v>843</v>
      </c>
      <c r="D29" s="163" t="s">
        <v>843</v>
      </c>
      <c r="E29" s="796">
        <f t="shared" ref="E29:P29" si="9">E30+E33</f>
        <v>2557.1579999999999</v>
      </c>
      <c r="F29" s="796">
        <f t="shared" si="9"/>
        <v>2910.665</v>
      </c>
      <c r="G29" s="796">
        <f t="shared" si="9"/>
        <v>2843.1269999999995</v>
      </c>
      <c r="H29" s="796">
        <f t="shared" si="9"/>
        <v>3189.625</v>
      </c>
      <c r="I29" s="796">
        <f t="shared" si="9"/>
        <v>3755.8669999999997</v>
      </c>
      <c r="J29" s="796">
        <f t="shared" si="9"/>
        <v>3902.5699999999997</v>
      </c>
      <c r="K29" s="796">
        <f t="shared" si="9"/>
        <v>3842.3780000000002</v>
      </c>
      <c r="L29" s="796">
        <f t="shared" si="9"/>
        <v>4115.3609999999999</v>
      </c>
      <c r="M29" s="796">
        <f t="shared" si="9"/>
        <v>4172.8279999999995</v>
      </c>
      <c r="N29" s="796">
        <f>N30+N33</f>
        <v>3935.0600000000004</v>
      </c>
      <c r="O29" s="796">
        <f t="shared" si="9"/>
        <v>3913.7650000000003</v>
      </c>
      <c r="P29" s="796">
        <f t="shared" si="9"/>
        <v>4161.8379999999997</v>
      </c>
      <c r="Q29" s="796">
        <f t="shared" ref="Q29:R29" si="10">Q30+Q33</f>
        <v>4272.6959999999999</v>
      </c>
      <c r="R29" s="796">
        <f t="shared" si="10"/>
        <v>4328.54</v>
      </c>
      <c r="S29" s="797"/>
      <c r="T29" s="797"/>
    </row>
    <row r="30" spans="1:21" ht="16.5" customHeight="1" x14ac:dyDescent="0.2">
      <c r="A30" s="158" t="s">
        <v>900</v>
      </c>
      <c r="B30" s="146" t="s">
        <v>901</v>
      </c>
      <c r="C30" s="164" t="s">
        <v>843</v>
      </c>
      <c r="D30" s="164" t="s">
        <v>843</v>
      </c>
      <c r="E30" s="799">
        <f>E31+E32</f>
        <v>1705.797</v>
      </c>
      <c r="F30" s="799">
        <f t="shared" ref="F30:P30" si="11">F31+F32</f>
        <v>2050.0650000000001</v>
      </c>
      <c r="G30" s="799">
        <f t="shared" si="11"/>
        <v>2201.9249999999997</v>
      </c>
      <c r="H30" s="799">
        <f t="shared" si="11"/>
        <v>2526.605</v>
      </c>
      <c r="I30" s="799">
        <f t="shared" si="11"/>
        <v>2929.5279999999998</v>
      </c>
      <c r="J30" s="799">
        <f t="shared" si="11"/>
        <v>3233.4449999999997</v>
      </c>
      <c r="K30" s="799">
        <f t="shared" si="11"/>
        <v>3290.152</v>
      </c>
      <c r="L30" s="799">
        <f t="shared" si="11"/>
        <v>3482.3019999999997</v>
      </c>
      <c r="M30" s="799">
        <f t="shared" si="11"/>
        <v>3555.663</v>
      </c>
      <c r="N30" s="799">
        <f>N31+N32</f>
        <v>3387.1220000000003</v>
      </c>
      <c r="O30" s="799">
        <f t="shared" si="11"/>
        <v>3353.3270000000002</v>
      </c>
      <c r="P30" s="799">
        <f t="shared" si="11"/>
        <v>3600.5410000000002</v>
      </c>
      <c r="Q30" s="799">
        <f t="shared" ref="Q30:R30" si="12">Q31+Q32</f>
        <v>3703.6749999999997</v>
      </c>
      <c r="R30" s="799">
        <f t="shared" si="12"/>
        <v>3757.9749999999999</v>
      </c>
      <c r="S30" s="797"/>
      <c r="T30" s="797"/>
    </row>
    <row r="31" spans="1:21" ht="16.5" customHeight="1" x14ac:dyDescent="0.2">
      <c r="A31" s="157" t="s">
        <v>902</v>
      </c>
      <c r="B31" s="146" t="s">
        <v>437</v>
      </c>
      <c r="C31" s="147" t="s">
        <v>903</v>
      </c>
      <c r="D31" s="147" t="s">
        <v>903</v>
      </c>
      <c r="E31" s="798">
        <v>1586.164</v>
      </c>
      <c r="F31" s="799">
        <v>1932.933</v>
      </c>
      <c r="G31" s="799">
        <v>2082.9319999999998</v>
      </c>
      <c r="H31" s="799">
        <v>2401.89</v>
      </c>
      <c r="I31" s="798">
        <v>2768.491</v>
      </c>
      <c r="J31" s="798">
        <v>3069.4859999999999</v>
      </c>
      <c r="K31" s="798">
        <v>3126.9369999999999</v>
      </c>
      <c r="L31" s="799">
        <v>3336.1329999999998</v>
      </c>
      <c r="M31" s="799">
        <v>3411.4720000000002</v>
      </c>
      <c r="N31" s="799">
        <v>3353.3380000000002</v>
      </c>
      <c r="O31" s="799">
        <v>3319.5430000000001</v>
      </c>
      <c r="P31" s="799">
        <f>3565.089</f>
        <v>3565.0889999999999</v>
      </c>
      <c r="Q31" s="799">
        <v>3668.1959999999999</v>
      </c>
      <c r="R31" s="799">
        <v>3722.4670000000001</v>
      </c>
      <c r="S31" s="797"/>
      <c r="T31" s="797"/>
    </row>
    <row r="32" spans="1:21" ht="16.5" customHeight="1" x14ac:dyDescent="0.2">
      <c r="A32" s="157" t="s">
        <v>904</v>
      </c>
      <c r="B32" s="146" t="s">
        <v>905</v>
      </c>
      <c r="C32" s="164" t="s">
        <v>840</v>
      </c>
      <c r="D32" s="164" t="s">
        <v>906</v>
      </c>
      <c r="E32" s="799">
        <v>119.633</v>
      </c>
      <c r="F32" s="803">
        <v>117.13200000000001</v>
      </c>
      <c r="G32" s="803">
        <v>118.99299999999999</v>
      </c>
      <c r="H32" s="803">
        <v>124.715</v>
      </c>
      <c r="I32" s="802">
        <v>161.03700000000001</v>
      </c>
      <c r="J32" s="798">
        <v>163.959</v>
      </c>
      <c r="K32" s="799">
        <v>163.215</v>
      </c>
      <c r="L32" s="799">
        <v>146.16900000000001</v>
      </c>
      <c r="M32" s="799">
        <v>144.191</v>
      </c>
      <c r="N32" s="799">
        <v>33.783999999999999</v>
      </c>
      <c r="O32" s="799">
        <v>33.783999999999999</v>
      </c>
      <c r="P32" s="799">
        <v>35.451999999999998</v>
      </c>
      <c r="Q32" s="799">
        <v>35.478999999999999</v>
      </c>
      <c r="R32" s="799">
        <v>35.508000000000003</v>
      </c>
      <c r="S32" s="797"/>
      <c r="T32" s="797"/>
    </row>
    <row r="33" spans="1:20" ht="16.5" customHeight="1" x14ac:dyDescent="0.2">
      <c r="A33" s="145" t="s">
        <v>907</v>
      </c>
      <c r="B33" s="146" t="s">
        <v>908</v>
      </c>
      <c r="C33" s="147" t="s">
        <v>840</v>
      </c>
      <c r="D33" s="147" t="s">
        <v>909</v>
      </c>
      <c r="E33" s="799">
        <v>851.36099999999999</v>
      </c>
      <c r="F33" s="803">
        <v>860.6</v>
      </c>
      <c r="G33" s="803">
        <v>641.202</v>
      </c>
      <c r="H33" s="803">
        <v>663.02</v>
      </c>
      <c r="I33" s="802">
        <v>826.33900000000006</v>
      </c>
      <c r="J33" s="798">
        <v>669.125</v>
      </c>
      <c r="K33" s="799">
        <v>552.226</v>
      </c>
      <c r="L33" s="799">
        <v>633.05899999999997</v>
      </c>
      <c r="M33" s="799">
        <v>617.16499999999996</v>
      </c>
      <c r="N33" s="799">
        <v>547.93799999999999</v>
      </c>
      <c r="O33" s="799">
        <v>560.43799999999999</v>
      </c>
      <c r="P33" s="799">
        <v>561.29700000000003</v>
      </c>
      <c r="Q33" s="799">
        <v>569.02099999999996</v>
      </c>
      <c r="R33" s="799">
        <v>570.56500000000005</v>
      </c>
      <c r="S33" s="797"/>
      <c r="T33" s="797"/>
    </row>
    <row r="34" spans="1:20" ht="16.5" customHeight="1" x14ac:dyDescent="0.2">
      <c r="A34" s="157" t="s">
        <v>910</v>
      </c>
      <c r="B34" s="165" t="s">
        <v>911</v>
      </c>
      <c r="C34" s="147" t="s">
        <v>912</v>
      </c>
      <c r="D34" s="147" t="s">
        <v>913</v>
      </c>
      <c r="E34" s="798">
        <v>506.34</v>
      </c>
      <c r="F34" s="803">
        <v>590.29999999999995</v>
      </c>
      <c r="G34" s="803">
        <v>445.36599999999999</v>
      </c>
      <c r="H34" s="803">
        <v>476.6</v>
      </c>
      <c r="I34" s="803">
        <v>634.42200000000003</v>
      </c>
      <c r="J34" s="799">
        <v>460.00900000000001</v>
      </c>
      <c r="K34" s="799">
        <f>396.975-396.975+304.096</f>
        <v>304.096</v>
      </c>
      <c r="L34" s="799">
        <f>444.674-444.674+349.759</f>
        <v>349.75900000000001</v>
      </c>
      <c r="M34" s="799">
        <v>334.64800000000002</v>
      </c>
      <c r="N34" s="799">
        <v>452.43299999999999</v>
      </c>
      <c r="O34" s="799">
        <v>461.14100000000002</v>
      </c>
      <c r="P34" s="799">
        <v>475.04199999999997</v>
      </c>
      <c r="Q34" s="799">
        <v>481.64800000000002</v>
      </c>
      <c r="R34" s="799">
        <v>482.86399999999998</v>
      </c>
      <c r="S34" s="797"/>
      <c r="T34" s="797"/>
    </row>
    <row r="35" spans="1:20" ht="16.5" customHeight="1" x14ac:dyDescent="0.2">
      <c r="A35" s="157" t="s">
        <v>914</v>
      </c>
      <c r="B35" s="165" t="s">
        <v>915</v>
      </c>
      <c r="C35" s="147" t="s">
        <v>916</v>
      </c>
      <c r="D35" s="147" t="s">
        <v>917</v>
      </c>
      <c r="E35" s="799">
        <v>293.72500000000002</v>
      </c>
      <c r="F35" s="803">
        <v>225.732</v>
      </c>
      <c r="G35" s="803">
        <v>120.059</v>
      </c>
      <c r="H35" s="803">
        <v>137.69900000000001</v>
      </c>
      <c r="I35" s="803">
        <v>143.86600000000001</v>
      </c>
      <c r="J35" s="799">
        <v>155.85499999999999</v>
      </c>
      <c r="K35" s="799">
        <v>191.41</v>
      </c>
      <c r="L35" s="799">
        <v>226.809</v>
      </c>
      <c r="M35" s="799">
        <v>226.09399999999999</v>
      </c>
      <c r="N35" s="799">
        <v>43.39</v>
      </c>
      <c r="O35" s="799">
        <v>38.353000000000002</v>
      </c>
      <c r="P35" s="799">
        <v>37.524999999999999</v>
      </c>
      <c r="Q35" s="799">
        <v>37.651000000000003</v>
      </c>
      <c r="R35" s="799">
        <v>37.765000000000001</v>
      </c>
      <c r="S35" s="797"/>
      <c r="T35" s="797"/>
    </row>
    <row r="36" spans="1:20" s="804" customFormat="1" ht="16.5" customHeight="1" x14ac:dyDescent="0.2">
      <c r="A36" s="159" t="s">
        <v>433</v>
      </c>
      <c r="B36" s="143" t="s">
        <v>918</v>
      </c>
      <c r="C36" s="163" t="s">
        <v>843</v>
      </c>
      <c r="D36" s="163" t="s">
        <v>843</v>
      </c>
      <c r="E36" s="796">
        <f t="shared" ref="E36:P36" si="13">E38+E39+E40</f>
        <v>1318.019</v>
      </c>
      <c r="F36" s="796">
        <f t="shared" si="13"/>
        <v>1905.3870000000002</v>
      </c>
      <c r="G36" s="796">
        <f t="shared" si="13"/>
        <v>1664.1469999999999</v>
      </c>
      <c r="H36" s="796">
        <f t="shared" si="13"/>
        <v>2464.5929999999998</v>
      </c>
      <c r="I36" s="796">
        <f t="shared" si="13"/>
        <v>2125.9639999999999</v>
      </c>
      <c r="J36" s="796">
        <f t="shared" si="13"/>
        <v>2462.9769999999999</v>
      </c>
      <c r="K36" s="796">
        <f t="shared" si="13"/>
        <v>2472.913</v>
      </c>
      <c r="L36" s="796">
        <f t="shared" si="13"/>
        <v>4072.9440000000004</v>
      </c>
      <c r="M36" s="796">
        <f t="shared" si="13"/>
        <v>1542.6210000000001</v>
      </c>
      <c r="N36" s="796">
        <f t="shared" ref="N36" si="14">N38+N39+N40</f>
        <v>1887.211</v>
      </c>
      <c r="O36" s="796">
        <f t="shared" si="13"/>
        <v>1581.0209999999997</v>
      </c>
      <c r="P36" s="796">
        <f t="shared" si="13"/>
        <v>939.38400000000001</v>
      </c>
      <c r="Q36" s="796">
        <f t="shared" ref="Q36:R36" si="15">Q38+Q39+Q40</f>
        <v>1970.337</v>
      </c>
      <c r="R36" s="796">
        <f t="shared" si="15"/>
        <v>1912.6870000000001</v>
      </c>
      <c r="S36" s="797"/>
      <c r="T36" s="797"/>
    </row>
    <row r="37" spans="1:20" ht="16.5" customHeight="1" x14ac:dyDescent="0.2">
      <c r="A37" s="166" t="s">
        <v>919</v>
      </c>
      <c r="B37" s="167" t="s">
        <v>920</v>
      </c>
      <c r="C37" s="168" t="s">
        <v>921</v>
      </c>
      <c r="D37" s="168" t="s">
        <v>921</v>
      </c>
      <c r="E37" s="799">
        <f>863.316-664.004+(82.62)</f>
        <v>281.93200000000002</v>
      </c>
      <c r="F37" s="799">
        <f>1111.48-809.95+(-7.137)</f>
        <v>294.39299999999997</v>
      </c>
      <c r="G37" s="799">
        <f>1663.755-1239.247+(225.936)</f>
        <v>650.44400000000007</v>
      </c>
      <c r="H37" s="799">
        <f>2031.344-1297.937+(60.035)</f>
        <v>793.44200000000012</v>
      </c>
      <c r="I37" s="798">
        <f>2127.345-1208.845+(-113.094)</f>
        <v>805.40599999999972</v>
      </c>
      <c r="J37" s="798">
        <f>2174.997-1218.111+(-148.212)</f>
        <v>808.67399999999975</v>
      </c>
      <c r="K37" s="798">
        <f>1257.505-818.843+(756.009)</f>
        <v>1194.6710000000003</v>
      </c>
      <c r="L37" s="799">
        <f>(4296.74+0.703)-1522.199+22.795-198.509+1522.199-1333.354</f>
        <v>2788.375</v>
      </c>
      <c r="M37" s="799">
        <f>(0.877+2589.767)-956.938-209.81</f>
        <v>1423.8959999999997</v>
      </c>
      <c r="N37" s="799">
        <v>1148.5540000000001</v>
      </c>
      <c r="O37" s="799">
        <v>810.125</v>
      </c>
      <c r="P37" s="799">
        <v>346.04300000000001</v>
      </c>
      <c r="Q37" s="799">
        <v>1331.395</v>
      </c>
      <c r="R37" s="799">
        <v>1226.511</v>
      </c>
      <c r="S37" s="797"/>
      <c r="T37" s="797"/>
    </row>
    <row r="38" spans="1:20" ht="16.5" customHeight="1" x14ac:dyDescent="0.2">
      <c r="A38" s="158" t="s">
        <v>922</v>
      </c>
      <c r="B38" s="146" t="s">
        <v>923</v>
      </c>
      <c r="C38" s="164" t="s">
        <v>840</v>
      </c>
      <c r="D38" s="164" t="s">
        <v>924</v>
      </c>
      <c r="E38" s="799">
        <v>0</v>
      </c>
      <c r="F38" s="799">
        <v>0</v>
      </c>
      <c r="G38" s="799">
        <v>0</v>
      </c>
      <c r="H38" s="799">
        <v>0</v>
      </c>
      <c r="I38" s="798">
        <v>0</v>
      </c>
      <c r="J38" s="798">
        <v>0</v>
      </c>
      <c r="K38" s="798">
        <v>0</v>
      </c>
      <c r="L38" s="799">
        <v>0</v>
      </c>
      <c r="M38" s="799">
        <v>0</v>
      </c>
      <c r="N38" s="799"/>
      <c r="O38" s="799">
        <v>0</v>
      </c>
      <c r="P38" s="799">
        <v>0</v>
      </c>
      <c r="Q38" s="799">
        <v>0</v>
      </c>
      <c r="R38" s="799">
        <v>0</v>
      </c>
      <c r="S38" s="797"/>
      <c r="T38" s="797"/>
    </row>
    <row r="39" spans="1:20" ht="16.5" customHeight="1" x14ac:dyDescent="0.2">
      <c r="A39" s="145" t="s">
        <v>617</v>
      </c>
      <c r="B39" s="146" t="s">
        <v>925</v>
      </c>
      <c r="C39" s="147" t="s">
        <v>840</v>
      </c>
      <c r="D39" s="147" t="s">
        <v>926</v>
      </c>
      <c r="E39" s="798">
        <v>1155.759</v>
      </c>
      <c r="F39" s="798">
        <v>1274.8440000000001</v>
      </c>
      <c r="G39" s="799">
        <v>1027.778</v>
      </c>
      <c r="H39" s="799">
        <v>1583.7190000000001</v>
      </c>
      <c r="I39" s="798">
        <v>1347.222</v>
      </c>
      <c r="J39" s="798">
        <v>1477.7139999999999</v>
      </c>
      <c r="K39" s="798">
        <f>1438.031-1438.031+1510.906</f>
        <v>1510.9059999999999</v>
      </c>
      <c r="L39" s="799">
        <v>2157.163</v>
      </c>
      <c r="M39" s="799">
        <v>988.197</v>
      </c>
      <c r="N39" s="799">
        <v>1844.2180000000001</v>
      </c>
      <c r="O39" s="799">
        <v>1525.4119999999998</v>
      </c>
      <c r="P39" s="799">
        <v>905.57100000000003</v>
      </c>
      <c r="Q39" s="799">
        <v>1863.617</v>
      </c>
      <c r="R39" s="799">
        <v>1762.6780000000001</v>
      </c>
      <c r="S39" s="797"/>
      <c r="T39" s="797"/>
    </row>
    <row r="40" spans="1:20" ht="16.5" customHeight="1" x14ac:dyDescent="0.2">
      <c r="A40" s="169" t="s">
        <v>68</v>
      </c>
      <c r="B40" s="170" t="s">
        <v>927</v>
      </c>
      <c r="C40" s="147" t="s">
        <v>840</v>
      </c>
      <c r="D40" s="147" t="s">
        <v>928</v>
      </c>
      <c r="E40" s="799">
        <f>162.36-E22</f>
        <v>162.26000000000002</v>
      </c>
      <c r="F40" s="799">
        <f>630.588-F22</f>
        <v>630.54300000000001</v>
      </c>
      <c r="G40" s="799">
        <v>636.36900000000003</v>
      </c>
      <c r="H40" s="799">
        <f>880.887-H22</f>
        <v>880.87399999999991</v>
      </c>
      <c r="I40" s="798">
        <f>778.754-I22</f>
        <v>778.74200000000008</v>
      </c>
      <c r="J40" s="798">
        <f>985.27-J22</f>
        <v>985.26300000000003</v>
      </c>
      <c r="K40" s="798">
        <f>962.011-K22</f>
        <v>962.00699999999995</v>
      </c>
      <c r="L40" s="799">
        <f>2074.316-2074.316+1915.775-L22</f>
        <v>1915.7810000000002</v>
      </c>
      <c r="M40" s="799">
        <f>554.428-M22</f>
        <v>554.42399999999998</v>
      </c>
      <c r="N40" s="799">
        <v>42.993000000000002</v>
      </c>
      <c r="O40" s="799">
        <v>55.60899999999998</v>
      </c>
      <c r="P40" s="799">
        <v>33.813000000000002</v>
      </c>
      <c r="Q40" s="799">
        <v>106.72</v>
      </c>
      <c r="R40" s="799">
        <v>150.00899999999999</v>
      </c>
      <c r="S40" s="805"/>
      <c r="T40" s="797"/>
    </row>
    <row r="41" spans="1:20" ht="16.5" customHeight="1" x14ac:dyDescent="0.2">
      <c r="A41" s="159" t="s">
        <v>929</v>
      </c>
      <c r="B41" s="143" t="s">
        <v>918</v>
      </c>
      <c r="C41" s="163" t="s">
        <v>843</v>
      </c>
      <c r="D41" s="163" t="s">
        <v>843</v>
      </c>
      <c r="E41" s="796"/>
      <c r="F41" s="796"/>
      <c r="G41" s="796"/>
      <c r="H41" s="796"/>
      <c r="I41" s="796"/>
      <c r="J41" s="796"/>
      <c r="K41" s="796"/>
      <c r="L41" s="796"/>
      <c r="M41" s="796"/>
      <c r="N41" s="796"/>
      <c r="O41" s="796"/>
      <c r="P41" s="796"/>
      <c r="Q41" s="796">
        <v>107.093</v>
      </c>
      <c r="R41" s="796">
        <v>161.02800000000002</v>
      </c>
      <c r="S41" s="805"/>
      <c r="T41" s="797"/>
    </row>
    <row r="42" spans="1:20" ht="16.5" customHeight="1" x14ac:dyDescent="0.2">
      <c r="A42" s="136" t="s">
        <v>56</v>
      </c>
      <c r="B42" s="137" t="s">
        <v>41</v>
      </c>
      <c r="C42" s="137" t="s">
        <v>840</v>
      </c>
      <c r="D42" s="137" t="s">
        <v>840</v>
      </c>
      <c r="E42" s="806">
        <f>E44+E81</f>
        <v>25299.29</v>
      </c>
      <c r="F42" s="806">
        <f t="shared" ref="F42:M42" si="16">F44+F81</f>
        <v>28224.154999999999</v>
      </c>
      <c r="G42" s="806">
        <f t="shared" si="16"/>
        <v>28480.449000000001</v>
      </c>
      <c r="H42" s="806">
        <f t="shared" si="16"/>
        <v>28827.822</v>
      </c>
      <c r="I42" s="806">
        <f t="shared" si="16"/>
        <v>29539.480999999996</v>
      </c>
      <c r="J42" s="806">
        <f t="shared" si="16"/>
        <v>30736.550999999996</v>
      </c>
      <c r="K42" s="806">
        <f t="shared" si="16"/>
        <v>31983.491000000002</v>
      </c>
      <c r="L42" s="806">
        <f t="shared" si="16"/>
        <v>35691.877999999997</v>
      </c>
      <c r="M42" s="806">
        <f t="shared" si="16"/>
        <v>33684.084999999999</v>
      </c>
      <c r="N42" s="806">
        <f t="shared" ref="N42" si="17">N45+N48+N49+N52+N58+N61+N78+N81</f>
        <v>34533.618999999999</v>
      </c>
      <c r="O42" s="171">
        <f>O45+O48+O49+O52+O58+O61+O78+O81</f>
        <v>34685.646000000001</v>
      </c>
      <c r="P42" s="172">
        <f>P45+P48+P49+P52+P58+P61+P78+P81</f>
        <v>35175.083000000006</v>
      </c>
      <c r="Q42" s="171">
        <f>Q45+Q48+Q49+Q52+Q58+Q61+Q78+Q81+Q88</f>
        <v>37276.602999999996</v>
      </c>
      <c r="R42" s="172">
        <f>R45+R48+R49+R52+R58+R61+R78+R81+R88</f>
        <v>38858.705000000002</v>
      </c>
      <c r="S42" s="805"/>
      <c r="T42" s="797"/>
    </row>
    <row r="43" spans="1:20" ht="16.5" customHeight="1" x14ac:dyDescent="0.2">
      <c r="A43" s="138" t="s">
        <v>4</v>
      </c>
      <c r="B43" s="139"/>
      <c r="C43" s="173"/>
      <c r="D43" s="173"/>
      <c r="E43" s="174">
        <f t="shared" ref="E43:M43" si="18">E42/E91</f>
        <v>0.36937799671784566</v>
      </c>
      <c r="F43" s="174">
        <f t="shared" si="18"/>
        <v>0.4408433049946035</v>
      </c>
      <c r="G43" s="174">
        <f t="shared" si="18"/>
        <v>0.42144993955070709</v>
      </c>
      <c r="H43" s="174">
        <f t="shared" si="18"/>
        <v>0.40816883580263696</v>
      </c>
      <c r="I43" s="174">
        <f t="shared" si="18"/>
        <v>0.40630067328257918</v>
      </c>
      <c r="J43" s="174">
        <f t="shared" si="18"/>
        <v>0.41440749130040971</v>
      </c>
      <c r="K43" s="174">
        <f t="shared" si="18"/>
        <v>0.42113264442341458</v>
      </c>
      <c r="L43" s="174">
        <f t="shared" si="18"/>
        <v>0.4536010956412766</v>
      </c>
      <c r="M43" s="174">
        <f t="shared" si="18"/>
        <v>0.41606861997239952</v>
      </c>
      <c r="N43" s="174">
        <f>N42/N91</f>
        <v>0.41115667504284309</v>
      </c>
      <c r="O43" s="174">
        <f>O42/O91</f>
        <v>0.40999790262627128</v>
      </c>
      <c r="P43" s="174">
        <f>P42/P91</f>
        <v>0.39303817867640795</v>
      </c>
      <c r="Q43" s="174">
        <f>Q42/Q91</f>
        <v>0.39131076106895474</v>
      </c>
      <c r="R43" s="174">
        <f>R42/R91</f>
        <v>0.38471164121645346</v>
      </c>
      <c r="S43" s="797"/>
      <c r="T43" s="797"/>
    </row>
    <row r="44" spans="1:20" s="786" customFormat="1" ht="16.5" customHeight="1" x14ac:dyDescent="0.2">
      <c r="A44" s="175" t="s">
        <v>930</v>
      </c>
      <c r="B44" s="143" t="s">
        <v>843</v>
      </c>
      <c r="C44" s="144" t="s">
        <v>843</v>
      </c>
      <c r="D44" s="144" t="s">
        <v>843</v>
      </c>
      <c r="E44" s="796">
        <f>E45+E48+E49+E52+E58+E61+E78</f>
        <v>22436.556</v>
      </c>
      <c r="F44" s="796">
        <f t="shared" ref="F44:P44" si="19">F45+F48+F49+F52+F58+F61+F78</f>
        <v>24547.108</v>
      </c>
      <c r="G44" s="796">
        <f t="shared" si="19"/>
        <v>25435.564000000002</v>
      </c>
      <c r="H44" s="796">
        <f t="shared" si="19"/>
        <v>25656.080999999998</v>
      </c>
      <c r="I44" s="796">
        <f t="shared" si="19"/>
        <v>26646.898999999998</v>
      </c>
      <c r="J44" s="796">
        <f t="shared" si="19"/>
        <v>27803.979999999996</v>
      </c>
      <c r="K44" s="796">
        <f t="shared" si="19"/>
        <v>28756.422000000002</v>
      </c>
      <c r="L44" s="796">
        <f t="shared" si="19"/>
        <v>30076.887999999995</v>
      </c>
      <c r="M44" s="796">
        <f t="shared" si="19"/>
        <v>30534.166000000001</v>
      </c>
      <c r="N44" s="796">
        <f t="shared" si="19"/>
        <v>31272.936000000002</v>
      </c>
      <c r="O44" s="796">
        <f t="shared" si="19"/>
        <v>31556.273999999998</v>
      </c>
      <c r="P44" s="796">
        <f t="shared" si="19"/>
        <v>32807.440000000002</v>
      </c>
      <c r="Q44" s="796">
        <f t="shared" ref="Q44:R44" si="20">Q45+Q48+Q49+Q52+Q58+Q61+Q78</f>
        <v>34598.014999999999</v>
      </c>
      <c r="R44" s="796">
        <f t="shared" si="20"/>
        <v>35948.779000000002</v>
      </c>
      <c r="S44" s="797"/>
      <c r="T44" s="797"/>
    </row>
    <row r="45" spans="1:20" s="804" customFormat="1" ht="16.5" customHeight="1" x14ac:dyDescent="0.2">
      <c r="A45" s="176" t="s">
        <v>57</v>
      </c>
      <c r="B45" s="177" t="s">
        <v>405</v>
      </c>
      <c r="C45" s="147" t="s">
        <v>840</v>
      </c>
      <c r="D45" s="147" t="s">
        <v>931</v>
      </c>
      <c r="E45" s="799">
        <v>5123.9579999999996</v>
      </c>
      <c r="F45" s="799">
        <v>5479.2550000000001</v>
      </c>
      <c r="G45" s="799">
        <v>5716.1260000000002</v>
      </c>
      <c r="H45" s="799">
        <v>5845.6589999999997</v>
      </c>
      <c r="I45" s="798">
        <v>5991.2939999999999</v>
      </c>
      <c r="J45" s="798">
        <v>6356.049</v>
      </c>
      <c r="K45" s="798">
        <v>6693.7380000000003</v>
      </c>
      <c r="L45" s="799">
        <v>7049.4970000000003</v>
      </c>
      <c r="M45" s="799">
        <v>7400.143</v>
      </c>
      <c r="N45" s="799">
        <v>7342.7070000000003</v>
      </c>
      <c r="O45" s="799">
        <v>7597.9260000000004</v>
      </c>
      <c r="P45" s="799">
        <f>8021.442+83.786</f>
        <v>8105.2280000000001</v>
      </c>
      <c r="Q45" s="799">
        <f>8528.972+236.414</f>
        <v>8765.3860000000004</v>
      </c>
      <c r="R45" s="799">
        <f>8728.887+332.585</f>
        <v>9061.4719999999998</v>
      </c>
      <c r="S45" s="797"/>
      <c r="T45" s="797"/>
    </row>
    <row r="46" spans="1:20" s="804" customFormat="1" ht="16.5" customHeight="1" x14ac:dyDescent="0.2">
      <c r="A46" s="157" t="s">
        <v>614</v>
      </c>
      <c r="B46" s="149" t="s">
        <v>932</v>
      </c>
      <c r="C46" s="147" t="s">
        <v>916</v>
      </c>
      <c r="D46" s="147" t="s">
        <v>933</v>
      </c>
      <c r="E46" s="798">
        <v>3882.7379999999998</v>
      </c>
      <c r="F46" s="798">
        <v>4068.3440000000001</v>
      </c>
      <c r="G46" s="798">
        <v>4241.7030000000004</v>
      </c>
      <c r="H46" s="798">
        <v>4259.3040000000001</v>
      </c>
      <c r="I46" s="798">
        <v>4439.4539999999997</v>
      </c>
      <c r="J46" s="798">
        <v>4666.4269999999997</v>
      </c>
      <c r="K46" s="798">
        <v>4894.2</v>
      </c>
      <c r="L46" s="798">
        <v>5141.5820000000003</v>
      </c>
      <c r="M46" s="798">
        <v>5412.2139999999999</v>
      </c>
      <c r="N46" s="798">
        <v>5336.4309999999996</v>
      </c>
      <c r="O46" s="798">
        <v>5521.7269999999999</v>
      </c>
      <c r="P46" s="798">
        <f>5871.86+61.102</f>
        <v>5932.9619999999995</v>
      </c>
      <c r="Q46" s="798">
        <f>6271.877+172.472</f>
        <v>6444.3490000000002</v>
      </c>
      <c r="R46" s="798">
        <f>6394.213+243.609</f>
        <v>6637.8220000000001</v>
      </c>
      <c r="S46" s="797"/>
      <c r="T46" s="797"/>
    </row>
    <row r="47" spans="1:20" s="804" customFormat="1" ht="16.5" customHeight="1" x14ac:dyDescent="0.2">
      <c r="A47" s="157" t="s">
        <v>615</v>
      </c>
      <c r="B47" s="149" t="s">
        <v>934</v>
      </c>
      <c r="C47" s="147" t="s">
        <v>916</v>
      </c>
      <c r="D47" s="147" t="s">
        <v>935</v>
      </c>
      <c r="E47" s="798">
        <v>1241.22</v>
      </c>
      <c r="F47" s="798">
        <v>1410.9110000000001</v>
      </c>
      <c r="G47" s="798">
        <v>1474.423</v>
      </c>
      <c r="H47" s="798">
        <v>1586.355</v>
      </c>
      <c r="I47" s="798">
        <v>1551.84</v>
      </c>
      <c r="J47" s="798">
        <v>1689.6220000000001</v>
      </c>
      <c r="K47" s="798">
        <v>1799.538</v>
      </c>
      <c r="L47" s="798">
        <v>1907.915</v>
      </c>
      <c r="M47" s="798">
        <v>1987.9290000000001</v>
      </c>
      <c r="N47" s="798">
        <f t="shared" ref="N47" si="21">N45-N46</f>
        <v>2006.2760000000007</v>
      </c>
      <c r="O47" s="798">
        <f t="shared" ref="O47:P47" si="22">O45-O46</f>
        <v>2076.1990000000005</v>
      </c>
      <c r="P47" s="798">
        <f t="shared" si="22"/>
        <v>2172.2660000000005</v>
      </c>
      <c r="Q47" s="798">
        <f t="shared" ref="Q47:R47" si="23">Q45-Q46</f>
        <v>2321.0370000000003</v>
      </c>
      <c r="R47" s="798">
        <f t="shared" si="23"/>
        <v>2423.6499999999996</v>
      </c>
      <c r="S47" s="797"/>
      <c r="T47" s="797"/>
    </row>
    <row r="48" spans="1:20" s="804" customFormat="1" ht="16.5" customHeight="1" x14ac:dyDescent="0.2">
      <c r="A48" s="176" t="s">
        <v>59</v>
      </c>
      <c r="B48" s="177" t="s">
        <v>60</v>
      </c>
      <c r="C48" s="147" t="s">
        <v>840</v>
      </c>
      <c r="D48" s="147" t="s">
        <v>936</v>
      </c>
      <c r="E48" s="799">
        <v>3313.989</v>
      </c>
      <c r="F48" s="799">
        <v>3898.5259999999998</v>
      </c>
      <c r="G48" s="799">
        <v>3871.6979999999999</v>
      </c>
      <c r="H48" s="799">
        <v>3985.3670000000002</v>
      </c>
      <c r="I48" s="798">
        <v>4006.7040000000002</v>
      </c>
      <c r="J48" s="798">
        <v>4101.7309999999998</v>
      </c>
      <c r="K48" s="798">
        <v>4266.165</v>
      </c>
      <c r="L48" s="799">
        <v>4654.8230000000003</v>
      </c>
      <c r="M48" s="799">
        <v>4459.0209999999997</v>
      </c>
      <c r="N48" s="799">
        <f>4717.062-AG78</f>
        <v>4696.3562139999995</v>
      </c>
      <c r="O48" s="799">
        <v>5034.107</v>
      </c>
      <c r="P48" s="799">
        <f>4895.969-8</f>
        <v>4887.9690000000001</v>
      </c>
      <c r="Q48" s="799">
        <f>4919.635</f>
        <v>4919.6350000000002</v>
      </c>
      <c r="R48" s="799">
        <f>5203.328</f>
        <v>5203.3280000000004</v>
      </c>
      <c r="S48" s="797"/>
      <c r="T48" s="797"/>
    </row>
    <row r="49" spans="1:21" s="804" customFormat="1" ht="16.5" customHeight="1" x14ac:dyDescent="0.2">
      <c r="A49" s="166" t="s">
        <v>648</v>
      </c>
      <c r="B49" s="177" t="s">
        <v>937</v>
      </c>
      <c r="C49" s="164" t="s">
        <v>938</v>
      </c>
      <c r="D49" s="164" t="s">
        <v>939</v>
      </c>
      <c r="E49" s="799">
        <f>E50+E51</f>
        <v>54.347999999999999</v>
      </c>
      <c r="F49" s="799">
        <f t="shared" ref="F49:L49" si="24">F50+F51</f>
        <v>43.553999999999995</v>
      </c>
      <c r="G49" s="799">
        <f t="shared" si="24"/>
        <v>59.741</v>
      </c>
      <c r="H49" s="799">
        <f t="shared" si="24"/>
        <v>68.228999999999999</v>
      </c>
      <c r="I49" s="798">
        <f t="shared" si="24"/>
        <v>78.296000000000006</v>
      </c>
      <c r="J49" s="798">
        <f t="shared" si="24"/>
        <v>81.658000000000001</v>
      </c>
      <c r="K49" s="798">
        <f t="shared" si="24"/>
        <v>68.736000000000004</v>
      </c>
      <c r="L49" s="799">
        <f t="shared" si="24"/>
        <v>71.3</v>
      </c>
      <c r="M49" s="799">
        <f>M50+M51</f>
        <v>68.677999999999997</v>
      </c>
      <c r="N49" s="799">
        <f t="shared" ref="N49" si="25">N50+N51</f>
        <v>49.786000000000001</v>
      </c>
      <c r="O49" s="799">
        <f t="shared" ref="O49:P49" si="26">O50+O51</f>
        <v>49.786000000000001</v>
      </c>
      <c r="P49" s="799">
        <f t="shared" si="26"/>
        <v>90.834000000000003</v>
      </c>
      <c r="Q49" s="799">
        <f t="shared" ref="Q49:R49" si="27">Q50+Q51</f>
        <v>92.888999999999996</v>
      </c>
      <c r="R49" s="799">
        <f t="shared" si="27"/>
        <v>99.093000000000004</v>
      </c>
      <c r="S49" s="797"/>
      <c r="T49" s="797"/>
    </row>
    <row r="50" spans="1:21" ht="16.5" customHeight="1" x14ac:dyDescent="0.2">
      <c r="A50" s="178" t="s">
        <v>940</v>
      </c>
      <c r="B50" s="146" t="s">
        <v>941</v>
      </c>
      <c r="C50" s="147" t="s">
        <v>840</v>
      </c>
      <c r="D50" s="147" t="s">
        <v>942</v>
      </c>
      <c r="E50" s="799">
        <v>35.125</v>
      </c>
      <c r="F50" s="799">
        <v>35.180999999999997</v>
      </c>
      <c r="G50" s="799">
        <v>39.637</v>
      </c>
      <c r="H50" s="799">
        <v>49.838999999999999</v>
      </c>
      <c r="I50" s="798">
        <v>58.804000000000002</v>
      </c>
      <c r="J50" s="798">
        <v>56.468000000000004</v>
      </c>
      <c r="K50" s="798">
        <v>38.512</v>
      </c>
      <c r="L50" s="799">
        <v>60.713000000000001</v>
      </c>
      <c r="M50" s="799">
        <v>55.362000000000002</v>
      </c>
      <c r="N50" s="799">
        <v>49.786000000000001</v>
      </c>
      <c r="O50" s="799">
        <v>49.786000000000001</v>
      </c>
      <c r="P50" s="799">
        <v>90.834000000000003</v>
      </c>
      <c r="Q50" s="799">
        <v>92.888999999999996</v>
      </c>
      <c r="R50" s="799">
        <v>99.093000000000004</v>
      </c>
      <c r="S50" s="797"/>
      <c r="T50" s="797"/>
    </row>
    <row r="51" spans="1:21" ht="16.5" customHeight="1" x14ac:dyDescent="0.2">
      <c r="A51" s="178" t="s">
        <v>943</v>
      </c>
      <c r="B51" s="146" t="s">
        <v>48</v>
      </c>
      <c r="C51" s="147" t="s">
        <v>840</v>
      </c>
      <c r="D51" s="147" t="s">
        <v>860</v>
      </c>
      <c r="E51" s="799">
        <v>19.222999999999999</v>
      </c>
      <c r="F51" s="803">
        <v>8.3729999999999993</v>
      </c>
      <c r="G51" s="803">
        <v>20.103999999999999</v>
      </c>
      <c r="H51" s="803">
        <v>18.39</v>
      </c>
      <c r="I51" s="802">
        <v>19.492000000000001</v>
      </c>
      <c r="J51" s="798">
        <v>25.19</v>
      </c>
      <c r="K51" s="798">
        <v>30.224</v>
      </c>
      <c r="L51" s="799">
        <v>10.587</v>
      </c>
      <c r="M51" s="799">
        <v>13.316000000000001</v>
      </c>
      <c r="N51" s="799">
        <v>0</v>
      </c>
      <c r="O51" s="799">
        <v>0</v>
      </c>
      <c r="P51" s="799">
        <v>0</v>
      </c>
      <c r="Q51" s="799">
        <v>0</v>
      </c>
      <c r="R51" s="799">
        <v>0</v>
      </c>
      <c r="S51" s="797"/>
      <c r="T51" s="797"/>
    </row>
    <row r="52" spans="1:21" s="804" customFormat="1" ht="16.5" customHeight="1" x14ac:dyDescent="0.2">
      <c r="A52" s="166" t="s">
        <v>61</v>
      </c>
      <c r="B52" s="177" t="s">
        <v>944</v>
      </c>
      <c r="C52" s="164" t="s">
        <v>840</v>
      </c>
      <c r="D52" s="164" t="s">
        <v>945</v>
      </c>
      <c r="E52" s="799">
        <v>919.86900000000003</v>
      </c>
      <c r="F52" s="803">
        <v>734.25800000000004</v>
      </c>
      <c r="G52" s="803">
        <v>623.35900000000004</v>
      </c>
      <c r="H52" s="803">
        <v>498.55099999999999</v>
      </c>
      <c r="I52" s="802">
        <v>490.51600000000002</v>
      </c>
      <c r="J52" s="798">
        <v>574.00099999999998</v>
      </c>
      <c r="K52" s="798">
        <v>519.81799999999998</v>
      </c>
      <c r="L52" s="799">
        <v>463.73599999999999</v>
      </c>
      <c r="M52" s="799">
        <v>376.40100000000001</v>
      </c>
      <c r="N52" s="799">
        <v>479.62900000000002</v>
      </c>
      <c r="O52" s="799">
        <v>340.08300000000008</v>
      </c>
      <c r="P52" s="799">
        <v>394.23599999999999</v>
      </c>
      <c r="Q52" s="799">
        <v>381.86099999999999</v>
      </c>
      <c r="R52" s="799">
        <v>391.524</v>
      </c>
      <c r="S52" s="797"/>
      <c r="T52" s="797"/>
    </row>
    <row r="53" spans="1:21" s="804" customFormat="1" ht="16.5" customHeight="1" x14ac:dyDescent="0.2">
      <c r="A53" s="157" t="s">
        <v>946</v>
      </c>
      <c r="B53" s="165" t="s">
        <v>947</v>
      </c>
      <c r="C53" s="147" t="s">
        <v>948</v>
      </c>
      <c r="D53" s="147" t="s">
        <v>948</v>
      </c>
      <c r="E53" s="799">
        <f>0+325.997</f>
        <v>325.99700000000001</v>
      </c>
      <c r="F53" s="803">
        <f>0.009+210.503</f>
        <v>210.51199999999997</v>
      </c>
      <c r="G53" s="803">
        <f>0.061+196.916</f>
        <v>196.977</v>
      </c>
      <c r="H53" s="803">
        <f>0.068+151.421</f>
        <v>151.489</v>
      </c>
      <c r="I53" s="802">
        <f>0+120.155</f>
        <v>120.155</v>
      </c>
      <c r="J53" s="798">
        <f>0+138.037</f>
        <v>138.03700000000001</v>
      </c>
      <c r="K53" s="798">
        <f>0+469.54-469.54+91.73</f>
        <v>91.73</v>
      </c>
      <c r="L53" s="799">
        <v>68.584999999999994</v>
      </c>
      <c r="M53" s="799">
        <v>57.859000000000002</v>
      </c>
      <c r="N53" s="799">
        <v>181.21299999999999</v>
      </c>
      <c r="O53" s="799">
        <v>79.843999999999994</v>
      </c>
      <c r="P53" s="799">
        <v>128.53200000000001</v>
      </c>
      <c r="Q53" s="799">
        <v>124.71599999999999</v>
      </c>
      <c r="R53" s="799">
        <v>131.822</v>
      </c>
      <c r="S53" s="797"/>
      <c r="T53" s="797"/>
    </row>
    <row r="54" spans="1:21" s="804" customFormat="1" ht="16.5" customHeight="1" x14ac:dyDescent="0.2">
      <c r="A54" s="157" t="s">
        <v>949</v>
      </c>
      <c r="B54" s="165" t="s">
        <v>950</v>
      </c>
      <c r="C54" s="147" t="s">
        <v>951</v>
      </c>
      <c r="D54" s="147" t="s">
        <v>951</v>
      </c>
      <c r="E54" s="799">
        <f>93.014+488.784-29.897-165.97</f>
        <v>385.93099999999993</v>
      </c>
      <c r="F54" s="803">
        <f>96.421+436.378-29.068-270.339</f>
        <v>233.392</v>
      </c>
      <c r="G54" s="803">
        <f>94.731+485.316-42.054-228.114</f>
        <v>309.87900000000002</v>
      </c>
      <c r="H54" s="803">
        <f>93.573+547.911-28.816-199.498-105.301-67.516</f>
        <v>240.35299999999989</v>
      </c>
      <c r="I54" s="802">
        <f>94.782+891.384-28.334-345.988-174.99-199.342</f>
        <v>237.51200000000003</v>
      </c>
      <c r="J54" s="798">
        <f>103.597+695.788-40.446-333.753-197.559</f>
        <v>227.62699999999998</v>
      </c>
      <c r="K54" s="798">
        <f>106.32+413.45-83.331-197.559</f>
        <v>238.87999999999997</v>
      </c>
      <c r="L54" s="799">
        <f>360.958+110.061-209.559</f>
        <v>261.46000000000004</v>
      </c>
      <c r="M54" s="799">
        <f>87.187+155.134</f>
        <v>242.32099999999997</v>
      </c>
      <c r="N54" s="799">
        <v>150.87100000000001</v>
      </c>
      <c r="O54" s="799">
        <v>170.464</v>
      </c>
      <c r="P54" s="799">
        <v>167.92099999999999</v>
      </c>
      <c r="Q54" s="799">
        <v>168.64099999999999</v>
      </c>
      <c r="R54" s="799">
        <v>169.74100000000001</v>
      </c>
      <c r="S54" s="797"/>
      <c r="T54" s="797"/>
    </row>
    <row r="55" spans="1:21" s="804" customFormat="1" ht="16.5" customHeight="1" x14ac:dyDescent="0.2">
      <c r="A55" s="154" t="s">
        <v>952</v>
      </c>
      <c r="B55" s="165" t="s">
        <v>953</v>
      </c>
      <c r="C55" s="147" t="s">
        <v>954</v>
      </c>
      <c r="D55" s="147" t="s">
        <v>954</v>
      </c>
      <c r="E55" s="799">
        <f>0+381.232-165.97</f>
        <v>215.26200000000003</v>
      </c>
      <c r="F55" s="803">
        <f>0+315.342-270.339</f>
        <v>45.002999999999986</v>
      </c>
      <c r="G55" s="803">
        <f>0+337.519-228.114</f>
        <v>109.405</v>
      </c>
      <c r="H55" s="803">
        <f>0+404.903-199.498-105.301-67.516</f>
        <v>32.588000000000022</v>
      </c>
      <c r="I55" s="802">
        <f>0+736.51-345.988-174.99-199.342</f>
        <v>16.189999999999969</v>
      </c>
      <c r="J55" s="798">
        <f>0+538.753-333.753-197.559</f>
        <v>7.4410000000000593</v>
      </c>
      <c r="K55" s="798">
        <f>0+265.108-197.559</f>
        <v>67.549000000000007</v>
      </c>
      <c r="L55" s="798">
        <f>218.096-209.559</f>
        <v>8.5370000000000061</v>
      </c>
      <c r="M55" s="798">
        <f>9.633</f>
        <v>9.6329999999999991</v>
      </c>
      <c r="N55" s="798">
        <v>8.8710000000000004</v>
      </c>
      <c r="O55" s="798">
        <v>8.8710000000000004</v>
      </c>
      <c r="P55" s="798">
        <v>8.6210000000000004</v>
      </c>
      <c r="Q55" s="798">
        <v>8.5410000000000004</v>
      </c>
      <c r="R55" s="798">
        <v>8.5410000000000004</v>
      </c>
      <c r="S55" s="797"/>
      <c r="T55" s="797"/>
    </row>
    <row r="56" spans="1:21" s="804" customFormat="1" ht="16.5" customHeight="1" x14ac:dyDescent="0.2">
      <c r="A56" s="154" t="s">
        <v>955</v>
      </c>
      <c r="B56" s="165" t="s">
        <v>956</v>
      </c>
      <c r="C56" s="147" t="s">
        <v>957</v>
      </c>
      <c r="D56" s="147" t="s">
        <v>957</v>
      </c>
      <c r="E56" s="799">
        <f>93.014+102.14-29.897</f>
        <v>165.25700000000001</v>
      </c>
      <c r="F56" s="803">
        <f>96.421+115.062-29.068</f>
        <v>182.41499999999999</v>
      </c>
      <c r="G56" s="803">
        <f>94.731+141.166-42.054</f>
        <v>193.84299999999999</v>
      </c>
      <c r="H56" s="803">
        <f>93.573+135.374-28.816</f>
        <v>200.131</v>
      </c>
      <c r="I56" s="802">
        <f>94.782+147.742-28.334</f>
        <v>214.19</v>
      </c>
      <c r="J56" s="798">
        <f>103.597+151.037-40.446</f>
        <v>214.18800000000002</v>
      </c>
      <c r="K56" s="798">
        <f>106.32+140.792-83.331</f>
        <v>163.78100000000001</v>
      </c>
      <c r="L56" s="799">
        <f>136.694+110.061</f>
        <v>246.755</v>
      </c>
      <c r="M56" s="799">
        <f>87.187+141.503</f>
        <v>228.69</v>
      </c>
      <c r="N56" s="799">
        <v>141</v>
      </c>
      <c r="O56" s="799">
        <v>153</v>
      </c>
      <c r="P56" s="799">
        <v>158.30000000000001</v>
      </c>
      <c r="Q56" s="799">
        <v>159.1</v>
      </c>
      <c r="R56" s="799">
        <v>160.19999999999999</v>
      </c>
      <c r="S56" s="797"/>
      <c r="T56" s="797"/>
    </row>
    <row r="57" spans="1:21" s="804" customFormat="1" ht="16.5" customHeight="1" x14ac:dyDescent="0.2">
      <c r="A57" s="157" t="s">
        <v>958</v>
      </c>
      <c r="B57" s="165" t="s">
        <v>920</v>
      </c>
      <c r="C57" s="147" t="s">
        <v>959</v>
      </c>
      <c r="D57" s="147" t="s">
        <v>959</v>
      </c>
      <c r="E57" s="799">
        <f t="shared" ref="E57:P57" si="28">E52-E53-E54</f>
        <v>207.94100000000014</v>
      </c>
      <c r="F57" s="799">
        <f t="shared" si="28"/>
        <v>290.3540000000001</v>
      </c>
      <c r="G57" s="799">
        <f t="shared" si="28"/>
        <v>116.50300000000004</v>
      </c>
      <c r="H57" s="799">
        <f t="shared" si="28"/>
        <v>106.70900000000012</v>
      </c>
      <c r="I57" s="798">
        <f t="shared" si="28"/>
        <v>132.84899999999996</v>
      </c>
      <c r="J57" s="798">
        <f t="shared" si="28"/>
        <v>208.33699999999996</v>
      </c>
      <c r="K57" s="798">
        <f t="shared" si="28"/>
        <v>189.208</v>
      </c>
      <c r="L57" s="799">
        <f t="shared" si="28"/>
        <v>133.69099999999997</v>
      </c>
      <c r="M57" s="799">
        <f t="shared" si="28"/>
        <v>76.22100000000006</v>
      </c>
      <c r="N57" s="799">
        <f>N52-N53-N54</f>
        <v>147.54500000000004</v>
      </c>
      <c r="O57" s="799">
        <f t="shared" si="28"/>
        <v>89.775000000000091</v>
      </c>
      <c r="P57" s="799">
        <f t="shared" si="28"/>
        <v>97.782999999999959</v>
      </c>
      <c r="Q57" s="799">
        <f t="shared" ref="Q57:R57" si="29">Q52-Q53-Q54</f>
        <v>88.503999999999991</v>
      </c>
      <c r="R57" s="799">
        <f t="shared" si="29"/>
        <v>89.960999999999984</v>
      </c>
      <c r="S57" s="797"/>
      <c r="T57" s="797"/>
    </row>
    <row r="58" spans="1:21" s="804" customFormat="1" ht="18" customHeight="1" x14ac:dyDescent="0.2">
      <c r="A58" s="176" t="s">
        <v>960</v>
      </c>
      <c r="B58" s="177" t="s">
        <v>908</v>
      </c>
      <c r="C58" s="147" t="s">
        <v>840</v>
      </c>
      <c r="D58" s="147" t="s">
        <v>909</v>
      </c>
      <c r="E58" s="799">
        <v>891.53700000000003</v>
      </c>
      <c r="F58" s="799">
        <v>916.245</v>
      </c>
      <c r="G58" s="803">
        <v>877.28399999999999</v>
      </c>
      <c r="H58" s="799">
        <v>1079.231</v>
      </c>
      <c r="I58" s="798">
        <v>1283.2670000000001</v>
      </c>
      <c r="J58" s="798">
        <v>1387.038</v>
      </c>
      <c r="K58" s="798">
        <v>1443.6010000000001</v>
      </c>
      <c r="L58" s="799">
        <v>1379.4069999999999</v>
      </c>
      <c r="M58" s="799">
        <v>1335.808</v>
      </c>
      <c r="N58" s="799">
        <f>N59+N60</f>
        <v>1126.7070000000001</v>
      </c>
      <c r="O58" s="799">
        <f t="shared" ref="O58:P58" si="30">O59+O60</f>
        <v>1109.5999999999999</v>
      </c>
      <c r="P58" s="799">
        <f t="shared" si="30"/>
        <v>1135.847</v>
      </c>
      <c r="Q58" s="799">
        <f t="shared" ref="Q58:R58" si="31">Q59+Q60</f>
        <v>1125.58</v>
      </c>
      <c r="R58" s="799">
        <f t="shared" si="31"/>
        <v>1079.204</v>
      </c>
      <c r="S58" s="797"/>
      <c r="T58" s="797"/>
    </row>
    <row r="59" spans="1:21" s="804" customFormat="1" ht="16.5" customHeight="1" x14ac:dyDescent="0.2">
      <c r="A59" s="178" t="s">
        <v>62</v>
      </c>
      <c r="B59" s="177" t="s">
        <v>915</v>
      </c>
      <c r="C59" s="147" t="s">
        <v>840</v>
      </c>
      <c r="D59" s="147" t="s">
        <v>917</v>
      </c>
      <c r="E59" s="799">
        <v>891.53700000000003</v>
      </c>
      <c r="F59" s="799">
        <v>916.245</v>
      </c>
      <c r="G59" s="803">
        <v>877.28399999999999</v>
      </c>
      <c r="H59" s="799">
        <v>1079.231</v>
      </c>
      <c r="I59" s="798">
        <v>1283.2670000000001</v>
      </c>
      <c r="J59" s="798">
        <v>1387.038</v>
      </c>
      <c r="K59" s="798">
        <v>1443.6010000000001</v>
      </c>
      <c r="L59" s="799">
        <v>1379.4069999999999</v>
      </c>
      <c r="M59" s="799">
        <v>1335.808</v>
      </c>
      <c r="N59" s="799">
        <v>1126.7070000000001</v>
      </c>
      <c r="O59" s="799">
        <v>1109.5999999999999</v>
      </c>
      <c r="P59" s="799">
        <v>1135.847</v>
      </c>
      <c r="Q59" s="799">
        <v>1125.58</v>
      </c>
      <c r="R59" s="799">
        <v>1079.204</v>
      </c>
      <c r="S59" s="797"/>
      <c r="T59" s="797"/>
      <c r="U59" s="797"/>
    </row>
    <row r="60" spans="1:21" s="804" customFormat="1" ht="16.5" customHeight="1" x14ac:dyDescent="0.2">
      <c r="A60" s="178" t="s">
        <v>961</v>
      </c>
      <c r="B60" s="177" t="s">
        <v>962</v>
      </c>
      <c r="C60" s="164" t="s">
        <v>963</v>
      </c>
      <c r="D60" s="164" t="s">
        <v>963</v>
      </c>
      <c r="E60" s="799">
        <v>0</v>
      </c>
      <c r="F60" s="799">
        <v>0</v>
      </c>
      <c r="G60" s="799">
        <v>0</v>
      </c>
      <c r="H60" s="799">
        <v>0</v>
      </c>
      <c r="I60" s="798">
        <v>0</v>
      </c>
      <c r="J60" s="798">
        <v>0</v>
      </c>
      <c r="K60" s="798">
        <v>3.0000000000000001E-3</v>
      </c>
      <c r="L60" s="798">
        <v>0</v>
      </c>
      <c r="M60" s="798">
        <v>0</v>
      </c>
      <c r="N60" s="798">
        <v>0</v>
      </c>
      <c r="O60" s="798">
        <v>0</v>
      </c>
      <c r="P60" s="798">
        <v>0</v>
      </c>
      <c r="Q60" s="798">
        <v>0</v>
      </c>
      <c r="R60" s="798">
        <v>0</v>
      </c>
      <c r="S60" s="797"/>
      <c r="T60" s="797"/>
    </row>
    <row r="61" spans="1:21" s="804" customFormat="1" ht="16.5" customHeight="1" x14ac:dyDescent="0.2">
      <c r="A61" s="176" t="s">
        <v>64</v>
      </c>
      <c r="B61" s="177" t="s">
        <v>964</v>
      </c>
      <c r="C61" s="147" t="s">
        <v>965</v>
      </c>
      <c r="D61" s="147" t="s">
        <v>966</v>
      </c>
      <c r="E61" s="799">
        <v>11147.477999999999</v>
      </c>
      <c r="F61" s="799">
        <v>12334.675999999999</v>
      </c>
      <c r="G61" s="799">
        <v>13234.156000000001</v>
      </c>
      <c r="H61" s="799">
        <v>13213.632</v>
      </c>
      <c r="I61" s="798">
        <v>13743.612999999999</v>
      </c>
      <c r="J61" s="798">
        <v>14097.725</v>
      </c>
      <c r="K61" s="798">
        <v>14500.93</v>
      </c>
      <c r="L61" s="799">
        <v>14960.204</v>
      </c>
      <c r="M61" s="799">
        <v>15519.974</v>
      </c>
      <c r="N61" s="799">
        <f t="shared" ref="N61" si="32">N62+N77</f>
        <v>15660.113786000002</v>
      </c>
      <c r="O61" s="799">
        <f t="shared" ref="O61:P61" si="33">O62+O77</f>
        <v>15911.208000000001</v>
      </c>
      <c r="P61" s="799">
        <f t="shared" si="33"/>
        <v>16402.777999999998</v>
      </c>
      <c r="Q61" s="799">
        <f t="shared" ref="Q61:R61" si="34">Q62+Q77</f>
        <v>17114.513999999999</v>
      </c>
      <c r="R61" s="799">
        <f t="shared" si="34"/>
        <v>17814.428</v>
      </c>
      <c r="S61" s="797"/>
      <c r="T61" s="797"/>
    </row>
    <row r="62" spans="1:21" ht="16.5" customHeight="1" x14ac:dyDescent="0.2">
      <c r="A62" s="157" t="s">
        <v>967</v>
      </c>
      <c r="B62" s="146" t="s">
        <v>968</v>
      </c>
      <c r="C62" s="147" t="s">
        <v>840</v>
      </c>
      <c r="D62" s="147" t="s">
        <v>969</v>
      </c>
      <c r="E62" s="799">
        <v>7987.7820000000002</v>
      </c>
      <c r="F62" s="799">
        <v>9049.2180000000008</v>
      </c>
      <c r="G62" s="799">
        <v>9752.2469999999994</v>
      </c>
      <c r="H62" s="799">
        <v>9820.7620000000006</v>
      </c>
      <c r="I62" s="798">
        <v>10242.102999999999</v>
      </c>
      <c r="J62" s="798">
        <v>10433.272000000001</v>
      </c>
      <c r="K62" s="798">
        <v>10670.954</v>
      </c>
      <c r="L62" s="799">
        <v>10967.34</v>
      </c>
      <c r="M62" s="799">
        <v>11281.543</v>
      </c>
      <c r="N62" s="799">
        <f>11405.441+AG78</f>
        <v>11426.146786000001</v>
      </c>
      <c r="O62" s="799">
        <v>11535.282000000001</v>
      </c>
      <c r="P62" s="799">
        <v>11935.897999999999</v>
      </c>
      <c r="Q62" s="799">
        <v>12351.52</v>
      </c>
      <c r="R62" s="799">
        <v>12752.673000000001</v>
      </c>
      <c r="S62" s="797"/>
      <c r="T62" s="797"/>
    </row>
    <row r="63" spans="1:21" ht="16.5" customHeight="1" x14ac:dyDescent="0.2">
      <c r="A63" s="179" t="s">
        <v>970</v>
      </c>
      <c r="B63" s="149" t="s">
        <v>971</v>
      </c>
      <c r="C63" s="164" t="s">
        <v>972</v>
      </c>
      <c r="D63" s="164" t="s">
        <v>972</v>
      </c>
      <c r="E63" s="799">
        <v>70.034000000000006</v>
      </c>
      <c r="F63" s="799">
        <v>56.390999999999998</v>
      </c>
      <c r="G63" s="799">
        <v>104.119</v>
      </c>
      <c r="H63" s="799">
        <v>72.921000000000006</v>
      </c>
      <c r="I63" s="798">
        <v>57.134</v>
      </c>
      <c r="J63" s="798">
        <v>38.021999999999998</v>
      </c>
      <c r="K63" s="798">
        <v>50.674999999999997</v>
      </c>
      <c r="L63" s="799">
        <v>39.174999999999997</v>
      </c>
      <c r="M63" s="799">
        <v>69.275999999999996</v>
      </c>
      <c r="N63" s="799">
        <v>73.451999999999998</v>
      </c>
      <c r="O63" s="799">
        <v>64.802999999999997</v>
      </c>
      <c r="P63" s="799">
        <v>58.652999999999999</v>
      </c>
      <c r="Q63" s="799">
        <v>67.89</v>
      </c>
      <c r="R63" s="799">
        <v>68.075999999999993</v>
      </c>
      <c r="S63" s="797"/>
      <c r="T63" s="797"/>
    </row>
    <row r="64" spans="1:21" ht="16.5" customHeight="1" x14ac:dyDescent="0.2">
      <c r="A64" s="179" t="s">
        <v>973</v>
      </c>
      <c r="B64" s="149" t="s">
        <v>974</v>
      </c>
      <c r="C64" s="164" t="s">
        <v>975</v>
      </c>
      <c r="D64" s="164" t="s">
        <v>975</v>
      </c>
      <c r="E64" s="799">
        <v>246.61600000000001</v>
      </c>
      <c r="F64" s="799">
        <v>316.95999999999998</v>
      </c>
      <c r="G64" s="799">
        <v>338.78500000000003</v>
      </c>
      <c r="H64" s="799">
        <v>381.76400000000001</v>
      </c>
      <c r="I64" s="798">
        <v>428.45800000000003</v>
      </c>
      <c r="J64" s="798">
        <f>399.742+4.453</f>
        <v>404.19499999999999</v>
      </c>
      <c r="K64" s="798">
        <f>381.109+5.313</f>
        <v>386.42199999999997</v>
      </c>
      <c r="L64" s="799">
        <f>415.455+5.459</f>
        <v>420.91399999999999</v>
      </c>
      <c r="M64" s="799">
        <f>474.254+4.84</f>
        <v>479.09399999999999</v>
      </c>
      <c r="N64" s="799">
        <v>543.49099999999999</v>
      </c>
      <c r="O64" s="799">
        <v>566.07899999999995</v>
      </c>
      <c r="P64" s="799">
        <v>613.98400000000004</v>
      </c>
      <c r="Q64" s="799">
        <v>654.56200000000001</v>
      </c>
      <c r="R64" s="799">
        <v>699.19299999999998</v>
      </c>
      <c r="S64" s="797"/>
      <c r="T64" s="797"/>
    </row>
    <row r="65" spans="1:20" ht="16.5" customHeight="1" x14ac:dyDescent="0.2">
      <c r="A65" s="179" t="s">
        <v>976</v>
      </c>
      <c r="B65" s="149" t="s">
        <v>977</v>
      </c>
      <c r="C65" s="164" t="s">
        <v>978</v>
      </c>
      <c r="D65" s="147" t="s">
        <v>979</v>
      </c>
      <c r="E65" s="799">
        <v>4531.942</v>
      </c>
      <c r="F65" s="799">
        <v>5034.7359999999999</v>
      </c>
      <c r="G65" s="799">
        <v>5244.51</v>
      </c>
      <c r="H65" s="799">
        <v>5390.7460000000001</v>
      </c>
      <c r="I65" s="798">
        <v>5639.5029999999997</v>
      </c>
      <c r="J65" s="798">
        <f>5893.823+157.393+1.815</f>
        <v>6053.0309999999999</v>
      </c>
      <c r="K65" s="798">
        <f>6240.862+173.728+1.904</f>
        <v>6416.4940000000006</v>
      </c>
      <c r="L65" s="799">
        <f>6414.203+182.59</f>
        <v>6596.7930000000006</v>
      </c>
      <c r="M65" s="799">
        <f>6485.127+344.68</f>
        <v>6829.8070000000007</v>
      </c>
      <c r="N65" s="799">
        <v>7149.6549999999997</v>
      </c>
      <c r="O65" s="799">
        <v>7137.2019999999993</v>
      </c>
      <c r="P65" s="799">
        <v>7432.8459999999995</v>
      </c>
      <c r="Q65" s="799">
        <v>7680.9549999999999</v>
      </c>
      <c r="R65" s="799">
        <v>7944.7820000000002</v>
      </c>
      <c r="S65" s="797"/>
      <c r="T65" s="797"/>
    </row>
    <row r="66" spans="1:20" ht="16.5" customHeight="1" x14ac:dyDescent="0.2">
      <c r="A66" s="179" t="s">
        <v>980</v>
      </c>
      <c r="B66" s="149" t="s">
        <v>981</v>
      </c>
      <c r="C66" s="164" t="s">
        <v>982</v>
      </c>
      <c r="D66" s="164" t="s">
        <v>982</v>
      </c>
      <c r="E66" s="799">
        <v>66.120999999999995</v>
      </c>
      <c r="F66" s="799">
        <v>172.43</v>
      </c>
      <c r="G66" s="799">
        <v>150.339</v>
      </c>
      <c r="H66" s="799">
        <v>163.334</v>
      </c>
      <c r="I66" s="799">
        <v>175.773</v>
      </c>
      <c r="J66" s="799">
        <v>174.30799999999999</v>
      </c>
      <c r="K66" s="799">
        <v>154.721</v>
      </c>
      <c r="L66" s="799">
        <v>158.624</v>
      </c>
      <c r="M66" s="799">
        <v>171.63</v>
      </c>
      <c r="N66" s="799">
        <v>153.10400000000001</v>
      </c>
      <c r="O66" s="799">
        <v>172.86</v>
      </c>
      <c r="P66" s="799">
        <v>162.90100000000001</v>
      </c>
      <c r="Q66" s="799">
        <v>154.874</v>
      </c>
      <c r="R66" s="799">
        <v>146.56399999999999</v>
      </c>
      <c r="S66" s="797"/>
      <c r="T66" s="797"/>
    </row>
    <row r="67" spans="1:20" ht="16.5" customHeight="1" x14ac:dyDescent="0.2">
      <c r="A67" s="179" t="s">
        <v>983</v>
      </c>
      <c r="B67" s="149" t="s">
        <v>984</v>
      </c>
      <c r="C67" s="164" t="s">
        <v>985</v>
      </c>
      <c r="D67" s="164" t="s">
        <v>985</v>
      </c>
      <c r="E67" s="799">
        <f>SUM(E68:E73)</f>
        <v>1086.5720000000001</v>
      </c>
      <c r="F67" s="799">
        <f t="shared" ref="F67:M67" si="35">SUM(F68:F73)</f>
        <v>1211.0309999999999</v>
      </c>
      <c r="G67" s="799">
        <f t="shared" si="35"/>
        <v>1364.961</v>
      </c>
      <c r="H67" s="799">
        <f t="shared" si="35"/>
        <v>1376.3489999999999</v>
      </c>
      <c r="I67" s="799">
        <f t="shared" si="35"/>
        <v>1381.508</v>
      </c>
      <c r="J67" s="799">
        <f t="shared" si="35"/>
        <v>1374.616</v>
      </c>
      <c r="K67" s="799">
        <f t="shared" si="35"/>
        <v>1362.7940000000001</v>
      </c>
      <c r="L67" s="799">
        <f t="shared" si="35"/>
        <v>1336.7550000000001</v>
      </c>
      <c r="M67" s="799">
        <f t="shared" si="35"/>
        <v>1320.384</v>
      </c>
      <c r="N67" s="799">
        <v>1374.3879999999999</v>
      </c>
      <c r="O67" s="799">
        <v>1354.5269999999998</v>
      </c>
      <c r="P67" s="799">
        <v>1337.7739999999999</v>
      </c>
      <c r="Q67" s="799">
        <v>1391.828</v>
      </c>
      <c r="R67" s="799">
        <v>1409.04</v>
      </c>
      <c r="S67" s="797"/>
      <c r="T67" s="797"/>
    </row>
    <row r="68" spans="1:20" ht="16.5" customHeight="1" x14ac:dyDescent="0.2">
      <c r="A68" s="154" t="s">
        <v>986</v>
      </c>
      <c r="B68" s="149" t="s">
        <v>987</v>
      </c>
      <c r="C68" s="164" t="s">
        <v>988</v>
      </c>
      <c r="D68" s="164" t="s">
        <v>988</v>
      </c>
      <c r="E68" s="799">
        <v>268.47500000000002</v>
      </c>
      <c r="F68" s="799">
        <v>308.18900000000002</v>
      </c>
      <c r="G68" s="799">
        <v>318.96699999999998</v>
      </c>
      <c r="H68" s="799">
        <v>315.02</v>
      </c>
      <c r="I68" s="799">
        <v>316.46300000000002</v>
      </c>
      <c r="J68" s="799">
        <v>318.49400000000003</v>
      </c>
      <c r="K68" s="799">
        <v>319.09399999999999</v>
      </c>
      <c r="L68" s="799">
        <v>315.59899999999999</v>
      </c>
      <c r="M68" s="799">
        <v>312.83800000000002</v>
      </c>
      <c r="N68" s="799">
        <v>314.71899999999999</v>
      </c>
      <c r="O68" s="799">
        <v>313.572</v>
      </c>
      <c r="P68" s="799">
        <v>314.65800000000002</v>
      </c>
      <c r="Q68" s="799">
        <v>318.12900000000002</v>
      </c>
      <c r="R68" s="799">
        <v>324.65800000000002</v>
      </c>
      <c r="S68" s="797"/>
      <c r="T68" s="797"/>
    </row>
    <row r="69" spans="1:20" ht="16.5" customHeight="1" x14ac:dyDescent="0.2">
      <c r="A69" s="154" t="s">
        <v>989</v>
      </c>
      <c r="B69" s="149" t="s">
        <v>990</v>
      </c>
      <c r="C69" s="164" t="s">
        <v>991</v>
      </c>
      <c r="D69" s="164" t="s">
        <v>991</v>
      </c>
      <c r="E69" s="799">
        <v>22.914999999999999</v>
      </c>
      <c r="F69" s="799">
        <v>8.7729999999999997</v>
      </c>
      <c r="G69" s="799">
        <v>8.8369999999999997</v>
      </c>
      <c r="H69" s="799">
        <v>8.8719999999999999</v>
      </c>
      <c r="I69" s="799">
        <v>8.8829999999999991</v>
      </c>
      <c r="J69" s="799">
        <v>8.9819999999999993</v>
      </c>
      <c r="K69" s="799">
        <v>35.101999999999997</v>
      </c>
      <c r="L69" s="799">
        <v>41.463000000000001</v>
      </c>
      <c r="M69" s="799">
        <v>43.89</v>
      </c>
      <c r="N69" s="799">
        <v>40.326000000000001</v>
      </c>
      <c r="O69" s="799">
        <v>40.57</v>
      </c>
      <c r="P69" s="799">
        <v>42.084000000000003</v>
      </c>
      <c r="Q69" s="799">
        <v>41.881999999999998</v>
      </c>
      <c r="R69" s="799">
        <v>41.93</v>
      </c>
      <c r="S69" s="797"/>
      <c r="T69" s="797"/>
    </row>
    <row r="70" spans="1:20" ht="16.5" customHeight="1" x14ac:dyDescent="0.2">
      <c r="A70" s="154" t="s">
        <v>992</v>
      </c>
      <c r="B70" s="149" t="s">
        <v>993</v>
      </c>
      <c r="C70" s="164" t="s">
        <v>994</v>
      </c>
      <c r="D70" s="164" t="s">
        <v>994</v>
      </c>
      <c r="E70" s="799">
        <v>0</v>
      </c>
      <c r="F70" s="803">
        <v>268.46499999999997</v>
      </c>
      <c r="G70" s="803">
        <v>334.488</v>
      </c>
      <c r="H70" s="803">
        <v>352.24</v>
      </c>
      <c r="I70" s="803">
        <v>343.54300000000001</v>
      </c>
      <c r="J70" s="799">
        <v>349.31599999999997</v>
      </c>
      <c r="K70" s="799">
        <v>356.00200000000001</v>
      </c>
      <c r="L70" s="799">
        <v>355.279</v>
      </c>
      <c r="M70" s="799">
        <v>352.44400000000002</v>
      </c>
      <c r="N70" s="799">
        <v>363.78800000000001</v>
      </c>
      <c r="O70" s="799">
        <v>356.709</v>
      </c>
      <c r="P70" s="799">
        <v>372.91699999999997</v>
      </c>
      <c r="Q70" s="799">
        <v>379.04700000000003</v>
      </c>
      <c r="R70" s="799">
        <v>386.13400000000001</v>
      </c>
      <c r="S70" s="797"/>
      <c r="T70" s="797"/>
    </row>
    <row r="71" spans="1:20" ht="16.5" customHeight="1" x14ac:dyDescent="0.2">
      <c r="A71" s="154" t="s">
        <v>995</v>
      </c>
      <c r="B71" s="149" t="s">
        <v>996</v>
      </c>
      <c r="C71" s="164" t="s">
        <v>997</v>
      </c>
      <c r="D71" s="164" t="s">
        <v>997</v>
      </c>
      <c r="E71" s="799">
        <v>247.214</v>
      </c>
      <c r="F71" s="803">
        <v>275.601</v>
      </c>
      <c r="G71" s="803">
        <v>322.87700000000001</v>
      </c>
      <c r="H71" s="803">
        <v>313.17500000000001</v>
      </c>
      <c r="I71" s="803">
        <v>308.98899999999998</v>
      </c>
      <c r="J71" s="799">
        <v>273.64400000000001</v>
      </c>
      <c r="K71" s="799">
        <v>244.45699999999999</v>
      </c>
      <c r="L71" s="799">
        <v>213.18100000000001</v>
      </c>
      <c r="M71" s="799">
        <v>182.68600000000001</v>
      </c>
      <c r="N71" s="799">
        <v>197.39</v>
      </c>
      <c r="O71" s="799">
        <v>181.32399999999998</v>
      </c>
      <c r="P71" s="799">
        <v>151.95500000000001</v>
      </c>
      <c r="Q71" s="799">
        <v>146.83699999999999</v>
      </c>
      <c r="R71" s="799">
        <v>142.53800000000001</v>
      </c>
      <c r="S71" s="797"/>
      <c r="T71" s="797"/>
    </row>
    <row r="72" spans="1:20" ht="16.5" customHeight="1" x14ac:dyDescent="0.2">
      <c r="A72" s="154" t="s">
        <v>998</v>
      </c>
      <c r="B72" s="149" t="s">
        <v>999</v>
      </c>
      <c r="C72" s="164" t="s">
        <v>1000</v>
      </c>
      <c r="D72" s="164" t="s">
        <v>1000</v>
      </c>
      <c r="E72" s="799">
        <v>177.84200000000001</v>
      </c>
      <c r="F72" s="803">
        <v>184.589</v>
      </c>
      <c r="G72" s="803">
        <v>207.06299999999999</v>
      </c>
      <c r="H72" s="803">
        <v>210.56700000000001</v>
      </c>
      <c r="I72" s="803">
        <v>225.48699999999999</v>
      </c>
      <c r="J72" s="799">
        <v>232.52099999999999</v>
      </c>
      <c r="K72" s="799">
        <v>235.774</v>
      </c>
      <c r="L72" s="799">
        <v>231.63499999999999</v>
      </c>
      <c r="M72" s="799">
        <v>226.34299999999999</v>
      </c>
      <c r="N72" s="799">
        <v>259.35199999999998</v>
      </c>
      <c r="O72" s="799">
        <v>259.09899999999999</v>
      </c>
      <c r="P72" s="799">
        <v>282.08499999999998</v>
      </c>
      <c r="Q72" s="799">
        <v>334.77100000000002</v>
      </c>
      <c r="R72" s="799">
        <v>342.30099999999999</v>
      </c>
      <c r="S72" s="797"/>
      <c r="T72" s="797"/>
    </row>
    <row r="73" spans="1:20" ht="16.5" customHeight="1" x14ac:dyDescent="0.2">
      <c r="A73" s="154" t="s">
        <v>144</v>
      </c>
      <c r="B73" s="149" t="s">
        <v>920</v>
      </c>
      <c r="C73" s="164" t="s">
        <v>1001</v>
      </c>
      <c r="D73" s="164" t="s">
        <v>1001</v>
      </c>
      <c r="E73" s="799">
        <v>370.12599999999998</v>
      </c>
      <c r="F73" s="803">
        <v>165.41399999999999</v>
      </c>
      <c r="G73" s="803">
        <v>172.72900000000001</v>
      </c>
      <c r="H73" s="803">
        <v>176.47499999999999</v>
      </c>
      <c r="I73" s="803">
        <v>178.143</v>
      </c>
      <c r="J73" s="799">
        <v>191.65899999999999</v>
      </c>
      <c r="K73" s="799">
        <v>172.36500000000001</v>
      </c>
      <c r="L73" s="799">
        <v>179.59800000000001</v>
      </c>
      <c r="M73" s="799">
        <v>202.18299999999999</v>
      </c>
      <c r="N73" s="799">
        <f t="shared" ref="N73" si="36">N67-SUM(N68:N72)</f>
        <v>198.81299999999987</v>
      </c>
      <c r="O73" s="799">
        <f t="shared" ref="O73" si="37">O67-SUM(O68:O72)</f>
        <v>203.25299999999993</v>
      </c>
      <c r="P73" s="799">
        <f t="shared" ref="P73" si="38">P67-SUM(P68:P72)</f>
        <v>174.07499999999982</v>
      </c>
      <c r="Q73" s="799">
        <f t="shared" ref="Q73:R73" si="39">Q67-SUM(Q68:Q72)</f>
        <v>171.16200000000003</v>
      </c>
      <c r="R73" s="799">
        <f t="shared" si="39"/>
        <v>171.47900000000004</v>
      </c>
      <c r="S73" s="797"/>
      <c r="T73" s="797"/>
    </row>
    <row r="74" spans="1:20" ht="16.5" customHeight="1" x14ac:dyDescent="0.2">
      <c r="A74" s="179" t="s">
        <v>1002</v>
      </c>
      <c r="B74" s="149" t="s">
        <v>1003</v>
      </c>
      <c r="C74" s="164" t="s">
        <v>1004</v>
      </c>
      <c r="D74" s="164" t="s">
        <v>1004</v>
      </c>
      <c r="E74" s="799">
        <f>1208.545</f>
        <v>1208.5450000000001</v>
      </c>
      <c r="F74" s="799">
        <f>1399.85</f>
        <v>1399.85</v>
      </c>
      <c r="G74" s="799">
        <f>1564.23</f>
        <v>1564.23</v>
      </c>
      <c r="H74" s="799">
        <f>1446.947</f>
        <v>1446.9469999999999</v>
      </c>
      <c r="I74" s="799">
        <f>1599.291</f>
        <v>1599.2909999999999</v>
      </c>
      <c r="J74" s="799">
        <f>1541.466</f>
        <v>1541.4659999999999</v>
      </c>
      <c r="K74" s="799">
        <v>1447.056</v>
      </c>
      <c r="L74" s="799">
        <f>1582.23+0.002</f>
        <v>1582.232</v>
      </c>
      <c r="M74" s="799">
        <v>1626.5160000000001</v>
      </c>
      <c r="N74" s="799">
        <f>1430.507+AG78</f>
        <v>1451.2127860000001</v>
      </c>
      <c r="O74" s="799">
        <f t="shared" ref="O74" si="40">O75+O76</f>
        <v>1551.711</v>
      </c>
      <c r="P74" s="799">
        <v>1646.7940000000001</v>
      </c>
      <c r="Q74" s="799">
        <v>1707.252</v>
      </c>
      <c r="R74" s="799">
        <v>1776.923</v>
      </c>
      <c r="S74" s="797"/>
      <c r="T74" s="797"/>
    </row>
    <row r="75" spans="1:20" ht="16.5" customHeight="1" x14ac:dyDescent="0.2">
      <c r="A75" s="180" t="s">
        <v>1005</v>
      </c>
      <c r="B75" s="149" t="s">
        <v>1006</v>
      </c>
      <c r="C75" s="164" t="s">
        <v>1007</v>
      </c>
      <c r="D75" s="164" t="s">
        <v>1007</v>
      </c>
      <c r="E75" s="799">
        <v>211.08799999999999</v>
      </c>
      <c r="F75" s="799">
        <v>235.84200000000001</v>
      </c>
      <c r="G75" s="799">
        <v>221.084</v>
      </c>
      <c r="H75" s="799">
        <v>237.16800000000001</v>
      </c>
      <c r="I75" s="799">
        <v>238.774</v>
      </c>
      <c r="J75" s="799">
        <v>262.14800000000002</v>
      </c>
      <c r="K75" s="799">
        <v>232.90899999999999</v>
      </c>
      <c r="L75" s="799">
        <v>227.756</v>
      </c>
      <c r="M75" s="799">
        <v>231.49600000000001</v>
      </c>
      <c r="N75" s="799">
        <v>224.91499999999999</v>
      </c>
      <c r="O75" s="799">
        <v>224.91499999999999</v>
      </c>
      <c r="P75" s="799">
        <v>304.38099999999997</v>
      </c>
      <c r="Q75" s="799">
        <v>321.036</v>
      </c>
      <c r="R75" s="799">
        <v>335.26400000000001</v>
      </c>
      <c r="S75" s="797"/>
      <c r="T75" s="797"/>
    </row>
    <row r="76" spans="1:20" ht="16.5" customHeight="1" x14ac:dyDescent="0.2">
      <c r="A76" s="180" t="s">
        <v>1008</v>
      </c>
      <c r="B76" s="149" t="s">
        <v>1009</v>
      </c>
      <c r="C76" s="164" t="s">
        <v>1010</v>
      </c>
      <c r="D76" s="164" t="s">
        <v>1010</v>
      </c>
      <c r="E76" s="799">
        <v>997.45699999999999</v>
      </c>
      <c r="F76" s="799">
        <v>1162.3820000000001</v>
      </c>
      <c r="G76" s="799">
        <v>1341.2249999999999</v>
      </c>
      <c r="H76" s="799">
        <v>1207.549</v>
      </c>
      <c r="I76" s="799">
        <v>1358.204</v>
      </c>
      <c r="J76" s="799">
        <v>1276.828</v>
      </c>
      <c r="K76" s="799">
        <v>1211.5350000000001</v>
      </c>
      <c r="L76" s="799">
        <v>1351.6279999999999</v>
      </c>
      <c r="M76" s="799">
        <v>1392.1</v>
      </c>
      <c r="N76" s="799">
        <f>1205.592+AG78</f>
        <v>1226.2977860000001</v>
      </c>
      <c r="O76" s="799">
        <v>1326.796</v>
      </c>
      <c r="P76" s="799">
        <v>1219.4469999999999</v>
      </c>
      <c r="Q76" s="799">
        <v>1262.329</v>
      </c>
      <c r="R76" s="799">
        <v>1317.271</v>
      </c>
      <c r="S76" s="797"/>
      <c r="T76" s="797"/>
    </row>
    <row r="77" spans="1:20" ht="16.5" customHeight="1" x14ac:dyDescent="0.2">
      <c r="A77" s="156" t="s">
        <v>1011</v>
      </c>
      <c r="B77" s="146" t="s">
        <v>1012</v>
      </c>
      <c r="C77" s="164" t="s">
        <v>1013</v>
      </c>
      <c r="D77" s="164" t="s">
        <v>1014</v>
      </c>
      <c r="E77" s="798">
        <v>3159.6959999999999</v>
      </c>
      <c r="F77" s="798">
        <v>3285.4580000000001</v>
      </c>
      <c r="G77" s="798">
        <v>3481.9090000000001</v>
      </c>
      <c r="H77" s="798">
        <v>3392.87</v>
      </c>
      <c r="I77" s="799">
        <v>3501.51</v>
      </c>
      <c r="J77" s="799">
        <v>3664.453</v>
      </c>
      <c r="K77" s="798">
        <v>3829.9760000000001</v>
      </c>
      <c r="L77" s="798">
        <v>3992.864</v>
      </c>
      <c r="M77" s="799">
        <v>4238.4309999999996</v>
      </c>
      <c r="N77" s="799">
        <v>4233.9669999999996</v>
      </c>
      <c r="O77" s="799">
        <v>4375.9259999999995</v>
      </c>
      <c r="P77" s="799">
        <v>4466.88</v>
      </c>
      <c r="Q77" s="799">
        <v>4762.9939999999997</v>
      </c>
      <c r="R77" s="799">
        <v>5061.7550000000001</v>
      </c>
      <c r="S77" s="797"/>
      <c r="T77" s="797"/>
    </row>
    <row r="78" spans="1:20" s="804" customFormat="1" ht="16.5" customHeight="1" x14ac:dyDescent="0.2">
      <c r="A78" s="176" t="s">
        <v>617</v>
      </c>
      <c r="B78" s="177" t="s">
        <v>925</v>
      </c>
      <c r="C78" s="181" t="s">
        <v>840</v>
      </c>
      <c r="D78" s="181" t="s">
        <v>926</v>
      </c>
      <c r="E78" s="798">
        <v>985.37699999999995</v>
      </c>
      <c r="F78" s="798">
        <v>1140.5940000000001</v>
      </c>
      <c r="G78" s="798">
        <v>1053.2</v>
      </c>
      <c r="H78" s="798">
        <v>965.41200000000003</v>
      </c>
      <c r="I78" s="798">
        <v>1053.2090000000001</v>
      </c>
      <c r="J78" s="798">
        <v>1205.778</v>
      </c>
      <c r="K78" s="798">
        <f>1190.559-1190.559+1263.434</f>
        <v>1263.434</v>
      </c>
      <c r="L78" s="798">
        <v>1497.921</v>
      </c>
      <c r="M78" s="798">
        <v>1374.1410000000001</v>
      </c>
      <c r="N78" s="798">
        <v>1917.6369999999999</v>
      </c>
      <c r="O78" s="799">
        <v>1513.5639999999999</v>
      </c>
      <c r="P78" s="799">
        <f>1866.334-75.786</f>
        <v>1790.548</v>
      </c>
      <c r="Q78" s="799">
        <f>2434.564-236.414</f>
        <v>2198.1499999999996</v>
      </c>
      <c r="R78" s="799">
        <f>2632.315-332.585</f>
        <v>2299.73</v>
      </c>
      <c r="S78" s="797"/>
      <c r="T78" s="797"/>
    </row>
    <row r="79" spans="1:20" s="804" customFormat="1" ht="16.5" customHeight="1" x14ac:dyDescent="0.2">
      <c r="A79" s="157" t="s">
        <v>1015</v>
      </c>
      <c r="B79" s="149" t="s">
        <v>1016</v>
      </c>
      <c r="C79" s="164" t="s">
        <v>1017</v>
      </c>
      <c r="D79" s="164" t="s">
        <v>1017</v>
      </c>
      <c r="E79" s="798">
        <v>519.57100000000003</v>
      </c>
      <c r="F79" s="798">
        <v>612.11599999999999</v>
      </c>
      <c r="G79" s="798">
        <v>520.27</v>
      </c>
      <c r="H79" s="798">
        <v>582.13900000000001</v>
      </c>
      <c r="I79" s="799">
        <f>620.761+19.55</f>
        <v>640.31099999999992</v>
      </c>
      <c r="J79" s="799">
        <f>732.963-19.554</f>
        <v>713.40899999999999</v>
      </c>
      <c r="K79" s="798">
        <f>683.409-87.444</f>
        <v>595.96500000000003</v>
      </c>
      <c r="L79" s="798">
        <f>599.458+38.025</f>
        <v>637.48299999999995</v>
      </c>
      <c r="M79" s="799">
        <f>634.796+49.4</f>
        <v>684.19600000000003</v>
      </c>
      <c r="N79" s="799">
        <v>673.04399999999998</v>
      </c>
      <c r="O79" s="799">
        <v>661.14699999999993</v>
      </c>
      <c r="P79" s="799">
        <v>768.12199999999996</v>
      </c>
      <c r="Q79" s="799">
        <v>845.14</v>
      </c>
      <c r="R79" s="799">
        <v>875.06200000000001</v>
      </c>
      <c r="S79" s="797"/>
      <c r="T79" s="797"/>
    </row>
    <row r="80" spans="1:20" s="804" customFormat="1" ht="16.5" customHeight="1" x14ac:dyDescent="0.2">
      <c r="A80" s="157" t="s">
        <v>1018</v>
      </c>
      <c r="B80" s="149" t="s">
        <v>920</v>
      </c>
      <c r="C80" s="164" t="s">
        <v>1019</v>
      </c>
      <c r="D80" s="164" t="s">
        <v>1019</v>
      </c>
      <c r="E80" s="798">
        <v>49.18</v>
      </c>
      <c r="F80" s="798">
        <v>55.18</v>
      </c>
      <c r="G80" s="798">
        <v>44.145000000000003</v>
      </c>
      <c r="H80" s="798">
        <v>41.97</v>
      </c>
      <c r="I80" s="799">
        <v>44.695</v>
      </c>
      <c r="J80" s="799">
        <v>46.707000000000001</v>
      </c>
      <c r="K80" s="798">
        <v>52.192999999999998</v>
      </c>
      <c r="L80" s="798">
        <f>56.941+0.029</f>
        <v>56.970000000000006</v>
      </c>
      <c r="M80" s="799">
        <v>61.631</v>
      </c>
      <c r="N80" s="799">
        <v>64.906999999999996</v>
      </c>
      <c r="O80" s="799">
        <v>63.235999999999997</v>
      </c>
      <c r="P80" s="799">
        <v>64.584999999999994</v>
      </c>
      <c r="Q80" s="799">
        <v>68.424999999999997</v>
      </c>
      <c r="R80" s="799">
        <v>74.221999999999994</v>
      </c>
      <c r="S80" s="797"/>
      <c r="T80" s="797"/>
    </row>
    <row r="81" spans="1:20" s="804" customFormat="1" ht="16.5" customHeight="1" x14ac:dyDescent="0.2">
      <c r="A81" s="175" t="s">
        <v>1020</v>
      </c>
      <c r="B81" s="143" t="s">
        <v>843</v>
      </c>
      <c r="C81" s="144" t="s">
        <v>843</v>
      </c>
      <c r="D81" s="144" t="s">
        <v>843</v>
      </c>
      <c r="E81" s="807">
        <f>E82+E86</f>
        <v>2862.7339999999999</v>
      </c>
      <c r="F81" s="807">
        <f t="shared" ref="F81:P81" si="41">F82+F86</f>
        <v>3677.047</v>
      </c>
      <c r="G81" s="807">
        <f t="shared" si="41"/>
        <v>3044.8850000000002</v>
      </c>
      <c r="H81" s="807">
        <f t="shared" si="41"/>
        <v>3171.741</v>
      </c>
      <c r="I81" s="796">
        <f t="shared" si="41"/>
        <v>2892.5819999999999</v>
      </c>
      <c r="J81" s="796">
        <f t="shared" si="41"/>
        <v>2932.5709999999999</v>
      </c>
      <c r="K81" s="807">
        <f t="shared" si="41"/>
        <v>3227.069</v>
      </c>
      <c r="L81" s="807">
        <f t="shared" si="41"/>
        <v>5614.9900000000007</v>
      </c>
      <c r="M81" s="796">
        <f t="shared" si="41"/>
        <v>3149.9189999999999</v>
      </c>
      <c r="N81" s="796">
        <f t="shared" si="41"/>
        <v>3260.683</v>
      </c>
      <c r="O81" s="796">
        <f t="shared" si="41"/>
        <v>3129.3720000000003</v>
      </c>
      <c r="P81" s="796">
        <f t="shared" si="41"/>
        <v>2367.6430000000005</v>
      </c>
      <c r="Q81" s="796">
        <f t="shared" ref="Q81:R81" si="42">Q82+Q86</f>
        <v>2785.681</v>
      </c>
      <c r="R81" s="796">
        <f t="shared" si="42"/>
        <v>3021.9259999999995</v>
      </c>
      <c r="S81" s="797"/>
      <c r="T81" s="797"/>
    </row>
    <row r="82" spans="1:20" ht="16.5" customHeight="1" x14ac:dyDescent="0.2">
      <c r="A82" s="158" t="s">
        <v>1021</v>
      </c>
      <c r="B82" s="146" t="s">
        <v>1022</v>
      </c>
      <c r="C82" s="164" t="s">
        <v>1023</v>
      </c>
      <c r="D82" s="164" t="s">
        <v>1024</v>
      </c>
      <c r="E82" s="798">
        <f>SUM(E83:E85)</f>
        <v>2231.2579999999998</v>
      </c>
      <c r="F82" s="798">
        <f>SUM(F83:F85)</f>
        <v>2569.4960000000001</v>
      </c>
      <c r="G82" s="798">
        <f>SUM(G83:G85)</f>
        <v>2577.0230000000001</v>
      </c>
      <c r="H82" s="798">
        <f>SUM(H83:H85)</f>
        <v>2629.203</v>
      </c>
      <c r="I82" s="798">
        <v>2489.748</v>
      </c>
      <c r="J82" s="798">
        <v>2552.8429999999998</v>
      </c>
      <c r="K82" s="798">
        <v>2841.59</v>
      </c>
      <c r="L82" s="798">
        <v>5055.8500000000004</v>
      </c>
      <c r="M82" s="798">
        <v>2806.38</v>
      </c>
      <c r="N82" s="798">
        <f t="shared" ref="N82" si="43">N83+N84+N85</f>
        <v>2979.78</v>
      </c>
      <c r="O82" s="799">
        <f t="shared" ref="O82:P82" si="44">O83+O84+O85</f>
        <v>2851.1730000000002</v>
      </c>
      <c r="P82" s="799">
        <f t="shared" si="44"/>
        <v>2138.6780000000003</v>
      </c>
      <c r="Q82" s="799">
        <f t="shared" ref="Q82:R82" si="45">Q83+Q84+Q85</f>
        <v>2555.797</v>
      </c>
      <c r="R82" s="799">
        <f t="shared" si="45"/>
        <v>2779.1159999999995</v>
      </c>
      <c r="S82" s="797"/>
      <c r="T82" s="797"/>
    </row>
    <row r="83" spans="1:20" ht="16.5" customHeight="1" x14ac:dyDescent="0.2">
      <c r="A83" s="157" t="s">
        <v>1025</v>
      </c>
      <c r="B83" s="146" t="s">
        <v>1026</v>
      </c>
      <c r="C83" s="147" t="s">
        <v>840</v>
      </c>
      <c r="D83" s="147" t="s">
        <v>1027</v>
      </c>
      <c r="E83" s="798">
        <v>2307.6439999999998</v>
      </c>
      <c r="F83" s="798">
        <v>2486.96</v>
      </c>
      <c r="G83" s="798">
        <v>2441.0880000000002</v>
      </c>
      <c r="H83" s="798">
        <v>2691.759</v>
      </c>
      <c r="I83" s="798">
        <v>2435.8110000000001</v>
      </c>
      <c r="J83" s="798">
        <v>2466.08</v>
      </c>
      <c r="K83" s="798">
        <v>3023.41</v>
      </c>
      <c r="L83" s="798">
        <v>4950.6450000000004</v>
      </c>
      <c r="M83" s="798">
        <v>2599.5709999999999</v>
      </c>
      <c r="N83" s="798">
        <v>2910.9839999999999</v>
      </c>
      <c r="O83" s="799">
        <v>2810.6469999999999</v>
      </c>
      <c r="P83" s="799">
        <v>2163.277</v>
      </c>
      <c r="Q83" s="799">
        <v>2565.9659999999999</v>
      </c>
      <c r="R83" s="799">
        <v>2662.5529999999999</v>
      </c>
      <c r="S83" s="797"/>
      <c r="T83" s="797"/>
    </row>
    <row r="84" spans="1:20" ht="16.5" customHeight="1" x14ac:dyDescent="0.2">
      <c r="A84" s="157" t="s">
        <v>1028</v>
      </c>
      <c r="B84" s="146" t="s">
        <v>1029</v>
      </c>
      <c r="C84" s="147" t="s">
        <v>1030</v>
      </c>
      <c r="D84" s="147" t="s">
        <v>1031</v>
      </c>
      <c r="E84" s="798">
        <v>109.414</v>
      </c>
      <c r="F84" s="799">
        <v>52.887</v>
      </c>
      <c r="G84" s="799">
        <v>94.768000000000001</v>
      </c>
      <c r="H84" s="799">
        <v>2.2530000000000001</v>
      </c>
      <c r="I84" s="798">
        <v>19.579999999999998</v>
      </c>
      <c r="J84" s="798">
        <v>60.564</v>
      </c>
      <c r="K84" s="799">
        <v>47.12</v>
      </c>
      <c r="L84" s="799">
        <v>6.43</v>
      </c>
      <c r="M84" s="798">
        <v>21.318999999999999</v>
      </c>
      <c r="N84" s="798">
        <v>29.242000000000001</v>
      </c>
      <c r="O84" s="799">
        <v>14.242000000000001</v>
      </c>
      <c r="P84" s="799">
        <v>13.821999999999999</v>
      </c>
      <c r="Q84" s="799">
        <v>31.001000000000001</v>
      </c>
      <c r="R84" s="799">
        <v>163.602</v>
      </c>
      <c r="S84" s="797"/>
      <c r="T84" s="797"/>
    </row>
    <row r="85" spans="1:20" ht="16.5" customHeight="1" x14ac:dyDescent="0.2">
      <c r="A85" s="157" t="s">
        <v>1032</v>
      </c>
      <c r="B85" s="146" t="s">
        <v>1033</v>
      </c>
      <c r="C85" s="147" t="s">
        <v>840</v>
      </c>
      <c r="D85" s="147" t="s">
        <v>1034</v>
      </c>
      <c r="E85" s="799">
        <v>-185.8</v>
      </c>
      <c r="F85" s="799">
        <v>29.649000000000001</v>
      </c>
      <c r="G85" s="799">
        <v>41.167000000000002</v>
      </c>
      <c r="H85" s="799">
        <v>-64.808999999999997</v>
      </c>
      <c r="I85" s="799">
        <v>34.356999999999999</v>
      </c>
      <c r="J85" s="799">
        <v>26.199000000000002</v>
      </c>
      <c r="K85" s="799">
        <v>-228.94</v>
      </c>
      <c r="L85" s="799">
        <v>98.775000000000006</v>
      </c>
      <c r="M85" s="799">
        <v>185.49</v>
      </c>
      <c r="N85" s="799">
        <v>39.554000000000002</v>
      </c>
      <c r="O85" s="799">
        <v>26.284000000000006</v>
      </c>
      <c r="P85" s="799">
        <v>-38.420999999999999</v>
      </c>
      <c r="Q85" s="799">
        <v>-41.17</v>
      </c>
      <c r="R85" s="799">
        <v>-47.039000000000001</v>
      </c>
      <c r="S85" s="797"/>
      <c r="T85" s="797"/>
    </row>
    <row r="86" spans="1:20" ht="16.5" customHeight="1" x14ac:dyDescent="0.2">
      <c r="A86" s="158" t="s">
        <v>68</v>
      </c>
      <c r="B86" s="146" t="s">
        <v>927</v>
      </c>
      <c r="C86" s="164" t="s">
        <v>840</v>
      </c>
      <c r="D86" s="164" t="s">
        <v>1035</v>
      </c>
      <c r="E86" s="799">
        <f t="shared" ref="E86:P86" si="46">E87</f>
        <v>631.476</v>
      </c>
      <c r="F86" s="799">
        <f t="shared" si="46"/>
        <v>1107.5509999999999</v>
      </c>
      <c r="G86" s="799">
        <f t="shared" si="46"/>
        <v>467.86200000000002</v>
      </c>
      <c r="H86" s="799">
        <f t="shared" si="46"/>
        <v>542.53800000000001</v>
      </c>
      <c r="I86" s="799">
        <f t="shared" si="46"/>
        <v>402.834</v>
      </c>
      <c r="J86" s="799">
        <f t="shared" si="46"/>
        <v>379.72800000000001</v>
      </c>
      <c r="K86" s="799">
        <f t="shared" si="46"/>
        <v>385.47899999999998</v>
      </c>
      <c r="L86" s="799">
        <f t="shared" si="46"/>
        <v>559.14</v>
      </c>
      <c r="M86" s="799">
        <f t="shared" si="46"/>
        <v>343.53899999999999</v>
      </c>
      <c r="N86" s="799">
        <f t="shared" si="46"/>
        <v>280.90300000000002</v>
      </c>
      <c r="O86" s="799">
        <f t="shared" si="46"/>
        <v>278.19900000000007</v>
      </c>
      <c r="P86" s="799">
        <f t="shared" si="46"/>
        <v>228.965</v>
      </c>
      <c r="Q86" s="799">
        <f>Q87</f>
        <v>229.88399999999999</v>
      </c>
      <c r="R86" s="799">
        <f>R87</f>
        <v>242.81</v>
      </c>
      <c r="S86" s="797"/>
      <c r="T86" s="797"/>
    </row>
    <row r="87" spans="1:20" ht="16.5" customHeight="1" x14ac:dyDescent="0.2">
      <c r="A87" s="157" t="s">
        <v>1036</v>
      </c>
      <c r="B87" s="182" t="s">
        <v>1037</v>
      </c>
      <c r="C87" s="183" t="s">
        <v>1038</v>
      </c>
      <c r="D87" s="183" t="s">
        <v>1035</v>
      </c>
      <c r="E87" s="799">
        <v>631.476</v>
      </c>
      <c r="F87" s="803">
        <v>1107.5509999999999</v>
      </c>
      <c r="G87" s="803">
        <v>467.86200000000002</v>
      </c>
      <c r="H87" s="803">
        <v>542.53800000000001</v>
      </c>
      <c r="I87" s="803">
        <v>402.834</v>
      </c>
      <c r="J87" s="799">
        <v>379.72800000000001</v>
      </c>
      <c r="K87" s="803">
        <v>385.47899999999998</v>
      </c>
      <c r="L87" s="803">
        <v>559.14</v>
      </c>
      <c r="M87" s="803">
        <v>343.53899999999999</v>
      </c>
      <c r="N87" s="803">
        <v>280.90300000000002</v>
      </c>
      <c r="O87" s="799">
        <v>278.19900000000007</v>
      </c>
      <c r="P87" s="799">
        <v>228.965</v>
      </c>
      <c r="Q87" s="799">
        <v>229.88399999999999</v>
      </c>
      <c r="R87" s="799">
        <v>242.81</v>
      </c>
      <c r="S87" s="797"/>
      <c r="T87" s="797"/>
    </row>
    <row r="88" spans="1:20" ht="16.5" customHeight="1" x14ac:dyDescent="0.2">
      <c r="A88" s="159" t="s">
        <v>1039</v>
      </c>
      <c r="B88" s="143" t="s">
        <v>843</v>
      </c>
      <c r="C88" s="144" t="s">
        <v>843</v>
      </c>
      <c r="D88" s="144" t="s">
        <v>843</v>
      </c>
      <c r="E88" s="807"/>
      <c r="F88" s="807"/>
      <c r="G88" s="807"/>
      <c r="H88" s="807"/>
      <c r="I88" s="796"/>
      <c r="J88" s="796"/>
      <c r="K88" s="796"/>
      <c r="L88" s="796"/>
      <c r="M88" s="796"/>
      <c r="N88" s="796"/>
      <c r="O88" s="796"/>
      <c r="P88" s="796"/>
      <c r="Q88" s="796">
        <v>-107.093</v>
      </c>
      <c r="R88" s="796">
        <v>-112</v>
      </c>
      <c r="S88" s="797"/>
      <c r="T88" s="797"/>
    </row>
    <row r="89" spans="1:20" ht="16.5" customHeight="1" x14ac:dyDescent="0.2">
      <c r="A89" s="136" t="s">
        <v>1040</v>
      </c>
      <c r="B89" s="184" t="s">
        <v>94</v>
      </c>
      <c r="C89" s="185"/>
      <c r="D89" s="185"/>
      <c r="E89" s="808">
        <f t="shared" ref="E89:P89" si="47">E6-E42</f>
        <v>-1662.8050000000003</v>
      </c>
      <c r="F89" s="808">
        <f t="shared" si="47"/>
        <v>-4996.4929999999986</v>
      </c>
      <c r="G89" s="808">
        <f t="shared" si="47"/>
        <v>-5058.107</v>
      </c>
      <c r="H89" s="808">
        <f t="shared" si="47"/>
        <v>-3020.6909999999989</v>
      </c>
      <c r="I89" s="808">
        <f t="shared" si="47"/>
        <v>-3158.8849999999984</v>
      </c>
      <c r="J89" s="808">
        <f t="shared" si="47"/>
        <v>-2017.4120000000003</v>
      </c>
      <c r="K89" s="808">
        <f t="shared" si="47"/>
        <v>-2056.1159999999982</v>
      </c>
      <c r="L89" s="808">
        <f t="shared" si="47"/>
        <v>-2159.5899999999965</v>
      </c>
      <c r="M89" s="808">
        <f t="shared" si="47"/>
        <v>-1773.9130000000005</v>
      </c>
      <c r="N89" s="808">
        <f>N6-N42</f>
        <v>-1083.4889999999941</v>
      </c>
      <c r="O89" s="186">
        <f t="shared" si="47"/>
        <v>-1375.5500000000029</v>
      </c>
      <c r="P89" s="187">
        <f t="shared" si="47"/>
        <v>-742.81100000000151</v>
      </c>
      <c r="Q89" s="186">
        <f>Q6-Q42</f>
        <v>-95.260999999991327</v>
      </c>
      <c r="R89" s="187">
        <f>R6-R42</f>
        <v>0</v>
      </c>
      <c r="S89" s="797"/>
      <c r="T89" s="797"/>
    </row>
    <row r="90" spans="1:20" ht="16.5" customHeight="1" x14ac:dyDescent="0.2">
      <c r="A90" s="188" t="s">
        <v>4</v>
      </c>
      <c r="B90" s="189"/>
      <c r="C90" s="190"/>
      <c r="D90" s="190"/>
      <c r="E90" s="191">
        <f t="shared" ref="E90:M90" si="48">E89/E91</f>
        <v>-2.4277502642659831E-2</v>
      </c>
      <c r="F90" s="191">
        <f t="shared" si="48"/>
        <v>-7.8042034828054233E-2</v>
      </c>
      <c r="G90" s="191">
        <f t="shared" si="48"/>
        <v>-7.4849202320897701E-2</v>
      </c>
      <c r="H90" s="191">
        <f t="shared" si="48"/>
        <v>-4.2769513728421894E-2</v>
      </c>
      <c r="I90" s="191">
        <f t="shared" si="48"/>
        <v>-4.3448871099740709E-2</v>
      </c>
      <c r="J90" s="191">
        <f t="shared" si="48"/>
        <v>-2.719988478340795E-2</v>
      </c>
      <c r="K90" s="191">
        <f t="shared" si="48"/>
        <v>-2.707326627732078E-2</v>
      </c>
      <c r="L90" s="191">
        <f t="shared" si="48"/>
        <v>-2.7445806862164638E-2</v>
      </c>
      <c r="M90" s="191">
        <f t="shared" si="48"/>
        <v>-2.1911520941153645E-2</v>
      </c>
      <c r="N90" s="191">
        <f>N89/N91</f>
        <v>-1.2900001435861459E-2</v>
      </c>
      <c r="O90" s="191">
        <f>O89/O91</f>
        <v>-1.6259539031147602E-2</v>
      </c>
      <c r="P90" s="192">
        <f>P89/P91</f>
        <v>-8.2999969762914804E-3</v>
      </c>
      <c r="Q90" s="191">
        <f>Q89/Q91</f>
        <v>-1.0000013791542728E-3</v>
      </c>
      <c r="R90" s="192">
        <f>R89/R91</f>
        <v>0</v>
      </c>
      <c r="S90" s="797"/>
      <c r="T90" s="797"/>
    </row>
    <row r="91" spans="1:20" ht="16.5" customHeight="1" x14ac:dyDescent="0.2">
      <c r="A91" s="193" t="s">
        <v>110</v>
      </c>
      <c r="B91" s="194"/>
      <c r="C91" s="195"/>
      <c r="D91" s="195"/>
      <c r="E91" s="195">
        <v>68491.600000000006</v>
      </c>
      <c r="F91" s="195">
        <v>64023.1</v>
      </c>
      <c r="G91" s="195">
        <v>67577.3</v>
      </c>
      <c r="H91" s="195">
        <v>70627.199999999997</v>
      </c>
      <c r="I91" s="195">
        <v>72703.5</v>
      </c>
      <c r="J91" s="195">
        <v>74169.873000000007</v>
      </c>
      <c r="K91" s="195">
        <v>75946.359000000026</v>
      </c>
      <c r="L91" s="195">
        <v>78685.607999999993</v>
      </c>
      <c r="M91" s="195">
        <v>80958.004000000001</v>
      </c>
      <c r="N91" s="195">
        <v>83991.385999999999</v>
      </c>
      <c r="O91" s="195">
        <v>84599.569358327397</v>
      </c>
      <c r="P91" s="195">
        <v>89495.333808169264</v>
      </c>
      <c r="Q91" s="195">
        <v>95260.868620557332</v>
      </c>
      <c r="R91" s="195">
        <v>101007.35417605055</v>
      </c>
      <c r="S91" s="797"/>
      <c r="T91" s="797"/>
    </row>
    <row r="92" spans="1:20" x14ac:dyDescent="0.2">
      <c r="A92" s="800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20" x14ac:dyDescent="0.2">
      <c r="A93" s="800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</row>
    <row r="94" spans="1:20" x14ac:dyDescent="0.2">
      <c r="A94" s="800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5" spans="1:20" x14ac:dyDescent="0.2"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</row>
    <row r="96" spans="1:20" x14ac:dyDescent="0.2"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4:17" x14ac:dyDescent="0.2"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4:17" x14ac:dyDescent="0.2"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4:17" x14ac:dyDescent="0.2"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</row>
    <row r="100" spans="4:17" x14ac:dyDescent="0.2">
      <c r="M100" s="785"/>
      <c r="N100" s="785"/>
      <c r="O100" s="785"/>
      <c r="P100" s="785"/>
    </row>
    <row r="101" spans="4:17" x14ac:dyDescent="0.2">
      <c r="I101" s="785"/>
      <c r="J101" s="785"/>
      <c r="K101" s="785"/>
      <c r="L101" s="785"/>
      <c r="M101" s="785"/>
      <c r="N101" s="785"/>
      <c r="O101" s="785"/>
      <c r="P101" s="785"/>
    </row>
    <row r="102" spans="4:17" x14ac:dyDescent="0.2">
      <c r="L102" s="35"/>
      <c r="M102" s="35"/>
      <c r="N102" s="35"/>
    </row>
    <row r="103" spans="4:17" x14ac:dyDescent="0.2">
      <c r="G103" s="786"/>
      <c r="I103" s="787"/>
      <c r="J103" s="787"/>
      <c r="K103" s="787"/>
      <c r="L103" s="788"/>
      <c r="M103" s="788"/>
      <c r="N103" s="788"/>
      <c r="O103" s="788"/>
      <c r="P103" s="787"/>
    </row>
    <row r="104" spans="4:17" x14ac:dyDescent="0.2">
      <c r="G104" s="786"/>
      <c r="H104" s="788"/>
      <c r="I104" s="787"/>
      <c r="J104" s="787"/>
      <c r="K104" s="787"/>
    </row>
    <row r="105" spans="4:17" x14ac:dyDescent="0.2">
      <c r="G105" s="786"/>
      <c r="H105" s="788"/>
      <c r="I105" s="787"/>
      <c r="J105" s="787"/>
      <c r="K105" s="787"/>
      <c r="L105" s="787"/>
      <c r="M105" s="787"/>
      <c r="N105" s="787"/>
      <c r="O105" s="787"/>
    </row>
    <row r="106" spans="4:17" x14ac:dyDescent="0.2">
      <c r="G106" s="786"/>
      <c r="H106" s="788"/>
      <c r="I106" s="787"/>
      <c r="J106" s="787"/>
      <c r="K106" s="787"/>
      <c r="L106" s="787"/>
      <c r="M106" s="787"/>
      <c r="N106" s="787"/>
      <c r="O106" s="787"/>
    </row>
  </sheetData>
  <mergeCells count="3">
    <mergeCell ref="B4:B5"/>
    <mergeCell ref="C4:C5"/>
    <mergeCell ref="D4:D5"/>
  </mergeCells>
  <pageMargins left="0.7" right="0.7" top="0.75" bottom="0.75" header="0.3" footer="0.3"/>
  <pageSetup paperSize="9" orientation="portrait" r:id="rId1"/>
  <ignoredErrors>
    <ignoredError sqref="O89:R90 O42:R43 O6:R7 E6:M7 E42:M43 E89:M90 N89:N90 N6 N42" unlockedFormula="1"/>
  </ignoredError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3:Q58"/>
  <sheetViews>
    <sheetView showGridLines="0" zoomScaleNormal="100" workbookViewId="0">
      <selection activeCell="B5" sqref="B5"/>
    </sheetView>
  </sheetViews>
  <sheetFormatPr defaultColWidth="9.140625" defaultRowHeight="12.75" x14ac:dyDescent="0.2"/>
  <cols>
    <col min="1" max="1" width="11.5703125" style="393" customWidth="1"/>
    <col min="2" max="8" width="9.140625" style="393"/>
    <col min="9" max="9" width="35.85546875" style="393" customWidth="1"/>
    <col min="10" max="12" width="6.7109375" style="393" customWidth="1"/>
    <col min="13" max="13" width="8.42578125" style="393" customWidth="1"/>
    <col min="14" max="14" width="8.28515625" style="393" customWidth="1"/>
    <col min="15" max="15" width="7.7109375" style="393" customWidth="1"/>
    <col min="16" max="16" width="6.42578125" style="393" customWidth="1"/>
    <col min="17" max="17" width="6.7109375" style="393" customWidth="1"/>
    <col min="18" max="16384" width="9.140625" style="393"/>
  </cols>
  <sheetData>
    <row r="3" spans="2:17" x14ac:dyDescent="0.2">
      <c r="B3" s="35"/>
    </row>
    <row r="4" spans="2:17" ht="13.5" thickBot="1" x14ac:dyDescent="0.25">
      <c r="B4" s="127" t="s">
        <v>1057</v>
      </c>
      <c r="C4" s="394"/>
      <c r="D4" s="394"/>
      <c r="E4" s="394"/>
      <c r="F4" s="394"/>
      <c r="G4" s="394"/>
      <c r="H4" s="394"/>
      <c r="I4" s="395" t="s">
        <v>268</v>
      </c>
      <c r="J4" s="396"/>
      <c r="K4" s="396"/>
      <c r="L4" s="396"/>
      <c r="M4" s="396"/>
      <c r="N4" s="396"/>
      <c r="O4" s="396"/>
    </row>
    <row r="5" spans="2:17" x14ac:dyDescent="0.2">
      <c r="L5" s="394"/>
    </row>
    <row r="6" spans="2:17" x14ac:dyDescent="0.2">
      <c r="I6" s="397" t="s">
        <v>269</v>
      </c>
      <c r="K6" s="398">
        <v>2014</v>
      </c>
      <c r="L6" s="398">
        <v>2015</v>
      </c>
      <c r="M6" s="398">
        <v>2016</v>
      </c>
      <c r="N6" s="399" t="s">
        <v>381</v>
      </c>
      <c r="O6" s="399">
        <v>2018</v>
      </c>
      <c r="P6" s="399">
        <v>2019</v>
      </c>
      <c r="Q6" s="399">
        <v>2020</v>
      </c>
    </row>
    <row r="7" spans="2:17" x14ac:dyDescent="0.2">
      <c r="I7" s="394" t="s">
        <v>399</v>
      </c>
      <c r="K7" s="400"/>
      <c r="L7" s="400"/>
      <c r="M7" s="400"/>
      <c r="N7" s="401"/>
      <c r="O7" s="401"/>
      <c r="P7" s="401"/>
      <c r="Q7" s="401"/>
    </row>
    <row r="8" spans="2:17" x14ac:dyDescent="0.2">
      <c r="I8" s="296" t="s">
        <v>243</v>
      </c>
      <c r="K8" s="402">
        <f>MMF_TABULKA!K91/1000</f>
        <v>75.946359000000029</v>
      </c>
      <c r="L8" s="402">
        <f>MMF_TABULKA!L91/1000</f>
        <v>78.685607999999988</v>
      </c>
      <c r="M8" s="402">
        <f>MMF_TABULKA!M91/1000</f>
        <v>80.958004000000003</v>
      </c>
      <c r="N8" s="298">
        <f>MMF_TABULKA!O91/1000</f>
        <v>84.5995693583274</v>
      </c>
      <c r="O8" s="298">
        <f>MMF_TABULKA!P91/1000</f>
        <v>89.495333808169264</v>
      </c>
      <c r="P8" s="298">
        <f>MMF_TABULKA!Q91/1000</f>
        <v>95.260868620557332</v>
      </c>
      <c r="Q8" s="298">
        <f>MMF_TABULKA!R91/1000</f>
        <v>101.00735417605054</v>
      </c>
    </row>
    <row r="9" spans="2:17" x14ac:dyDescent="0.2">
      <c r="I9" s="403" t="s">
        <v>242</v>
      </c>
      <c r="K9" s="404">
        <v>2.3951584762724281</v>
      </c>
      <c r="L9" s="404">
        <f>(L8/K8-1)*100</f>
        <v>3.6068207035441446</v>
      </c>
      <c r="M9" s="404">
        <f t="shared" ref="M9:Q9" si="0">(M8/L8-1)*100</f>
        <v>2.8879436249638069</v>
      </c>
      <c r="N9" s="405">
        <f t="shared" si="0"/>
        <v>4.4980918234192035</v>
      </c>
      <c r="O9" s="405">
        <f t="shared" si="0"/>
        <v>5.7869850721172122</v>
      </c>
      <c r="P9" s="405">
        <f t="shared" si="0"/>
        <v>6.4422742136996058</v>
      </c>
      <c r="Q9" s="405">
        <f t="shared" si="0"/>
        <v>6.0323673704704373</v>
      </c>
    </row>
    <row r="10" spans="2:17" x14ac:dyDescent="0.2">
      <c r="K10" s="404"/>
      <c r="L10" s="404"/>
      <c r="M10" s="404"/>
      <c r="N10" s="405"/>
      <c r="O10" s="405"/>
      <c r="P10" s="405"/>
      <c r="Q10" s="405"/>
    </row>
    <row r="11" spans="2:17" x14ac:dyDescent="0.2">
      <c r="I11" s="394" t="s">
        <v>241</v>
      </c>
      <c r="K11" s="402">
        <v>76.087789000000001</v>
      </c>
      <c r="L11" s="402">
        <v>78.896443000000005</v>
      </c>
      <c r="M11" s="402">
        <v>81.153965999999997</v>
      </c>
      <c r="N11" s="298"/>
      <c r="O11" s="298"/>
      <c r="P11" s="298"/>
      <c r="Q11" s="298"/>
    </row>
    <row r="12" spans="2:17" x14ac:dyDescent="0.2">
      <c r="I12" s="394" t="s">
        <v>240</v>
      </c>
      <c r="K12" s="406"/>
      <c r="L12" s="406"/>
      <c r="M12" s="406"/>
      <c r="N12" s="298">
        <f>M11*(1+N9/100)</f>
        <v>84.804345909026395</v>
      </c>
      <c r="O12" s="298">
        <f>N12*(1+O9/100)</f>
        <v>89.711960747288401</v>
      </c>
      <c r="P12" s="298">
        <f t="shared" ref="P12:Q12" si="1">O12*(1+P9/100)</f>
        <v>95.491451261115273</v>
      </c>
      <c r="Q12" s="298">
        <f t="shared" si="1"/>
        <v>101.25184640857947</v>
      </c>
    </row>
    <row r="13" spans="2:17" x14ac:dyDescent="0.2">
      <c r="I13" s="407" t="s">
        <v>239</v>
      </c>
      <c r="K13" s="402">
        <f>K11</f>
        <v>76.087789000000001</v>
      </c>
      <c r="L13" s="402">
        <f>L11</f>
        <v>78.896443000000005</v>
      </c>
      <c r="M13" s="402">
        <f>M11</f>
        <v>81.153965999999997</v>
      </c>
      <c r="N13" s="298">
        <f>N12</f>
        <v>84.804345909026395</v>
      </c>
      <c r="O13" s="298">
        <f>O12</f>
        <v>89.711960747288401</v>
      </c>
      <c r="P13" s="298">
        <f t="shared" ref="P13:Q13" si="2">P12</f>
        <v>95.491451261115273</v>
      </c>
      <c r="Q13" s="298">
        <f t="shared" si="2"/>
        <v>101.25184640857947</v>
      </c>
    </row>
    <row r="14" spans="2:17" x14ac:dyDescent="0.2">
      <c r="I14" s="394"/>
      <c r="J14" s="408"/>
      <c r="K14" s="409"/>
      <c r="L14" s="409"/>
      <c r="M14" s="409"/>
      <c r="N14" s="410"/>
      <c r="O14" s="410"/>
      <c r="P14" s="410"/>
      <c r="Q14" s="410"/>
    </row>
    <row r="15" spans="2:17" x14ac:dyDescent="0.2">
      <c r="I15" s="411" t="s">
        <v>238</v>
      </c>
      <c r="J15" s="412"/>
      <c r="K15" s="413">
        <v>53.623397535094476</v>
      </c>
      <c r="L15" s="413">
        <f>'Tabuľka 8'!C20</f>
        <v>52.48144512356059</v>
      </c>
      <c r="M15" s="413">
        <f>'Tabuľka 8'!D20</f>
        <v>51.944462693818124</v>
      </c>
      <c r="N15" s="414">
        <f>'Tabuľka 8'!E20</f>
        <v>51.116031731585295</v>
      </c>
      <c r="O15" s="414">
        <f>'Tabuľka 8'!F20</f>
        <v>49.945795735786284</v>
      </c>
      <c r="P15" s="414">
        <f>'Tabuľka 8'!G20</f>
        <v>47.82786993443473</v>
      </c>
      <c r="Q15" s="414">
        <f>'Tabuľka 8'!H20</f>
        <v>45.509628122903415</v>
      </c>
    </row>
    <row r="16" spans="2:17" x14ac:dyDescent="0.2">
      <c r="I16" s="411" t="s">
        <v>237</v>
      </c>
      <c r="J16" s="412"/>
      <c r="K16" s="413">
        <f t="shared" ref="K16:O16" si="3">K8/K13*K15</f>
        <v>53.523723760720685</v>
      </c>
      <c r="L16" s="413">
        <f t="shared" si="3"/>
        <v>52.341198934228245</v>
      </c>
      <c r="M16" s="413">
        <f>M8/M13*M15</f>
        <v>51.819032708074658</v>
      </c>
      <c r="N16" s="415">
        <f t="shared" si="3"/>
        <v>50.992602153169074</v>
      </c>
      <c r="O16" s="415">
        <f t="shared" si="3"/>
        <v>49.825191919283036</v>
      </c>
      <c r="P16" s="415">
        <f t="shared" ref="P16" si="4">P8/P13*P15</f>
        <v>47.712380260792763</v>
      </c>
      <c r="Q16" s="415">
        <f>Q8/Q13*Q15</f>
        <v>45.399736294003517</v>
      </c>
    </row>
    <row r="21" spans="2:16" ht="13.5" thickBot="1" x14ac:dyDescent="0.25">
      <c r="I21" s="200" t="s">
        <v>576</v>
      </c>
      <c r="J21" s="322"/>
      <c r="K21" s="828"/>
      <c r="L21" s="828"/>
      <c r="M21" s="28"/>
      <c r="N21" s="28"/>
      <c r="O21" s="28"/>
      <c r="P21" s="28"/>
    </row>
    <row r="22" spans="2:16" ht="13.5" thickBot="1" x14ac:dyDescent="0.25">
      <c r="I22" s="28"/>
      <c r="J22" s="416">
        <v>2014</v>
      </c>
      <c r="K22" s="416">
        <v>2015</v>
      </c>
      <c r="L22" s="416">
        <v>2016</v>
      </c>
      <c r="M22" s="416">
        <v>2017</v>
      </c>
      <c r="N22" s="416">
        <v>2018</v>
      </c>
      <c r="O22" s="416">
        <v>2019</v>
      </c>
      <c r="P22" s="416">
        <v>2020</v>
      </c>
    </row>
    <row r="23" spans="2:16" ht="15" x14ac:dyDescent="0.2">
      <c r="B23" s="127"/>
      <c r="I23" s="417" t="s">
        <v>1048</v>
      </c>
      <c r="J23" s="418">
        <f>K8</f>
        <v>75.946359000000029</v>
      </c>
      <c r="K23" s="418">
        <f t="shared" ref="K23:P23" si="5">L8</f>
        <v>78.685607999999988</v>
      </c>
      <c r="L23" s="418">
        <f t="shared" si="5"/>
        <v>80.958004000000003</v>
      </c>
      <c r="M23" s="418">
        <f t="shared" si="5"/>
        <v>84.5995693583274</v>
      </c>
      <c r="N23" s="418">
        <f t="shared" si="5"/>
        <v>89.495333808169264</v>
      </c>
      <c r="O23" s="418">
        <f t="shared" si="5"/>
        <v>95.260868620557332</v>
      </c>
      <c r="P23" s="418">
        <f t="shared" si="5"/>
        <v>101.00735417605054</v>
      </c>
    </row>
    <row r="24" spans="2:16" ht="13.5" thickBot="1" x14ac:dyDescent="0.25">
      <c r="I24" s="28" t="s">
        <v>400</v>
      </c>
      <c r="J24" s="419">
        <f>K11</f>
        <v>76.087789000000001</v>
      </c>
      <c r="K24" s="419">
        <f>L11</f>
        <v>78.896443000000005</v>
      </c>
      <c r="L24" s="419">
        <f>M11</f>
        <v>81.153965999999997</v>
      </c>
      <c r="M24" s="419" t="s">
        <v>2</v>
      </c>
      <c r="N24" s="419" t="s">
        <v>2</v>
      </c>
      <c r="O24" s="419" t="s">
        <v>2</v>
      </c>
      <c r="P24" s="419" t="s">
        <v>2</v>
      </c>
    </row>
    <row r="25" spans="2:16" ht="13.5" thickBot="1" x14ac:dyDescent="0.25">
      <c r="I25" s="420" t="s">
        <v>401</v>
      </c>
      <c r="J25" s="421">
        <f>K13</f>
        <v>76.087789000000001</v>
      </c>
      <c r="K25" s="421">
        <f t="shared" ref="K25:N25" si="6">L13</f>
        <v>78.896443000000005</v>
      </c>
      <c r="L25" s="421">
        <f t="shared" si="6"/>
        <v>81.153965999999997</v>
      </c>
      <c r="M25" s="421">
        <f t="shared" si="6"/>
        <v>84.804345909026395</v>
      </c>
      <c r="N25" s="421">
        <f t="shared" si="6"/>
        <v>89.711960747288401</v>
      </c>
      <c r="O25" s="421">
        <f t="shared" ref="O25:P25" si="7">P13</f>
        <v>95.491451261115273</v>
      </c>
      <c r="P25" s="421">
        <f t="shared" si="7"/>
        <v>101.25184640857947</v>
      </c>
    </row>
    <row r="26" spans="2:16" ht="13.5" thickBot="1" x14ac:dyDescent="0.25">
      <c r="I26" s="422" t="s">
        <v>311</v>
      </c>
      <c r="J26" s="423">
        <f>J25-J23</f>
        <v>0.1414299999999713</v>
      </c>
      <c r="K26" s="423">
        <f>K25-K23</f>
        <v>0.2108350000000172</v>
      </c>
      <c r="L26" s="423">
        <f t="shared" ref="L26:M26" si="8">L25-L23</f>
        <v>0.19596199999999442</v>
      </c>
      <c r="M26" s="423">
        <f t="shared" si="8"/>
        <v>0.2047765506989947</v>
      </c>
      <c r="N26" s="423">
        <f>N25-N23</f>
        <v>0.21662693911913777</v>
      </c>
      <c r="O26" s="423">
        <f>O25-O23</f>
        <v>0.23058264055794098</v>
      </c>
      <c r="P26" s="423">
        <f>P25-P23</f>
        <v>0.24449223252892693</v>
      </c>
    </row>
    <row r="27" spans="2:16" x14ac:dyDescent="0.2">
      <c r="I27" s="424"/>
      <c r="J27" s="424"/>
      <c r="K27" s="424"/>
      <c r="L27" s="425"/>
      <c r="O27" s="394"/>
      <c r="P27" s="426" t="s">
        <v>402</v>
      </c>
    </row>
    <row r="28" spans="2:16" x14ac:dyDescent="0.2">
      <c r="J28" s="410"/>
      <c r="K28" s="410"/>
      <c r="L28" s="410"/>
      <c r="N28" s="394"/>
      <c r="O28" s="394"/>
    </row>
    <row r="29" spans="2:16" x14ac:dyDescent="0.2">
      <c r="L29" s="410"/>
    </row>
    <row r="30" spans="2:16" x14ac:dyDescent="0.2">
      <c r="L30" s="410"/>
    </row>
    <row r="44" spans="1:15" x14ac:dyDescent="0.2">
      <c r="A44" s="35"/>
      <c r="B44" s="35"/>
      <c r="C44" s="35"/>
      <c r="D44" s="35"/>
      <c r="E44" s="35"/>
      <c r="F44" s="35"/>
      <c r="G44" s="35"/>
    </row>
    <row r="45" spans="1:15" x14ac:dyDescent="0.2">
      <c r="A45" s="35"/>
      <c r="B45" s="35"/>
      <c r="C45" s="35"/>
      <c r="D45" s="35"/>
      <c r="E45" s="35"/>
      <c r="F45" s="35"/>
      <c r="G45" s="35"/>
    </row>
    <row r="46" spans="1:15" x14ac:dyDescent="0.2">
      <c r="A46" s="35"/>
      <c r="B46" s="35"/>
      <c r="C46" s="35"/>
      <c r="D46" s="35"/>
      <c r="E46" s="35"/>
      <c r="F46" s="35"/>
      <c r="G46" s="35"/>
    </row>
    <row r="47" spans="1:15" x14ac:dyDescent="0.2">
      <c r="A47" s="35"/>
      <c r="B47" s="35"/>
      <c r="C47" s="35"/>
      <c r="D47" s="35"/>
      <c r="E47" s="35"/>
      <c r="F47" s="35"/>
      <c r="G47" s="35"/>
    </row>
    <row r="48" spans="1:15" x14ac:dyDescent="0.2">
      <c r="A48" s="35"/>
      <c r="B48" s="35"/>
      <c r="C48" s="35"/>
      <c r="D48" s="35"/>
      <c r="E48" s="35"/>
      <c r="F48" s="35"/>
      <c r="G48" s="35"/>
      <c r="I48" s="35"/>
      <c r="J48" s="35"/>
      <c r="K48" s="35"/>
      <c r="L48" s="35"/>
      <c r="M48" s="35"/>
      <c r="N48" s="35"/>
      <c r="O48" s="35"/>
    </row>
    <row r="49" spans="1:15" x14ac:dyDescent="0.2">
      <c r="A49" s="35"/>
      <c r="B49" s="35"/>
      <c r="C49" s="35"/>
      <c r="D49" s="35"/>
      <c r="E49" s="35"/>
      <c r="F49" s="35"/>
      <c r="G49" s="35"/>
      <c r="I49" s="35"/>
      <c r="J49" s="35"/>
      <c r="K49" s="35"/>
      <c r="L49" s="35"/>
      <c r="M49" s="35"/>
      <c r="N49" s="35"/>
      <c r="O49" s="35"/>
    </row>
    <row r="50" spans="1:15" x14ac:dyDescent="0.2">
      <c r="A50" s="35"/>
      <c r="B50" s="35"/>
      <c r="C50" s="35"/>
      <c r="D50" s="35"/>
      <c r="E50" s="35"/>
      <c r="F50" s="35"/>
      <c r="G50" s="35"/>
      <c r="I50" s="35"/>
      <c r="J50" s="35"/>
      <c r="K50" s="35"/>
      <c r="L50" s="35"/>
      <c r="M50" s="35"/>
      <c r="N50" s="35"/>
      <c r="O50" s="35"/>
    </row>
    <row r="51" spans="1:15" x14ac:dyDescent="0.2">
      <c r="A51" s="35"/>
      <c r="B51" s="35"/>
      <c r="C51" s="35"/>
      <c r="D51" s="35"/>
      <c r="E51" s="35"/>
      <c r="F51" s="35"/>
      <c r="G51" s="35"/>
      <c r="I51" s="35"/>
      <c r="J51" s="35"/>
      <c r="K51" s="35"/>
      <c r="L51" s="35"/>
      <c r="M51" s="35"/>
      <c r="N51" s="35"/>
      <c r="O51" s="35"/>
    </row>
    <row r="52" spans="1:15" x14ac:dyDescent="0.2">
      <c r="A52" s="35"/>
      <c r="B52" s="35"/>
      <c r="C52" s="35"/>
      <c r="D52" s="35"/>
      <c r="E52" s="35"/>
      <c r="F52" s="35"/>
      <c r="G52" s="35"/>
      <c r="I52" s="35"/>
      <c r="J52" s="35"/>
      <c r="K52" s="35"/>
      <c r="L52" s="35"/>
      <c r="M52" s="35"/>
      <c r="N52" s="35"/>
      <c r="O52" s="35"/>
    </row>
    <row r="53" spans="1:15" x14ac:dyDescent="0.2">
      <c r="A53" s="35"/>
      <c r="B53" s="35"/>
      <c r="C53" s="35"/>
      <c r="D53" s="35"/>
      <c r="E53" s="35"/>
      <c r="F53" s="35"/>
      <c r="G53" s="35"/>
      <c r="I53" s="35"/>
      <c r="J53" s="35"/>
      <c r="K53" s="35"/>
      <c r="L53" s="35"/>
      <c r="M53" s="35"/>
      <c r="N53" s="35"/>
      <c r="O53" s="35"/>
    </row>
    <row r="54" spans="1:15" x14ac:dyDescent="0.2">
      <c r="A54" s="35"/>
      <c r="B54" s="35"/>
      <c r="C54" s="35"/>
      <c r="D54" s="35"/>
      <c r="E54" s="35"/>
      <c r="F54" s="35"/>
      <c r="G54" s="35"/>
      <c r="I54" s="35"/>
      <c r="J54" s="35"/>
      <c r="K54" s="35"/>
      <c r="L54" s="35"/>
      <c r="M54" s="35"/>
      <c r="N54" s="35"/>
      <c r="O54" s="35"/>
    </row>
    <row r="55" spans="1:15" x14ac:dyDescent="0.2">
      <c r="A55" s="35"/>
      <c r="B55" s="35"/>
      <c r="C55" s="35"/>
      <c r="D55" s="35"/>
      <c r="E55" s="35"/>
      <c r="F55" s="35"/>
      <c r="G55" s="35"/>
      <c r="I55" s="35"/>
      <c r="J55" s="35"/>
      <c r="K55" s="35"/>
      <c r="L55" s="35"/>
      <c r="M55" s="35"/>
      <c r="N55" s="35"/>
      <c r="O55" s="35"/>
    </row>
    <row r="56" spans="1:15" x14ac:dyDescent="0.2">
      <c r="A56" s="35"/>
      <c r="B56" s="35"/>
      <c r="C56" s="35"/>
      <c r="D56" s="35"/>
      <c r="E56" s="35"/>
      <c r="F56" s="35"/>
      <c r="G56" s="35"/>
      <c r="H56" s="427"/>
      <c r="I56" s="35"/>
      <c r="J56" s="35"/>
      <c r="K56" s="35"/>
      <c r="L56" s="35"/>
      <c r="M56" s="35"/>
      <c r="N56" s="35"/>
      <c r="O56" s="35"/>
    </row>
    <row r="57" spans="1:15" x14ac:dyDescent="0.2">
      <c r="A57" s="35"/>
      <c r="B57" s="35"/>
      <c r="C57" s="35"/>
      <c r="D57" s="35"/>
      <c r="E57" s="35"/>
      <c r="F57" s="35"/>
      <c r="G57" s="35"/>
      <c r="I57" s="35"/>
      <c r="J57" s="35"/>
      <c r="K57" s="35"/>
      <c r="L57" s="35"/>
      <c r="M57" s="35"/>
      <c r="N57" s="35"/>
      <c r="O57" s="35"/>
    </row>
    <row r="58" spans="1:15" x14ac:dyDescent="0.2">
      <c r="A58" s="35"/>
      <c r="B58" s="35"/>
      <c r="C58" s="35"/>
      <c r="D58" s="35"/>
      <c r="E58" s="35"/>
      <c r="F58" s="35"/>
      <c r="G58" s="35"/>
    </row>
  </sheetData>
  <mergeCells count="1">
    <mergeCell ref="K21:L21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B2:W30"/>
  <sheetViews>
    <sheetView showGridLines="0" zoomScaleNormal="100" workbookViewId="0">
      <selection activeCell="B21" sqref="B21"/>
    </sheetView>
  </sheetViews>
  <sheetFormatPr defaultColWidth="9.140625" defaultRowHeight="12.75" x14ac:dyDescent="0.2"/>
  <cols>
    <col min="1" max="1" width="9.28515625" style="428" customWidth="1"/>
    <col min="2" max="8" width="9.140625" style="428"/>
    <col min="9" max="9" width="24.42578125" style="428" customWidth="1"/>
    <col min="10" max="19" width="9.28515625" style="428" bestFit="1" customWidth="1"/>
    <col min="20" max="20" width="5.7109375" style="428" bestFit="1" customWidth="1"/>
    <col min="21" max="23" width="9.28515625" style="428" bestFit="1" customWidth="1"/>
    <col min="24" max="16384" width="9.140625" style="428"/>
  </cols>
  <sheetData>
    <row r="2" spans="2:23" x14ac:dyDescent="0.2">
      <c r="B2" s="35"/>
    </row>
    <row r="3" spans="2:23" x14ac:dyDescent="0.2">
      <c r="B3" s="35"/>
      <c r="C3" s="429"/>
    </row>
    <row r="4" spans="2:23" ht="13.5" thickBot="1" x14ac:dyDescent="0.25">
      <c r="B4" s="127" t="s">
        <v>1058</v>
      </c>
      <c r="I4" s="430" t="s">
        <v>268</v>
      </c>
      <c r="J4" s="431"/>
      <c r="K4" s="431"/>
      <c r="L4" s="431"/>
      <c r="M4" s="431"/>
      <c r="N4" s="431"/>
      <c r="O4" s="431"/>
      <c r="P4" s="431"/>
      <c r="Q4" s="431"/>
      <c r="R4" s="431"/>
    </row>
    <row r="5" spans="2:23" x14ac:dyDescent="0.2">
      <c r="I5" s="432" t="s">
        <v>533</v>
      </c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3"/>
      <c r="U5" s="433"/>
      <c r="V5" s="433"/>
      <c r="W5" s="434"/>
    </row>
    <row r="6" spans="2:23" x14ac:dyDescent="0.2">
      <c r="I6" s="435"/>
      <c r="J6" s="436">
        <v>2007</v>
      </c>
      <c r="K6" s="436">
        <v>2008</v>
      </c>
      <c r="L6" s="436">
        <v>2009</v>
      </c>
      <c r="M6" s="436">
        <v>2010</v>
      </c>
      <c r="N6" s="436">
        <v>2011</v>
      </c>
      <c r="O6" s="436">
        <v>2012</v>
      </c>
      <c r="P6" s="436">
        <v>2013</v>
      </c>
      <c r="Q6" s="436">
        <v>2014</v>
      </c>
      <c r="R6" s="436">
        <v>2015</v>
      </c>
      <c r="S6" s="436">
        <v>2016</v>
      </c>
      <c r="T6" s="436">
        <v>2017</v>
      </c>
      <c r="U6" s="436">
        <v>2018</v>
      </c>
      <c r="V6" s="436">
        <v>2019</v>
      </c>
      <c r="W6" s="436">
        <v>2020</v>
      </c>
    </row>
    <row r="7" spans="2:23" x14ac:dyDescent="0.2">
      <c r="I7" s="437" t="s">
        <v>528</v>
      </c>
      <c r="J7" s="438">
        <v>21684.5</v>
      </c>
      <c r="K7" s="438">
        <v>23636.5</v>
      </c>
      <c r="L7" s="438">
        <v>23227.7</v>
      </c>
      <c r="M7" s="438">
        <v>23422.3</v>
      </c>
      <c r="N7" s="438">
        <v>25807.1</v>
      </c>
      <c r="O7" s="438">
        <v>26380.6</v>
      </c>
      <c r="P7" s="438">
        <v>28719.1</v>
      </c>
      <c r="Q7" s="438">
        <v>29854.5</v>
      </c>
      <c r="R7" s="438">
        <v>33690.800000000003</v>
      </c>
      <c r="S7" s="439">
        <v>31910.148000000001</v>
      </c>
      <c r="T7" s="440">
        <v>33310.095999999998</v>
      </c>
      <c r="U7" s="440">
        <v>34432.272000000004</v>
      </c>
      <c r="V7" s="440">
        <v>37073.249000000003</v>
      </c>
      <c r="W7" s="440">
        <v>38696.677000000003</v>
      </c>
    </row>
    <row r="8" spans="2:23" x14ac:dyDescent="0.2">
      <c r="I8" s="437" t="s">
        <v>529</v>
      </c>
      <c r="J8" s="441">
        <v>63053.9</v>
      </c>
      <c r="K8" s="441">
        <v>68491.600000000006</v>
      </c>
      <c r="L8" s="441">
        <v>64023.1</v>
      </c>
      <c r="M8" s="441">
        <v>67577.3</v>
      </c>
      <c r="N8" s="441">
        <v>70627.199999999997</v>
      </c>
      <c r="O8" s="441">
        <v>72703.5</v>
      </c>
      <c r="P8" s="441">
        <v>74169.899999999994</v>
      </c>
      <c r="Q8" s="441">
        <v>75946.358999999997</v>
      </c>
      <c r="R8" s="441">
        <v>78685.607999999993</v>
      </c>
      <c r="S8" s="441">
        <v>80958.004000000001</v>
      </c>
      <c r="T8" s="441">
        <v>84599.569000000003</v>
      </c>
      <c r="U8" s="441">
        <v>89495.334000000003</v>
      </c>
      <c r="V8" s="441">
        <v>95260.869000000006</v>
      </c>
      <c r="W8" s="441">
        <v>101007.35400000001</v>
      </c>
    </row>
    <row r="9" spans="2:23" x14ac:dyDescent="0.2">
      <c r="I9" s="442" t="s">
        <v>247</v>
      </c>
      <c r="J9" s="443">
        <v>34.390418356358602</v>
      </c>
      <c r="K9" s="443">
        <v>34.51007130801441</v>
      </c>
      <c r="L9" s="443">
        <v>36.280186370231995</v>
      </c>
      <c r="M9" s="443">
        <v>34.660011571933175</v>
      </c>
      <c r="N9" s="443">
        <v>36.539888314983457</v>
      </c>
      <c r="O9" s="443">
        <v>36.285185720082254</v>
      </c>
      <c r="P9" s="443">
        <v>38.720693974240227</v>
      </c>
      <c r="Q9" s="443">
        <v>39.309981930799346</v>
      </c>
      <c r="R9" s="443">
        <v>42.816978677981368</v>
      </c>
      <c r="S9" s="443">
        <v>39.415680258124944</v>
      </c>
      <c r="T9" s="443">
        <v>39.373836526283007</v>
      </c>
      <c r="U9" s="443">
        <v>38.473818087544096</v>
      </c>
      <c r="V9" s="443">
        <v>38.917605297092138</v>
      </c>
      <c r="W9" s="443">
        <v>38.310752106227831</v>
      </c>
    </row>
    <row r="10" spans="2:23" x14ac:dyDescent="0.2">
      <c r="I10" s="442" t="s">
        <v>244</v>
      </c>
      <c r="J10" s="444">
        <v>44.7</v>
      </c>
      <c r="K10" s="444">
        <v>44.4</v>
      </c>
      <c r="L10" s="444">
        <v>44.4</v>
      </c>
      <c r="M10" s="444">
        <v>44.3</v>
      </c>
      <c r="N10" s="444">
        <v>44.9</v>
      </c>
      <c r="O10" s="444">
        <v>46.1</v>
      </c>
      <c r="P10" s="444">
        <v>46.7</v>
      </c>
      <c r="Q10" s="444">
        <v>46.7</v>
      </c>
      <c r="R10" s="444">
        <v>46.4</v>
      </c>
      <c r="S10" s="445">
        <v>46.2</v>
      </c>
      <c r="T10" s="445"/>
      <c r="U10" s="445"/>
      <c r="V10" s="445"/>
      <c r="W10" s="445"/>
    </row>
    <row r="11" spans="2:23" x14ac:dyDescent="0.2">
      <c r="I11" s="442" t="s">
        <v>530</v>
      </c>
      <c r="J11" s="444">
        <v>43.8</v>
      </c>
      <c r="K11" s="444">
        <v>43.8</v>
      </c>
      <c r="L11" s="444">
        <v>43.5</v>
      </c>
      <c r="M11" s="444">
        <v>43.5</v>
      </c>
      <c r="N11" s="444">
        <v>44</v>
      </c>
      <c r="O11" s="444">
        <v>44.7</v>
      </c>
      <c r="P11" s="444">
        <v>45.4</v>
      </c>
      <c r="Q11" s="444">
        <v>45.1</v>
      </c>
      <c r="R11" s="444">
        <v>44.9</v>
      </c>
      <c r="S11" s="445">
        <v>44.9</v>
      </c>
      <c r="T11" s="445"/>
      <c r="U11" s="445"/>
      <c r="V11" s="445"/>
      <c r="W11" s="445"/>
    </row>
    <row r="12" spans="2:23" x14ac:dyDescent="0.2">
      <c r="I12" s="442" t="s">
        <v>531</v>
      </c>
      <c r="J12" s="443">
        <v>41.866666666666667</v>
      </c>
      <c r="K12" s="443">
        <v>41.266666666666673</v>
      </c>
      <c r="L12" s="443">
        <v>40.6</v>
      </c>
      <c r="M12" s="443">
        <v>40.699999999999996</v>
      </c>
      <c r="N12" s="443">
        <v>41.2</v>
      </c>
      <c r="O12" s="443">
        <v>41.93333333333333</v>
      </c>
      <c r="P12" s="443">
        <v>42.233333333333334</v>
      </c>
      <c r="Q12" s="443">
        <v>42</v>
      </c>
      <c r="R12" s="443">
        <v>42.966666666666669</v>
      </c>
      <c r="S12" s="443">
        <v>41.633333333333333</v>
      </c>
      <c r="T12" s="443"/>
      <c r="U12" s="443"/>
      <c r="V12" s="443"/>
      <c r="W12" s="443"/>
    </row>
    <row r="13" spans="2:23" x14ac:dyDescent="0.2">
      <c r="I13" s="446" t="s">
        <v>532</v>
      </c>
      <c r="J13" s="443">
        <v>39.299999999999997</v>
      </c>
      <c r="K13" s="443">
        <v>38.1</v>
      </c>
      <c r="L13" s="443">
        <v>38.1</v>
      </c>
      <c r="M13" s="443">
        <v>38.6</v>
      </c>
      <c r="N13" s="443">
        <v>40.299999999999997</v>
      </c>
      <c r="O13" s="443">
        <v>40.5</v>
      </c>
      <c r="P13" s="443">
        <v>41.4</v>
      </c>
      <c r="Q13" s="443">
        <v>40.299999999999997</v>
      </c>
      <c r="R13" s="443">
        <v>41.4</v>
      </c>
      <c r="S13" s="445">
        <v>40.5</v>
      </c>
      <c r="T13" s="445"/>
      <c r="U13" s="445"/>
      <c r="V13" s="445"/>
      <c r="W13" s="445"/>
    </row>
    <row r="14" spans="2:23" x14ac:dyDescent="0.2">
      <c r="I14" s="446" t="s">
        <v>245</v>
      </c>
      <c r="J14" s="443">
        <v>41.3</v>
      </c>
      <c r="K14" s="443">
        <v>40.6</v>
      </c>
      <c r="L14" s="443">
        <v>37.700000000000003</v>
      </c>
      <c r="M14" s="443">
        <v>38.5</v>
      </c>
      <c r="N14" s="443">
        <v>39.1</v>
      </c>
      <c r="O14" s="443">
        <v>39.1</v>
      </c>
      <c r="P14" s="443">
        <v>38.5</v>
      </c>
      <c r="Q14" s="443">
        <v>38.799999999999997</v>
      </c>
      <c r="R14" s="443">
        <v>39</v>
      </c>
      <c r="S14" s="445">
        <v>38.799999999999997</v>
      </c>
      <c r="T14" s="445"/>
      <c r="U14" s="445"/>
      <c r="V14" s="445"/>
      <c r="W14" s="445"/>
    </row>
    <row r="15" spans="2:23" x14ac:dyDescent="0.2">
      <c r="I15" s="447" t="s">
        <v>246</v>
      </c>
      <c r="J15" s="448">
        <v>45</v>
      </c>
      <c r="K15" s="448">
        <v>45.1</v>
      </c>
      <c r="L15" s="448">
        <v>46</v>
      </c>
      <c r="M15" s="448">
        <v>45</v>
      </c>
      <c r="N15" s="448">
        <v>44.2</v>
      </c>
      <c r="O15" s="448">
        <v>46.2</v>
      </c>
      <c r="P15" s="448">
        <v>46.8</v>
      </c>
      <c r="Q15" s="448">
        <v>46.9</v>
      </c>
      <c r="R15" s="448">
        <v>48.5</v>
      </c>
      <c r="S15" s="449">
        <v>45.6</v>
      </c>
      <c r="T15" s="445"/>
      <c r="U15" s="445"/>
      <c r="V15" s="445"/>
      <c r="W15" s="445"/>
    </row>
    <row r="20" spans="2:23" x14ac:dyDescent="0.2">
      <c r="B20" s="127" t="s">
        <v>1059</v>
      </c>
      <c r="I20" s="432" t="s">
        <v>534</v>
      </c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3"/>
      <c r="U20" s="433"/>
      <c r="V20" s="433"/>
      <c r="W20" s="434"/>
    </row>
    <row r="21" spans="2:23" x14ac:dyDescent="0.2">
      <c r="I21" s="435"/>
      <c r="J21" s="436">
        <v>2007</v>
      </c>
      <c r="K21" s="436">
        <v>2008</v>
      </c>
      <c r="L21" s="436">
        <v>2009</v>
      </c>
      <c r="M21" s="436">
        <v>2010</v>
      </c>
      <c r="N21" s="436">
        <v>2011</v>
      </c>
      <c r="O21" s="436">
        <v>2012</v>
      </c>
      <c r="P21" s="436">
        <v>2013</v>
      </c>
      <c r="Q21" s="436">
        <v>2014</v>
      </c>
      <c r="R21" s="436">
        <v>2015</v>
      </c>
      <c r="S21" s="436">
        <v>2016</v>
      </c>
      <c r="T21" s="436">
        <v>2017</v>
      </c>
      <c r="U21" s="436">
        <v>2018</v>
      </c>
      <c r="V21" s="436">
        <v>2019</v>
      </c>
      <c r="W21" s="436">
        <v>2020</v>
      </c>
    </row>
    <row r="22" spans="2:23" x14ac:dyDescent="0.2">
      <c r="I22" s="437" t="s">
        <v>247</v>
      </c>
      <c r="J22" s="438">
        <v>18313.5</v>
      </c>
      <c r="K22" s="438">
        <v>19761.3</v>
      </c>
      <c r="L22" s="438">
        <v>18411.599999999999</v>
      </c>
      <c r="M22" s="438">
        <v>18915.099999999999</v>
      </c>
      <c r="N22" s="438">
        <v>20152.900000000001</v>
      </c>
      <c r="O22" s="438">
        <v>20498.7</v>
      </c>
      <c r="P22" s="438">
        <v>22353.599999999999</v>
      </c>
      <c r="Q22" s="438">
        <v>23612.1</v>
      </c>
      <c r="R22" s="438">
        <v>25344</v>
      </c>
      <c r="S22" s="439">
        <v>26194.644999999997</v>
      </c>
      <c r="T22" s="440">
        <v>27815.309999999998</v>
      </c>
      <c r="U22" s="440">
        <v>29331.050000000003</v>
      </c>
      <c r="V22" s="440">
        <v>30830.216000000004</v>
      </c>
      <c r="W22" s="440">
        <v>32455.450000000004</v>
      </c>
    </row>
    <row r="23" spans="2:23" x14ac:dyDescent="0.2">
      <c r="C23" s="429"/>
      <c r="I23" s="437" t="s">
        <v>535</v>
      </c>
      <c r="J23" s="441">
        <v>63053.9</v>
      </c>
      <c r="K23" s="441">
        <v>68491.600000000006</v>
      </c>
      <c r="L23" s="441">
        <v>64023.1</v>
      </c>
      <c r="M23" s="441">
        <v>67577.3</v>
      </c>
      <c r="N23" s="441">
        <v>70627.199999999997</v>
      </c>
      <c r="O23" s="441">
        <v>72703.5</v>
      </c>
      <c r="P23" s="441">
        <v>74169.899999999994</v>
      </c>
      <c r="Q23" s="441">
        <v>75946.358999999997</v>
      </c>
      <c r="R23" s="441">
        <v>78685.607999999993</v>
      </c>
      <c r="S23" s="441">
        <v>80958.004000000001</v>
      </c>
      <c r="T23" s="441">
        <v>84599.569000000003</v>
      </c>
      <c r="U23" s="441">
        <v>89495.334000000003</v>
      </c>
      <c r="V23" s="441">
        <v>95260.869000000006</v>
      </c>
      <c r="W23" s="441">
        <v>101007.35400000001</v>
      </c>
    </row>
    <row r="24" spans="2:23" x14ac:dyDescent="0.2">
      <c r="I24" s="442" t="s">
        <v>247</v>
      </c>
      <c r="J24" s="443">
        <v>29.044198693498736</v>
      </c>
      <c r="K24" s="443">
        <v>28.852151212703454</v>
      </c>
      <c r="L24" s="443">
        <v>28.757745251323346</v>
      </c>
      <c r="M24" s="443">
        <v>27.990316274843767</v>
      </c>
      <c r="N24" s="443">
        <v>28.534190793348742</v>
      </c>
      <c r="O24" s="443">
        <v>28.194928717324473</v>
      </c>
      <c r="P24" s="443">
        <v>30.138371495714566</v>
      </c>
      <c r="Q24" s="443">
        <v>31.090496385745105</v>
      </c>
      <c r="R24" s="443">
        <v>32.209193833769447</v>
      </c>
      <c r="S24" s="443">
        <v>32.355843407404159</v>
      </c>
      <c r="T24" s="443">
        <v>32.87878452430413</v>
      </c>
      <c r="U24" s="443">
        <v>32.773831538524682</v>
      </c>
      <c r="V24" s="443">
        <v>32.363987777604677</v>
      </c>
      <c r="W24" s="443">
        <v>32.131769336319813</v>
      </c>
    </row>
    <row r="25" spans="2:23" x14ac:dyDescent="0.2">
      <c r="I25" s="442" t="s">
        <v>244</v>
      </c>
      <c r="J25" s="444">
        <v>39.9</v>
      </c>
      <c r="K25" s="444">
        <v>39.300000000000004</v>
      </c>
      <c r="L25" s="444">
        <v>39.1</v>
      </c>
      <c r="M25" s="444">
        <v>39.099999999999994</v>
      </c>
      <c r="N25" s="444">
        <v>39.499999999999993</v>
      </c>
      <c r="O25" s="444">
        <v>40.699999999999996</v>
      </c>
      <c r="P25" s="444">
        <v>41.3</v>
      </c>
      <c r="Q25" s="444">
        <v>41.3</v>
      </c>
      <c r="R25" s="444">
        <v>41.199999999999996</v>
      </c>
      <c r="S25" s="445">
        <v>41.1</v>
      </c>
      <c r="T25" s="445"/>
      <c r="U25" s="445"/>
      <c r="V25" s="445"/>
      <c r="W25" s="445"/>
    </row>
    <row r="26" spans="2:23" x14ac:dyDescent="0.2">
      <c r="I26" s="442" t="s">
        <v>530</v>
      </c>
      <c r="J26" s="444">
        <v>39.1</v>
      </c>
      <c r="K26" s="444">
        <v>38.9</v>
      </c>
      <c r="L26" s="444">
        <v>38.4</v>
      </c>
      <c r="M26" s="444">
        <v>38.299999999999997</v>
      </c>
      <c r="N26" s="444">
        <v>38.9</v>
      </c>
      <c r="O26" s="444">
        <v>39.5</v>
      </c>
      <c r="P26" s="444">
        <v>39.9</v>
      </c>
      <c r="Q26" s="444">
        <v>40</v>
      </c>
      <c r="R26" s="444">
        <v>39.899999999999991</v>
      </c>
      <c r="S26" s="445">
        <v>40.099999999999994</v>
      </c>
      <c r="T26" s="445"/>
      <c r="U26" s="445"/>
      <c r="V26" s="445"/>
      <c r="W26" s="445"/>
    </row>
    <row r="27" spans="2:23" x14ac:dyDescent="0.2">
      <c r="I27" s="442" t="s">
        <v>531</v>
      </c>
      <c r="J27" s="443">
        <v>36.366666666666667</v>
      </c>
      <c r="K27" s="443">
        <v>35.699999999999996</v>
      </c>
      <c r="L27" s="443">
        <v>34.366666666666667</v>
      </c>
      <c r="M27" s="443">
        <v>34</v>
      </c>
      <c r="N27" s="443">
        <v>34.333333333333329</v>
      </c>
      <c r="O27" s="443">
        <v>35.133333333333333</v>
      </c>
      <c r="P27" s="443">
        <v>35.199999999999996</v>
      </c>
      <c r="Q27" s="443">
        <v>34.9</v>
      </c>
      <c r="R27" s="443">
        <v>35.466666666666669</v>
      </c>
      <c r="S27" s="443">
        <v>36.333333333333336</v>
      </c>
      <c r="T27" s="443"/>
      <c r="U27" s="443"/>
      <c r="V27" s="443"/>
      <c r="W27" s="443"/>
    </row>
    <row r="28" spans="2:23" x14ac:dyDescent="0.2">
      <c r="I28" s="446" t="s">
        <v>532</v>
      </c>
      <c r="J28" s="443">
        <v>34.299999999999997</v>
      </c>
      <c r="K28" s="443">
        <v>32.9</v>
      </c>
      <c r="L28" s="443">
        <v>32</v>
      </c>
      <c r="M28" s="443">
        <v>32.299999999999997</v>
      </c>
      <c r="N28" s="443">
        <v>33.599999999999994</v>
      </c>
      <c r="O28" s="443">
        <v>34.1</v>
      </c>
      <c r="P28" s="443">
        <v>34.700000000000003</v>
      </c>
      <c r="Q28" s="443">
        <v>33.700000000000003</v>
      </c>
      <c r="R28" s="443">
        <v>34.200000000000003</v>
      </c>
      <c r="S28" s="445">
        <v>35</v>
      </c>
      <c r="T28" s="445"/>
      <c r="U28" s="445"/>
      <c r="V28" s="445"/>
      <c r="W28" s="445"/>
    </row>
    <row r="29" spans="2:23" x14ac:dyDescent="0.2">
      <c r="I29" s="446" t="s">
        <v>245</v>
      </c>
      <c r="J29" s="443">
        <v>35.300000000000004</v>
      </c>
      <c r="K29" s="443">
        <v>34.799999999999997</v>
      </c>
      <c r="L29" s="443">
        <v>31.9</v>
      </c>
      <c r="M29" s="443">
        <v>32.299999999999997</v>
      </c>
      <c r="N29" s="443">
        <v>32.699999999999996</v>
      </c>
      <c r="O29" s="443">
        <v>32.9</v>
      </c>
      <c r="P29" s="443">
        <v>32.9</v>
      </c>
      <c r="Q29" s="443">
        <v>32.800000000000004</v>
      </c>
      <c r="R29" s="443">
        <v>33.200000000000003</v>
      </c>
      <c r="S29" s="445">
        <v>34.4</v>
      </c>
      <c r="T29" s="445"/>
      <c r="U29" s="445"/>
      <c r="V29" s="445"/>
      <c r="W29" s="445"/>
    </row>
    <row r="30" spans="2:23" x14ac:dyDescent="0.2">
      <c r="I30" s="447" t="s">
        <v>246</v>
      </c>
      <c r="J30" s="448">
        <v>39.5</v>
      </c>
      <c r="K30" s="448">
        <v>39.4</v>
      </c>
      <c r="L30" s="448">
        <v>39.199999999999996</v>
      </c>
      <c r="M30" s="448">
        <v>37.4</v>
      </c>
      <c r="N30" s="448">
        <v>36.700000000000003</v>
      </c>
      <c r="O30" s="448">
        <v>38.400000000000006</v>
      </c>
      <c r="P30" s="448">
        <v>38</v>
      </c>
      <c r="Q30" s="448">
        <v>38.200000000000003</v>
      </c>
      <c r="R30" s="448">
        <v>39</v>
      </c>
      <c r="S30" s="449">
        <v>39.6</v>
      </c>
      <c r="T30" s="445"/>
      <c r="U30" s="445"/>
      <c r="V30" s="445"/>
      <c r="W30" s="445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pageSetUpPr fitToPage="1"/>
  </sheetPr>
  <dimension ref="B3:Q34"/>
  <sheetViews>
    <sheetView showGridLines="0" topLeftCell="A2" zoomScaleNormal="100" workbookViewId="0">
      <selection activeCell="J4" sqref="J4"/>
    </sheetView>
  </sheetViews>
  <sheetFormatPr defaultColWidth="9.140625" defaultRowHeight="12.75" x14ac:dyDescent="0.2"/>
  <cols>
    <col min="1" max="1" width="12.140625" style="453" customWidth="1"/>
    <col min="2" max="2" width="26.140625" style="453" customWidth="1"/>
    <col min="3" max="7" width="10.42578125" style="453" customWidth="1"/>
    <col min="8" max="8" width="10.42578125" style="457" customWidth="1"/>
    <col min="9" max="9" width="11.140625" style="457" customWidth="1"/>
    <col min="10" max="10" width="18.28515625" style="457" customWidth="1"/>
    <col min="11" max="11" width="16.5703125" style="457" customWidth="1"/>
    <col min="12" max="12" width="16.28515625" style="457" customWidth="1"/>
    <col min="13" max="14" width="13.28515625" style="453" customWidth="1"/>
    <col min="15" max="16384" width="9.140625" style="453"/>
  </cols>
  <sheetData>
    <row r="3" spans="2:16" ht="13.5" thickBot="1" x14ac:dyDescent="0.25">
      <c r="B3" s="829" t="s">
        <v>1060</v>
      </c>
      <c r="C3" s="829"/>
      <c r="D3" s="829"/>
      <c r="E3" s="829"/>
      <c r="F3" s="829"/>
      <c r="G3" s="829"/>
      <c r="H3" s="829"/>
      <c r="I3" s="450"/>
      <c r="J3" s="451" t="s">
        <v>1061</v>
      </c>
      <c r="K3" s="451"/>
      <c r="L3" s="451"/>
      <c r="M3" s="451"/>
      <c r="N3" s="451"/>
      <c r="O3" s="452"/>
      <c r="P3" s="452"/>
    </row>
    <row r="4" spans="2:16" x14ac:dyDescent="0.2">
      <c r="F4" s="450"/>
      <c r="G4" s="450"/>
      <c r="H4" s="450"/>
      <c r="I4" s="450"/>
      <c r="J4" s="450"/>
      <c r="K4" s="450"/>
      <c r="L4" s="450"/>
    </row>
    <row r="5" spans="2:16" x14ac:dyDescent="0.2">
      <c r="F5" s="450"/>
      <c r="G5" s="450"/>
      <c r="H5" s="450"/>
      <c r="I5" s="450"/>
      <c r="J5" s="450"/>
      <c r="K5" s="450"/>
      <c r="L5" s="450"/>
    </row>
    <row r="6" spans="2:16" x14ac:dyDescent="0.2">
      <c r="F6" s="450"/>
      <c r="G6" s="450"/>
      <c r="H6" s="450"/>
      <c r="I6" s="450"/>
      <c r="J6" s="450"/>
      <c r="K6" s="450"/>
      <c r="L6" s="450"/>
    </row>
    <row r="7" spans="2:16" x14ac:dyDescent="0.2">
      <c r="F7" s="450"/>
      <c r="G7" s="450"/>
      <c r="H7" s="450"/>
      <c r="I7" s="450"/>
      <c r="J7" s="450"/>
      <c r="K7" s="450"/>
      <c r="L7" s="450"/>
    </row>
    <row r="8" spans="2:16" x14ac:dyDescent="0.2">
      <c r="F8" s="450"/>
      <c r="G8" s="450"/>
      <c r="H8" s="450"/>
      <c r="I8" s="450"/>
      <c r="J8" s="450"/>
      <c r="K8" s="450"/>
      <c r="L8" s="450"/>
    </row>
    <row r="9" spans="2:16" x14ac:dyDescent="0.2">
      <c r="F9" s="450"/>
      <c r="G9" s="450"/>
      <c r="H9" s="450"/>
      <c r="I9" s="450"/>
      <c r="J9" s="450"/>
      <c r="K9" s="450"/>
      <c r="L9" s="450"/>
    </row>
    <row r="10" spans="2:16" x14ac:dyDescent="0.2">
      <c r="F10" s="450"/>
      <c r="G10" s="450"/>
      <c r="H10" s="450"/>
      <c r="I10" s="450"/>
      <c r="J10" s="450"/>
      <c r="K10" s="450"/>
      <c r="L10" s="450"/>
    </row>
    <row r="11" spans="2:16" x14ac:dyDescent="0.2">
      <c r="F11" s="450"/>
      <c r="G11" s="450"/>
      <c r="H11" s="450"/>
      <c r="I11" s="450"/>
      <c r="J11" s="450"/>
      <c r="K11" s="450"/>
      <c r="L11" s="450"/>
    </row>
    <row r="12" spans="2:16" x14ac:dyDescent="0.2">
      <c r="F12" s="450"/>
      <c r="G12" s="450"/>
      <c r="H12" s="450"/>
      <c r="I12" s="450"/>
      <c r="J12" s="450"/>
      <c r="K12" s="450"/>
      <c r="L12" s="450"/>
    </row>
    <row r="13" spans="2:16" x14ac:dyDescent="0.2">
      <c r="F13" s="450"/>
      <c r="G13" s="450"/>
      <c r="H13" s="450"/>
      <c r="I13" s="450"/>
      <c r="J13" s="450"/>
      <c r="K13" s="450"/>
      <c r="L13" s="450"/>
    </row>
    <row r="14" spans="2:16" x14ac:dyDescent="0.2">
      <c r="F14" s="450"/>
      <c r="G14" s="450"/>
      <c r="H14" s="450"/>
      <c r="I14" s="450"/>
      <c r="J14" s="450"/>
      <c r="K14" s="450"/>
      <c r="L14" s="450"/>
    </row>
    <row r="15" spans="2:16" x14ac:dyDescent="0.2">
      <c r="F15" s="450"/>
      <c r="G15" s="450"/>
      <c r="H15" s="450"/>
      <c r="I15" s="450"/>
      <c r="J15" s="450"/>
      <c r="K15" s="450"/>
      <c r="L15" s="450"/>
    </row>
    <row r="16" spans="2:16" x14ac:dyDescent="0.2">
      <c r="F16" s="450"/>
      <c r="G16" s="450"/>
      <c r="H16" s="450"/>
      <c r="I16" s="450"/>
      <c r="J16" s="450"/>
      <c r="K16" s="450"/>
      <c r="L16" s="450"/>
    </row>
    <row r="17" spans="2:17" x14ac:dyDescent="0.2">
      <c r="F17" s="450"/>
      <c r="G17" s="450"/>
      <c r="H17" s="450"/>
      <c r="I17" s="450"/>
      <c r="J17" s="450"/>
      <c r="K17" s="450"/>
      <c r="L17" s="450"/>
    </row>
    <row r="18" spans="2:17" x14ac:dyDescent="0.2">
      <c r="F18" s="450"/>
      <c r="G18" s="450"/>
      <c r="H18" s="450"/>
      <c r="I18" s="450"/>
      <c r="J18" s="450"/>
      <c r="K18" s="450"/>
      <c r="L18" s="450"/>
    </row>
    <row r="20" spans="2:17" ht="13.5" thickBot="1" x14ac:dyDescent="0.25">
      <c r="B20" s="829" t="s">
        <v>536</v>
      </c>
      <c r="C20" s="829"/>
      <c r="D20" s="829"/>
      <c r="E20" s="829"/>
      <c r="F20" s="829"/>
      <c r="G20" s="829"/>
      <c r="H20" s="829"/>
      <c r="I20" s="454"/>
      <c r="J20" s="830" t="s">
        <v>537</v>
      </c>
      <c r="K20" s="830"/>
      <c r="L20" s="830"/>
      <c r="M20" s="830"/>
      <c r="N20" s="830"/>
    </row>
    <row r="21" spans="2:17" s="457" customFormat="1" x14ac:dyDescent="0.2">
      <c r="B21" s="455"/>
      <c r="C21" s="456">
        <v>2015</v>
      </c>
      <c r="D21" s="456">
        <v>2016</v>
      </c>
      <c r="E21" s="456">
        <v>2017</v>
      </c>
      <c r="F21" s="456">
        <v>2018</v>
      </c>
      <c r="G21" s="456">
        <v>2019</v>
      </c>
      <c r="H21" s="456">
        <v>2020</v>
      </c>
      <c r="J21" s="458"/>
      <c r="K21" s="458" t="s">
        <v>177</v>
      </c>
      <c r="L21" s="458" t="s">
        <v>245</v>
      </c>
      <c r="M21" s="458" t="s">
        <v>246</v>
      </c>
      <c r="N21" s="458" t="s">
        <v>538</v>
      </c>
      <c r="O21" s="458" t="s">
        <v>539</v>
      </c>
      <c r="P21" s="453"/>
      <c r="Q21" s="453"/>
    </row>
    <row r="22" spans="2:17" s="457" customFormat="1" x14ac:dyDescent="0.2">
      <c r="B22" s="459" t="s">
        <v>540</v>
      </c>
      <c r="C22" s="460">
        <v>7.8383276809429585</v>
      </c>
      <c r="D22" s="460">
        <v>8.1330310552698162</v>
      </c>
      <c r="E22" s="460">
        <v>8.3471453265794917</v>
      </c>
      <c r="F22" s="460">
        <v>8.3336545969944211</v>
      </c>
      <c r="G22" s="460">
        <v>8.25357475094793</v>
      </c>
      <c r="H22" s="460">
        <v>8.2325401628742476</v>
      </c>
      <c r="J22" s="454" t="s">
        <v>541</v>
      </c>
      <c r="K22" s="461">
        <v>0.36</v>
      </c>
      <c r="L22" s="461">
        <v>0.4621212121212121</v>
      </c>
      <c r="M22" s="461">
        <v>0.39884393063583817</v>
      </c>
      <c r="N22" s="461">
        <v>0.32822085889570546</v>
      </c>
      <c r="O22" s="461">
        <v>0.34663341645885293</v>
      </c>
      <c r="P22" s="453"/>
      <c r="Q22" s="453"/>
    </row>
    <row r="23" spans="2:17" s="457" customFormat="1" x14ac:dyDescent="0.2">
      <c r="B23" s="462" t="s">
        <v>249</v>
      </c>
      <c r="C23" s="460">
        <v>6.8883916391419424</v>
      </c>
      <c r="D23" s="463">
        <v>6.6934408238251528</v>
      </c>
      <c r="E23" s="463">
        <v>6.9504029921178461</v>
      </c>
      <c r="F23" s="463">
        <v>6.8209332713196495</v>
      </c>
      <c r="G23" s="463">
        <v>6.7205213354714672</v>
      </c>
      <c r="H23" s="463">
        <v>6.642642067730625</v>
      </c>
      <c r="J23" s="464" t="s">
        <v>542</v>
      </c>
      <c r="K23" s="465">
        <v>0.64</v>
      </c>
      <c r="L23" s="465">
        <v>0.53787878787878785</v>
      </c>
      <c r="M23" s="465">
        <v>0.60115606936416177</v>
      </c>
      <c r="N23" s="465">
        <v>0.6717791411042946</v>
      </c>
      <c r="O23" s="465">
        <v>0.65336658354114707</v>
      </c>
      <c r="P23" s="453"/>
      <c r="Q23" s="453"/>
    </row>
    <row r="24" spans="2:17" s="457" customFormat="1" x14ac:dyDescent="0.2">
      <c r="B24" s="466" t="s">
        <v>225</v>
      </c>
      <c r="C24" s="460">
        <v>4.4252433882172788</v>
      </c>
      <c r="D24" s="463">
        <v>4.4906997471101393</v>
      </c>
      <c r="E24" s="463">
        <v>4.5427632161290639</v>
      </c>
      <c r="F24" s="463">
        <v>4.6691863802493305</v>
      </c>
      <c r="G24" s="463">
        <v>4.4199291253246118</v>
      </c>
      <c r="H24" s="463">
        <v>4.2837317063336107</v>
      </c>
      <c r="M24" s="453"/>
      <c r="N24" s="453"/>
      <c r="O24" s="453"/>
      <c r="P24" s="453"/>
      <c r="Q24" s="453"/>
    </row>
    <row r="25" spans="2:17" s="457" customFormat="1" x14ac:dyDescent="0.2">
      <c r="B25" s="467" t="s">
        <v>543</v>
      </c>
      <c r="C25" s="460">
        <v>3.6706156900890954</v>
      </c>
      <c r="D25" s="463">
        <v>3.6824567637808863</v>
      </c>
      <c r="E25" s="463">
        <v>3.9362198002396989</v>
      </c>
      <c r="F25" s="463">
        <v>3.9700438545944357</v>
      </c>
      <c r="G25" s="463">
        <v>3.9873549916175191</v>
      </c>
      <c r="H25" s="463">
        <v>4.0241901524471091</v>
      </c>
      <c r="J25" s="453"/>
      <c r="K25" s="453"/>
      <c r="L25" s="453"/>
    </row>
    <row r="26" spans="2:17" s="457" customFormat="1" x14ac:dyDescent="0.2">
      <c r="B26" s="466" t="s">
        <v>544</v>
      </c>
      <c r="C26" s="460">
        <v>3.5763320166021155</v>
      </c>
      <c r="D26" s="460">
        <v>3.358677172920419</v>
      </c>
      <c r="E26" s="460">
        <v>3.0295343338502687</v>
      </c>
      <c r="F26" s="460">
        <v>2.9258195802840641</v>
      </c>
      <c r="G26" s="460">
        <v>2.961078395406612</v>
      </c>
      <c r="H26" s="460">
        <v>2.9613210091480844</v>
      </c>
      <c r="M26" s="453"/>
      <c r="N26" s="453"/>
      <c r="O26" s="453"/>
      <c r="P26" s="453"/>
      <c r="Q26" s="453"/>
    </row>
    <row r="27" spans="2:17" s="457" customFormat="1" x14ac:dyDescent="0.2">
      <c r="B27" s="466" t="s">
        <v>545</v>
      </c>
      <c r="C27" s="460">
        <v>3.130983237680677</v>
      </c>
      <c r="D27" s="460">
        <v>3.3123368783770895</v>
      </c>
      <c r="E27" s="460">
        <v>3.3876212630128464</v>
      </c>
      <c r="F27" s="460">
        <v>3.438270878564083</v>
      </c>
      <c r="G27" s="460">
        <v>3.4602844250032989</v>
      </c>
      <c r="H27" s="460">
        <v>3.5068020827733553</v>
      </c>
      <c r="M27" s="453"/>
      <c r="N27" s="453"/>
      <c r="O27" s="453"/>
      <c r="P27" s="453"/>
      <c r="Q27" s="453"/>
    </row>
    <row r="28" spans="2:17" s="457" customFormat="1" x14ac:dyDescent="0.2">
      <c r="B28" s="455" t="s">
        <v>228</v>
      </c>
      <c r="C28" s="460">
        <v>2.6793001810953796</v>
      </c>
      <c r="D28" s="460">
        <v>2.6852009661206573</v>
      </c>
      <c r="E28" s="460">
        <v>2.6850975923749201</v>
      </c>
      <c r="F28" s="460">
        <v>2.6159229765186907</v>
      </c>
      <c r="G28" s="460">
        <v>2.5612447538332401</v>
      </c>
      <c r="H28" s="460">
        <v>2.4805421550127842</v>
      </c>
      <c r="M28" s="453"/>
      <c r="N28" s="453"/>
      <c r="O28" s="453"/>
      <c r="P28" s="453"/>
      <c r="Q28" s="453"/>
    </row>
    <row r="29" spans="2:17" s="457" customFormat="1" x14ac:dyDescent="0.2">
      <c r="B29" s="468" t="s">
        <v>546</v>
      </c>
      <c r="C29" s="469">
        <f>SUM(C22:C28)-C24</f>
        <v>27.783950445552168</v>
      </c>
      <c r="D29" s="469">
        <f t="shared" ref="D29:H29" si="0">SUM(D22:D28)-D24</f>
        <v>27.865143660294027</v>
      </c>
      <c r="E29" s="469">
        <f t="shared" si="0"/>
        <v>28.336021308175074</v>
      </c>
      <c r="F29" s="469">
        <f t="shared" si="0"/>
        <v>28.104645158275346</v>
      </c>
      <c r="G29" s="469">
        <f t="shared" si="0"/>
        <v>27.944058652280066</v>
      </c>
      <c r="H29" s="469">
        <f t="shared" si="0"/>
        <v>27.848037629986202</v>
      </c>
      <c r="M29" s="453"/>
      <c r="N29" s="453"/>
      <c r="O29" s="453"/>
      <c r="P29" s="453"/>
      <c r="Q29" s="453"/>
    </row>
    <row r="30" spans="2:17" s="457" customFormat="1" x14ac:dyDescent="0.2">
      <c r="B30" s="468" t="s">
        <v>536</v>
      </c>
      <c r="C30" s="469">
        <f>SUM(C22:C28)</f>
        <v>32.209193833769447</v>
      </c>
      <c r="D30" s="469">
        <f t="shared" ref="D30:H30" si="1">SUM(D22:D28)</f>
        <v>32.355843407404166</v>
      </c>
      <c r="E30" s="469">
        <f t="shared" si="1"/>
        <v>32.878784524304137</v>
      </c>
      <c r="F30" s="469">
        <f t="shared" si="1"/>
        <v>32.773831538524675</v>
      </c>
      <c r="G30" s="469">
        <f t="shared" si="1"/>
        <v>32.363987777604677</v>
      </c>
      <c r="H30" s="469">
        <f t="shared" si="1"/>
        <v>32.131769336319813</v>
      </c>
      <c r="M30" s="453"/>
      <c r="N30" s="453"/>
      <c r="O30" s="453"/>
      <c r="P30" s="453"/>
      <c r="Q30" s="453"/>
    </row>
    <row r="31" spans="2:17" s="457" customFormat="1" x14ac:dyDescent="0.2">
      <c r="B31" s="470" t="s">
        <v>110</v>
      </c>
      <c r="C31" s="471">
        <f>MMF_TABULKA!L91</f>
        <v>78685.607999999993</v>
      </c>
      <c r="D31" s="471">
        <f>MMF_TABULKA!M91</f>
        <v>80958.004000000001</v>
      </c>
      <c r="E31" s="471">
        <f>MMF_TABULKA!O91</f>
        <v>84599.569358327397</v>
      </c>
      <c r="F31" s="471">
        <f>MMF_TABULKA!P91</f>
        <v>89495.333808169264</v>
      </c>
      <c r="G31" s="471">
        <f>MMF_TABULKA!Q91</f>
        <v>95260.868620557332</v>
      </c>
      <c r="H31" s="471">
        <f>MMF_TABULKA!R91</f>
        <v>101007.35417605055</v>
      </c>
      <c r="I31" s="472"/>
      <c r="M31" s="453"/>
      <c r="N31" s="453"/>
      <c r="O31" s="453"/>
      <c r="P31" s="453"/>
      <c r="Q31" s="453"/>
    </row>
    <row r="32" spans="2:17" x14ac:dyDescent="0.2">
      <c r="C32" s="473"/>
    </row>
    <row r="34" spans="3:8" x14ac:dyDescent="0.2">
      <c r="C34" s="474"/>
      <c r="D34" s="474"/>
      <c r="E34" s="474"/>
      <c r="F34" s="474"/>
      <c r="G34" s="474"/>
      <c r="H34" s="474"/>
    </row>
  </sheetData>
  <mergeCells count="3">
    <mergeCell ref="B3:H3"/>
    <mergeCell ref="B20:H20"/>
    <mergeCell ref="J20:N20"/>
  </mergeCells>
  <pageMargins left="0" right="0" top="0" bottom="0" header="0" footer="0"/>
  <pageSetup paperSize="8" scale="88" orientation="portrait" r:id="rId1"/>
  <headerFooter alignWithMargins="0"/>
  <ignoredErrors>
    <ignoredError sqref="C30:H30 C29:H29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B2:K43"/>
  <sheetViews>
    <sheetView showGridLines="0" topLeftCell="A7" zoomScaleNormal="100" workbookViewId="0">
      <selection activeCell="G3" sqref="G3"/>
    </sheetView>
  </sheetViews>
  <sheetFormatPr defaultColWidth="9.140625" defaultRowHeight="12.75" x14ac:dyDescent="0.2"/>
  <cols>
    <col min="1" max="1" width="17.140625" style="475" customWidth="1"/>
    <col min="2" max="2" width="43.7109375" style="475" customWidth="1"/>
    <col min="3" max="3" width="13.28515625" style="475" customWidth="1"/>
    <col min="4" max="5" width="9.140625" style="475" customWidth="1"/>
    <col min="6" max="6" width="9.140625" style="475"/>
    <col min="7" max="7" width="15.5703125" style="475" customWidth="1"/>
    <col min="8" max="8" width="11" style="475" customWidth="1"/>
    <col min="9" max="9" width="15.28515625" style="475" customWidth="1"/>
    <col min="10" max="11" width="19.85546875" style="475" customWidth="1"/>
    <col min="12" max="12" width="11.85546875" style="475" bestFit="1" customWidth="1"/>
    <col min="13" max="16384" width="9.140625" style="475"/>
  </cols>
  <sheetData>
    <row r="2" spans="2:11" ht="13.5" thickBot="1" x14ac:dyDescent="0.25">
      <c r="B2" s="834" t="s">
        <v>1062</v>
      </c>
      <c r="C2" s="834"/>
      <c r="D2" s="834"/>
      <c r="E2" s="834"/>
      <c r="G2" s="835" t="s">
        <v>1063</v>
      </c>
      <c r="H2" s="835"/>
      <c r="I2" s="835"/>
      <c r="J2" s="835"/>
      <c r="K2" s="835"/>
    </row>
    <row r="17" spans="2:11" x14ac:dyDescent="0.2">
      <c r="I17" s="476"/>
      <c r="J17" s="476"/>
      <c r="K17" s="476"/>
    </row>
    <row r="18" spans="2:11" x14ac:dyDescent="0.2">
      <c r="I18" s="476"/>
      <c r="J18" s="476"/>
      <c r="K18" s="476"/>
    </row>
    <row r="19" spans="2:11" x14ac:dyDescent="0.2">
      <c r="I19" s="476"/>
      <c r="J19" s="476"/>
      <c r="K19" s="476"/>
    </row>
    <row r="20" spans="2:11" ht="13.5" thickBot="1" x14ac:dyDescent="0.25">
      <c r="B20" s="835" t="s">
        <v>547</v>
      </c>
      <c r="C20" s="835"/>
      <c r="G20" s="835" t="s">
        <v>548</v>
      </c>
      <c r="H20" s="835"/>
      <c r="I20" s="835"/>
      <c r="J20" s="835"/>
      <c r="K20" s="835"/>
    </row>
    <row r="21" spans="2:11" x14ac:dyDescent="0.2">
      <c r="B21" s="477" t="s">
        <v>624</v>
      </c>
      <c r="C21" s="478">
        <v>64.384822999999997</v>
      </c>
      <c r="D21" s="479">
        <f>$C$42</f>
        <v>39.617271299999992</v>
      </c>
      <c r="E21" s="479">
        <f>$C$43</f>
        <v>29.396666666666665</v>
      </c>
      <c r="G21" s="480"/>
      <c r="H21" s="480"/>
      <c r="I21" s="481" t="s">
        <v>549</v>
      </c>
      <c r="J21" s="481" t="s">
        <v>550</v>
      </c>
      <c r="K21" s="481" t="s">
        <v>551</v>
      </c>
    </row>
    <row r="22" spans="2:11" x14ac:dyDescent="0.2">
      <c r="B22" s="477" t="s">
        <v>625</v>
      </c>
      <c r="C22" s="478">
        <v>57.13</v>
      </c>
      <c r="D22" s="479">
        <f t="shared" ref="D22:D43" si="0">$C$42</f>
        <v>39.617271299999992</v>
      </c>
      <c r="E22" s="479">
        <f t="shared" ref="E22:E43" si="1">$C$43</f>
        <v>29.396666666666665</v>
      </c>
      <c r="G22" s="831" t="s">
        <v>552</v>
      </c>
      <c r="H22" s="475" t="s">
        <v>251</v>
      </c>
      <c r="I22" s="476">
        <v>13.174444881481479</v>
      </c>
      <c r="J22" s="476">
        <v>9.6629024177777776</v>
      </c>
      <c r="K22" s="476">
        <v>17.823495046296294</v>
      </c>
    </row>
    <row r="23" spans="2:11" x14ac:dyDescent="0.2">
      <c r="B23" s="477" t="s">
        <v>626</v>
      </c>
      <c r="C23" s="478">
        <v>53.792999999999999</v>
      </c>
      <c r="D23" s="479">
        <f t="shared" si="0"/>
        <v>39.617271299999992</v>
      </c>
      <c r="E23" s="479">
        <f t="shared" si="1"/>
        <v>29.396666666666665</v>
      </c>
      <c r="G23" s="832"/>
      <c r="H23" s="475" t="s">
        <v>553</v>
      </c>
      <c r="I23" s="476">
        <v>8.8832903400000003</v>
      </c>
      <c r="J23" s="476">
        <v>12.623450253333333</v>
      </c>
      <c r="K23" s="476">
        <v>20.64028592</v>
      </c>
    </row>
    <row r="24" spans="2:11" x14ac:dyDescent="0.2">
      <c r="B24" s="477" t="s">
        <v>627</v>
      </c>
      <c r="C24" s="478">
        <v>49.860999999999997</v>
      </c>
      <c r="D24" s="479">
        <f t="shared" si="0"/>
        <v>39.617271299999992</v>
      </c>
      <c r="E24" s="479">
        <f t="shared" si="1"/>
        <v>29.396666666666665</v>
      </c>
      <c r="G24" s="832"/>
      <c r="H24" s="475" t="s">
        <v>554</v>
      </c>
      <c r="I24" s="476">
        <v>7.2755705832628896</v>
      </c>
      <c r="J24" s="476">
        <v>9.9112426035502956</v>
      </c>
      <c r="K24" s="476">
        <v>26.035502958579883</v>
      </c>
    </row>
    <row r="25" spans="2:11" x14ac:dyDescent="0.2">
      <c r="B25" s="477" t="s">
        <v>628</v>
      </c>
      <c r="C25" s="478">
        <v>49.24</v>
      </c>
      <c r="D25" s="479">
        <f t="shared" si="0"/>
        <v>39.617271299999992</v>
      </c>
      <c r="E25" s="479">
        <f t="shared" si="1"/>
        <v>29.396666666666665</v>
      </c>
      <c r="G25" s="833"/>
      <c r="H25" s="480" t="s">
        <v>555</v>
      </c>
      <c r="I25" s="482">
        <v>7.4418397216045413</v>
      </c>
      <c r="J25" s="482">
        <v>9.9112426035502956</v>
      </c>
      <c r="K25" s="482">
        <v>26.035502958579883</v>
      </c>
    </row>
    <row r="26" spans="2:11" x14ac:dyDescent="0.2">
      <c r="B26" s="477" t="s">
        <v>629</v>
      </c>
      <c r="C26" s="478">
        <v>45.63</v>
      </c>
      <c r="D26" s="479">
        <f t="shared" si="0"/>
        <v>39.617271299999992</v>
      </c>
      <c r="E26" s="479">
        <f t="shared" si="1"/>
        <v>29.396666666666665</v>
      </c>
      <c r="G26" s="831" t="s">
        <v>556</v>
      </c>
      <c r="H26" s="475" t="s">
        <v>251</v>
      </c>
      <c r="I26" s="476">
        <v>6.8500973459259251</v>
      </c>
      <c r="J26" s="476">
        <v>9.2871498459259243</v>
      </c>
      <c r="K26" s="476">
        <v>16.876104707407411</v>
      </c>
    </row>
    <row r="27" spans="2:11" x14ac:dyDescent="0.2">
      <c r="B27" s="477" t="s">
        <v>630</v>
      </c>
      <c r="C27" s="478">
        <v>45.4</v>
      </c>
      <c r="D27" s="479">
        <f t="shared" si="0"/>
        <v>39.617271299999992</v>
      </c>
      <c r="E27" s="479">
        <f t="shared" si="1"/>
        <v>29.396666666666665</v>
      </c>
      <c r="G27" s="832"/>
      <c r="H27" s="475" t="s">
        <v>553</v>
      </c>
      <c r="I27" s="476">
        <v>6.0915119100000004</v>
      </c>
      <c r="J27" s="476">
        <v>12.62345036</v>
      </c>
      <c r="K27" s="476">
        <v>20.640281516666665</v>
      </c>
    </row>
    <row r="28" spans="2:11" x14ac:dyDescent="0.2">
      <c r="B28" s="477" t="s">
        <v>631</v>
      </c>
      <c r="C28" s="478">
        <v>43.76</v>
      </c>
      <c r="D28" s="479">
        <f t="shared" si="0"/>
        <v>39.617271299999992</v>
      </c>
      <c r="E28" s="479">
        <f t="shared" si="1"/>
        <v>29.396666666666665</v>
      </c>
      <c r="G28" s="832"/>
      <c r="H28" s="475" t="s">
        <v>554</v>
      </c>
      <c r="I28" s="476">
        <v>2.7686942718184282</v>
      </c>
      <c r="J28" s="476">
        <v>8.742569575790327</v>
      </c>
      <c r="K28" s="476">
        <v>23.162658740880843</v>
      </c>
    </row>
    <row r="29" spans="2:11" x14ac:dyDescent="0.2">
      <c r="B29" s="477" t="s">
        <v>632</v>
      </c>
      <c r="C29" s="478">
        <v>43.12</v>
      </c>
      <c r="D29" s="479">
        <f t="shared" si="0"/>
        <v>39.617271299999992</v>
      </c>
      <c r="E29" s="479">
        <f t="shared" si="1"/>
        <v>29.396666666666665</v>
      </c>
      <c r="G29" s="833"/>
      <c r="H29" s="480" t="s">
        <v>555</v>
      </c>
      <c r="I29" s="482">
        <v>3.0445354234738859</v>
      </c>
      <c r="J29" s="482">
        <v>8.9456589388517216</v>
      </c>
      <c r="K29" s="482">
        <v>23.661895129920644</v>
      </c>
    </row>
    <row r="30" spans="2:11" x14ac:dyDescent="0.2">
      <c r="B30" s="477" t="s">
        <v>633</v>
      </c>
      <c r="C30" s="478">
        <v>42.3932</v>
      </c>
      <c r="D30" s="479">
        <f t="shared" si="0"/>
        <v>39.617271299999992</v>
      </c>
      <c r="E30" s="479">
        <f t="shared" si="1"/>
        <v>29.396666666666665</v>
      </c>
    </row>
    <row r="31" spans="2:11" x14ac:dyDescent="0.2">
      <c r="B31" s="477" t="s">
        <v>634</v>
      </c>
      <c r="C31" s="478">
        <v>37.813403000000001</v>
      </c>
      <c r="D31" s="479">
        <f t="shared" si="0"/>
        <v>39.617271299999992</v>
      </c>
      <c r="E31" s="479">
        <f t="shared" si="1"/>
        <v>29.396666666666665</v>
      </c>
    </row>
    <row r="32" spans="2:11" x14ac:dyDescent="0.2">
      <c r="B32" s="477" t="s">
        <v>635</v>
      </c>
      <c r="C32" s="478">
        <v>36.1</v>
      </c>
      <c r="D32" s="479">
        <f t="shared" si="0"/>
        <v>39.617271299999992</v>
      </c>
      <c r="E32" s="479">
        <f t="shared" si="1"/>
        <v>29.396666666666665</v>
      </c>
    </row>
    <row r="33" spans="2:5" x14ac:dyDescent="0.2">
      <c r="B33" s="477" t="s">
        <v>636</v>
      </c>
      <c r="C33" s="478">
        <v>36</v>
      </c>
      <c r="D33" s="479">
        <f t="shared" si="0"/>
        <v>39.617271299999992</v>
      </c>
      <c r="E33" s="479">
        <f t="shared" si="1"/>
        <v>29.396666666666665</v>
      </c>
    </row>
    <row r="34" spans="2:5" x14ac:dyDescent="0.2">
      <c r="B34" s="477" t="s">
        <v>245</v>
      </c>
      <c r="C34" s="478">
        <v>34.39</v>
      </c>
      <c r="D34" s="479">
        <f t="shared" si="0"/>
        <v>39.617271299999992</v>
      </c>
      <c r="E34" s="479">
        <f t="shared" si="1"/>
        <v>29.396666666666665</v>
      </c>
    </row>
    <row r="35" spans="2:5" x14ac:dyDescent="0.2">
      <c r="B35" s="477" t="s">
        <v>637</v>
      </c>
      <c r="C35" s="478">
        <v>33</v>
      </c>
      <c r="D35" s="479">
        <f t="shared" si="0"/>
        <v>39.617271299999992</v>
      </c>
      <c r="E35" s="479">
        <f t="shared" si="1"/>
        <v>29.396666666666665</v>
      </c>
    </row>
    <row r="36" spans="2:5" x14ac:dyDescent="0.2">
      <c r="B36" s="477" t="s">
        <v>638</v>
      </c>
      <c r="C36" s="478">
        <v>32.06</v>
      </c>
      <c r="D36" s="479">
        <f t="shared" si="0"/>
        <v>39.617271299999992</v>
      </c>
      <c r="E36" s="479">
        <f t="shared" si="1"/>
        <v>29.396666666666665</v>
      </c>
    </row>
    <row r="37" spans="2:5" x14ac:dyDescent="0.2">
      <c r="B37" s="477" t="s">
        <v>177</v>
      </c>
      <c r="C37" s="478">
        <v>31.15</v>
      </c>
      <c r="D37" s="479">
        <f t="shared" si="0"/>
        <v>39.617271299999992</v>
      </c>
      <c r="E37" s="479">
        <f t="shared" si="1"/>
        <v>29.396666666666665</v>
      </c>
    </row>
    <row r="38" spans="2:5" x14ac:dyDescent="0.2">
      <c r="B38" s="477" t="s">
        <v>639</v>
      </c>
      <c r="C38" s="478">
        <v>26.53</v>
      </c>
      <c r="D38" s="479">
        <f t="shared" si="0"/>
        <v>39.617271299999992</v>
      </c>
      <c r="E38" s="479">
        <f t="shared" si="1"/>
        <v>29.396666666666665</v>
      </c>
    </row>
    <row r="39" spans="2:5" x14ac:dyDescent="0.2">
      <c r="B39" s="477" t="s">
        <v>246</v>
      </c>
      <c r="C39" s="478">
        <v>22.65</v>
      </c>
      <c r="D39" s="479">
        <f t="shared" si="0"/>
        <v>39.617271299999992</v>
      </c>
      <c r="E39" s="479">
        <f t="shared" si="1"/>
        <v>29.396666666666665</v>
      </c>
    </row>
    <row r="40" spans="2:5" x14ac:dyDescent="0.2">
      <c r="B40" s="477" t="s">
        <v>640</v>
      </c>
      <c r="C40" s="478">
        <v>20</v>
      </c>
      <c r="D40" s="479">
        <f t="shared" si="0"/>
        <v>39.617271299999992</v>
      </c>
      <c r="E40" s="479">
        <f t="shared" si="1"/>
        <v>29.396666666666665</v>
      </c>
    </row>
    <row r="41" spans="2:5" x14ac:dyDescent="0.2">
      <c r="B41" s="477" t="s">
        <v>641</v>
      </c>
      <c r="C41" s="478">
        <v>20</v>
      </c>
      <c r="D41" s="479">
        <f t="shared" si="0"/>
        <v>39.617271299999992</v>
      </c>
      <c r="E41" s="479">
        <f t="shared" si="1"/>
        <v>29.396666666666665</v>
      </c>
    </row>
    <row r="42" spans="2:5" x14ac:dyDescent="0.2">
      <c r="B42" s="477" t="s">
        <v>642</v>
      </c>
      <c r="C42" s="478">
        <v>39.617271299999992</v>
      </c>
      <c r="D42" s="479">
        <f t="shared" si="0"/>
        <v>39.617271299999992</v>
      </c>
      <c r="E42" s="479">
        <f t="shared" si="1"/>
        <v>29.396666666666665</v>
      </c>
    </row>
    <row r="43" spans="2:5" x14ac:dyDescent="0.2">
      <c r="B43" s="477" t="s">
        <v>643</v>
      </c>
      <c r="C43" s="478">
        <v>29.396666666666665</v>
      </c>
      <c r="D43" s="479">
        <f t="shared" si="0"/>
        <v>39.617271299999992</v>
      </c>
      <c r="E43" s="479">
        <f t="shared" si="1"/>
        <v>29.396666666666665</v>
      </c>
    </row>
  </sheetData>
  <mergeCells count="6">
    <mergeCell ref="G26:G29"/>
    <mergeCell ref="B2:E2"/>
    <mergeCell ref="G2:K2"/>
    <mergeCell ref="B20:C20"/>
    <mergeCell ref="G20:K20"/>
    <mergeCell ref="G22:G25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2:AL24"/>
  <sheetViews>
    <sheetView showGridLines="0" zoomScaleNormal="100" workbookViewId="0">
      <selection activeCell="W3" sqref="W3"/>
    </sheetView>
  </sheetViews>
  <sheetFormatPr defaultColWidth="9.140625" defaultRowHeight="12.75" x14ac:dyDescent="0.2"/>
  <cols>
    <col min="1" max="1" width="16.7109375" style="35" customWidth="1"/>
    <col min="2" max="2" width="17.7109375" style="35" customWidth="1"/>
    <col min="3" max="20" width="9.140625" style="35"/>
    <col min="21" max="21" width="17.85546875" style="35" customWidth="1"/>
    <col min="22" max="16384" width="9.140625" style="35"/>
  </cols>
  <sheetData>
    <row r="2" spans="2:38" ht="15.75" customHeight="1" thickBot="1" x14ac:dyDescent="0.25">
      <c r="B2" s="483" t="s">
        <v>1064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U2" s="834" t="s">
        <v>1065</v>
      </c>
      <c r="V2" s="834"/>
      <c r="W2" s="834"/>
      <c r="X2" s="834"/>
      <c r="Y2" s="834"/>
      <c r="Z2" s="834"/>
      <c r="AA2" s="834"/>
      <c r="AB2" s="834"/>
      <c r="AC2" s="834"/>
      <c r="AD2" s="834"/>
      <c r="AE2" s="834"/>
      <c r="AF2" s="834"/>
      <c r="AG2" s="834"/>
      <c r="AH2" s="834"/>
      <c r="AI2" s="834"/>
      <c r="AJ2" s="834"/>
      <c r="AK2" s="484"/>
      <c r="AL2" s="484"/>
    </row>
    <row r="20" spans="2:38" ht="15.75" customHeight="1" thickBot="1" x14ac:dyDescent="0.25">
      <c r="B20" s="834" t="s">
        <v>557</v>
      </c>
      <c r="C20" s="834"/>
      <c r="D20" s="834"/>
      <c r="E20" s="834"/>
      <c r="F20" s="834"/>
      <c r="G20" s="834"/>
      <c r="H20" s="834"/>
      <c r="I20" s="834"/>
      <c r="J20" s="834"/>
      <c r="K20" s="834"/>
      <c r="L20" s="834"/>
      <c r="M20" s="834"/>
      <c r="N20" s="834"/>
      <c r="O20" s="834"/>
      <c r="P20" s="834"/>
      <c r="Q20" s="834"/>
      <c r="R20" s="834"/>
      <c r="S20" s="834"/>
      <c r="U20" s="834" t="s">
        <v>558</v>
      </c>
      <c r="V20" s="834"/>
      <c r="W20" s="834"/>
      <c r="X20" s="834"/>
      <c r="Y20" s="834"/>
      <c r="Z20" s="834"/>
      <c r="AA20" s="834"/>
      <c r="AB20" s="834"/>
      <c r="AC20" s="834"/>
      <c r="AD20" s="834"/>
      <c r="AE20" s="834"/>
      <c r="AF20" s="834"/>
      <c r="AG20" s="834"/>
      <c r="AH20" s="834"/>
      <c r="AI20" s="834"/>
      <c r="AJ20" s="834"/>
      <c r="AK20" s="484"/>
      <c r="AL20" s="484"/>
    </row>
    <row r="21" spans="2:38" x14ac:dyDescent="0.2">
      <c r="B21" s="485"/>
      <c r="C21" s="486">
        <v>2000</v>
      </c>
      <c r="D21" s="486">
        <v>2001</v>
      </c>
      <c r="E21" s="486">
        <v>2002</v>
      </c>
      <c r="F21" s="486">
        <v>2003</v>
      </c>
      <c r="G21" s="486">
        <v>2004</v>
      </c>
      <c r="H21" s="486">
        <v>2005</v>
      </c>
      <c r="I21" s="486">
        <v>2006</v>
      </c>
      <c r="J21" s="486">
        <v>2007</v>
      </c>
      <c r="K21" s="486">
        <v>2008</v>
      </c>
      <c r="L21" s="486">
        <v>2009</v>
      </c>
      <c r="M21" s="486">
        <v>2010</v>
      </c>
      <c r="N21" s="486">
        <v>2011</v>
      </c>
      <c r="O21" s="486">
        <v>2012</v>
      </c>
      <c r="P21" s="486">
        <v>2013</v>
      </c>
      <c r="Q21" s="486">
        <v>2014</v>
      </c>
      <c r="R21" s="486">
        <v>2015</v>
      </c>
      <c r="S21" s="486">
        <v>2016</v>
      </c>
      <c r="U21" s="487"/>
      <c r="V21" s="488">
        <v>2001</v>
      </c>
      <c r="W21" s="488">
        <v>2002</v>
      </c>
      <c r="X21" s="488">
        <v>2003</v>
      </c>
      <c r="Y21" s="488">
        <v>2004</v>
      </c>
      <c r="Z21" s="488">
        <v>2005</v>
      </c>
      <c r="AA21" s="488">
        <v>2006</v>
      </c>
      <c r="AB21" s="488">
        <v>2007</v>
      </c>
      <c r="AC21" s="488">
        <v>2008</v>
      </c>
      <c r="AD21" s="488">
        <v>2009</v>
      </c>
      <c r="AE21" s="488">
        <v>2010</v>
      </c>
      <c r="AF21" s="488">
        <v>2011</v>
      </c>
      <c r="AG21" s="488">
        <v>2012</v>
      </c>
      <c r="AH21" s="488">
        <v>2013</v>
      </c>
      <c r="AI21" s="488">
        <v>2014</v>
      </c>
      <c r="AJ21" s="488">
        <v>2015</v>
      </c>
      <c r="AK21" s="488">
        <v>2016</v>
      </c>
      <c r="AL21" s="489"/>
    </row>
    <row r="22" spans="2:38" x14ac:dyDescent="0.2">
      <c r="B22" s="57" t="s">
        <v>559</v>
      </c>
      <c r="C22" s="490">
        <v>20.775559748625561</v>
      </c>
      <c r="D22" s="490">
        <v>18.187786430225263</v>
      </c>
      <c r="E22" s="490">
        <v>20.493409739518064</v>
      </c>
      <c r="F22" s="490">
        <v>15.755854037187575</v>
      </c>
      <c r="G22" s="490">
        <v>23.505997745706981</v>
      </c>
      <c r="H22" s="490">
        <v>21.512613425555564</v>
      </c>
      <c r="I22" s="490">
        <v>26.620713930615381</v>
      </c>
      <c r="J22" s="490">
        <v>31.445393334253612</v>
      </c>
      <c r="K22" s="490">
        <v>31.279497216081154</v>
      </c>
      <c r="L22" s="490">
        <v>34.884118077650236</v>
      </c>
      <c r="M22" s="490">
        <v>35.562987066186544</v>
      </c>
      <c r="N22" s="490">
        <v>38.219907893613644</v>
      </c>
      <c r="O22" s="490">
        <v>40.957819263797788</v>
      </c>
      <c r="P22" s="490">
        <v>37.013535189253865</v>
      </c>
      <c r="Q22" s="490">
        <v>33.054773301485028</v>
      </c>
      <c r="R22" s="490">
        <v>31.43919991665512</v>
      </c>
      <c r="S22" s="490">
        <v>28.573705974142388</v>
      </c>
      <c r="U22" s="491" t="s">
        <v>531</v>
      </c>
      <c r="V22" s="492">
        <v>43.643614939055773</v>
      </c>
      <c r="W22" s="492">
        <v>42.710133024764005</v>
      </c>
      <c r="X22" s="492">
        <v>42.503471577416988</v>
      </c>
      <c r="Y22" s="492">
        <v>50.033735580596996</v>
      </c>
      <c r="Z22" s="492">
        <v>50.393395204770954</v>
      </c>
      <c r="AA22" s="492">
        <v>52.354389726736493</v>
      </c>
      <c r="AB22" s="492">
        <v>54.517749410686854</v>
      </c>
      <c r="AC22" s="492">
        <v>54.057903195807143</v>
      </c>
      <c r="AD22" s="492">
        <v>54.019833722033475</v>
      </c>
      <c r="AE22" s="492">
        <v>50.717479844387491</v>
      </c>
      <c r="AF22" s="492">
        <v>50.638560781983784</v>
      </c>
      <c r="AG22" s="492">
        <v>49.865942445242489</v>
      </c>
      <c r="AH22" s="492">
        <v>49.762689793778506</v>
      </c>
      <c r="AI22" s="492">
        <v>51.164789678437373</v>
      </c>
      <c r="AJ22" s="492">
        <v>51.552332751984153</v>
      </c>
      <c r="AK22" s="492">
        <v>52.984084548212159</v>
      </c>
    </row>
    <row r="23" spans="2:38" x14ac:dyDescent="0.2">
      <c r="U23" s="215" t="s">
        <v>560</v>
      </c>
      <c r="V23" s="493">
        <v>52.566949478205295</v>
      </c>
      <c r="W23" s="493">
        <v>51.159704222195742</v>
      </c>
      <c r="X23" s="493">
        <v>50.673549286015628</v>
      </c>
      <c r="Y23" s="493">
        <v>50.721242903158881</v>
      </c>
      <c r="Z23" s="493">
        <v>51.002600901448368</v>
      </c>
      <c r="AA23" s="493">
        <v>51.96682610777664</v>
      </c>
      <c r="AB23" s="493">
        <v>53.023116435313575</v>
      </c>
      <c r="AC23" s="493">
        <v>51.319088982908298</v>
      </c>
      <c r="AD23" s="493">
        <v>47.572946847531114</v>
      </c>
      <c r="AE23" s="493">
        <v>48.91044244928252</v>
      </c>
      <c r="AF23" s="493">
        <v>48.942972175502604</v>
      </c>
      <c r="AG23" s="493">
        <v>48.681142584124629</v>
      </c>
      <c r="AH23" s="493">
        <v>48.213922142486496</v>
      </c>
      <c r="AI23" s="493">
        <v>48.851484424254252</v>
      </c>
      <c r="AJ23" s="493">
        <v>49.48024587274017</v>
      </c>
      <c r="AK23" s="493">
        <v>50.070433843115048</v>
      </c>
    </row>
    <row r="24" spans="2:38" x14ac:dyDescent="0.2">
      <c r="U24" s="50" t="s">
        <v>247</v>
      </c>
      <c r="V24" s="494">
        <v>45.276749357043592</v>
      </c>
      <c r="W24" s="494">
        <v>43.506065117548779</v>
      </c>
      <c r="X24" s="494">
        <v>54.447549734533617</v>
      </c>
      <c r="Y24" s="494">
        <v>60.066350631348399</v>
      </c>
      <c r="Z24" s="494">
        <v>60.569263967212613</v>
      </c>
      <c r="AA24" s="494">
        <v>57.38491902457524</v>
      </c>
      <c r="AB24" s="494">
        <v>53.328679992042694</v>
      </c>
      <c r="AC24" s="494">
        <v>53.48052764429697</v>
      </c>
      <c r="AD24" s="494">
        <v>48.491115648318392</v>
      </c>
      <c r="AE24" s="494">
        <v>47.281096696236062</v>
      </c>
      <c r="AF24" s="494">
        <v>48.863289831531638</v>
      </c>
      <c r="AG24" s="494">
        <v>43.8954874177156</v>
      </c>
      <c r="AH24" s="494">
        <v>47.04898159558374</v>
      </c>
      <c r="AI24" s="494">
        <v>48.917332231797886</v>
      </c>
      <c r="AJ24" s="494">
        <v>49.730529197716514</v>
      </c>
      <c r="AK24" s="494">
        <v>50.638119604410726</v>
      </c>
    </row>
  </sheetData>
  <mergeCells count="3">
    <mergeCell ref="U2:AJ2"/>
    <mergeCell ref="B20:S20"/>
    <mergeCell ref="U20:AJ20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2:AB20"/>
  <sheetViews>
    <sheetView showGridLines="0" zoomScaleNormal="100" workbookViewId="0">
      <selection activeCell="Q3" sqref="Q3"/>
    </sheetView>
  </sheetViews>
  <sheetFormatPr defaultColWidth="9.140625" defaultRowHeight="12.75" x14ac:dyDescent="0.2"/>
  <cols>
    <col min="1" max="1" width="17" style="35" customWidth="1"/>
    <col min="2" max="2" width="9.140625" style="35" customWidth="1"/>
    <col min="3" max="16" width="9.140625" style="35"/>
    <col min="17" max="17" width="17" style="35" customWidth="1"/>
    <col min="18" max="16384" width="9.140625" style="35"/>
  </cols>
  <sheetData>
    <row r="2" spans="2:28" ht="15.75" customHeight="1" thickBot="1" x14ac:dyDescent="0.25">
      <c r="B2" s="834" t="s">
        <v>1066</v>
      </c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  <c r="O2" s="495"/>
      <c r="Q2" s="834" t="s">
        <v>1067</v>
      </c>
      <c r="R2" s="834"/>
      <c r="S2" s="834"/>
      <c r="T2" s="834"/>
      <c r="U2" s="834"/>
      <c r="V2" s="834"/>
      <c r="W2" s="834"/>
      <c r="X2" s="834"/>
      <c r="Y2" s="834"/>
      <c r="Z2" s="834"/>
      <c r="AA2" s="834"/>
      <c r="AB2" s="834"/>
    </row>
    <row r="17" spans="2:28" ht="15.75" customHeight="1" thickBot="1" x14ac:dyDescent="0.25">
      <c r="B17" s="834" t="s">
        <v>561</v>
      </c>
      <c r="C17" s="834"/>
      <c r="D17" s="834"/>
      <c r="E17" s="834"/>
      <c r="F17" s="834"/>
      <c r="G17" s="834"/>
      <c r="H17" s="834"/>
      <c r="I17" s="834"/>
      <c r="J17" s="834"/>
      <c r="K17" s="834"/>
      <c r="L17" s="834"/>
      <c r="M17" s="834"/>
      <c r="N17" s="834"/>
      <c r="O17" s="495"/>
      <c r="Q17" s="834" t="s">
        <v>562</v>
      </c>
      <c r="R17" s="834"/>
      <c r="S17" s="834"/>
      <c r="T17" s="834"/>
      <c r="U17" s="834"/>
      <c r="V17" s="834"/>
      <c r="W17" s="834"/>
      <c r="X17" s="834"/>
      <c r="Y17" s="834"/>
      <c r="Z17" s="834"/>
      <c r="AA17" s="834"/>
      <c r="AB17" s="834"/>
    </row>
    <row r="18" spans="2:28" x14ac:dyDescent="0.2">
      <c r="B18" s="50"/>
      <c r="C18" s="496">
        <v>2004</v>
      </c>
      <c r="D18" s="496">
        <v>2005</v>
      </c>
      <c r="E18" s="496">
        <v>2006</v>
      </c>
      <c r="F18" s="496">
        <v>2007</v>
      </c>
      <c r="G18" s="496">
        <v>2008</v>
      </c>
      <c r="H18" s="496">
        <v>2009</v>
      </c>
      <c r="I18" s="496">
        <v>2010</v>
      </c>
      <c r="J18" s="496">
        <v>2011</v>
      </c>
      <c r="K18" s="496">
        <v>2012</v>
      </c>
      <c r="L18" s="496">
        <v>2013</v>
      </c>
      <c r="M18" s="496">
        <v>2014</v>
      </c>
      <c r="N18" s="496">
        <v>2015</v>
      </c>
      <c r="O18" s="496" t="s">
        <v>563</v>
      </c>
      <c r="Q18" s="50"/>
      <c r="R18" s="496">
        <v>2004</v>
      </c>
      <c r="S18" s="496">
        <v>2005</v>
      </c>
      <c r="T18" s="496">
        <v>2006</v>
      </c>
      <c r="U18" s="496">
        <v>2007</v>
      </c>
      <c r="V18" s="496">
        <v>2008</v>
      </c>
      <c r="W18" s="496">
        <v>2009</v>
      </c>
      <c r="X18" s="496">
        <v>2010</v>
      </c>
      <c r="Y18" s="496">
        <v>2011</v>
      </c>
      <c r="Z18" s="496">
        <v>2012</v>
      </c>
      <c r="AA18" s="496">
        <v>2013</v>
      </c>
      <c r="AB18" s="496">
        <v>2014</v>
      </c>
    </row>
    <row r="19" spans="2:28" x14ac:dyDescent="0.2">
      <c r="B19" s="50" t="s">
        <v>564</v>
      </c>
      <c r="C19" s="52">
        <v>6.2788331273707225</v>
      </c>
      <c r="D19" s="52">
        <v>6.5176549021765462</v>
      </c>
      <c r="E19" s="52">
        <v>6.462234958637274</v>
      </c>
      <c r="F19" s="52">
        <v>5.9877084300792411</v>
      </c>
      <c r="G19" s="52">
        <v>5.65398537877926</v>
      </c>
      <c r="H19" s="52">
        <v>4.6188834643432664</v>
      </c>
      <c r="I19" s="52">
        <v>4.5176774959907418</v>
      </c>
      <c r="J19" s="52">
        <v>4.3743958225646189</v>
      </c>
      <c r="K19" s="52">
        <v>4.2406643111693221</v>
      </c>
      <c r="L19" s="52">
        <v>5.1179535255809299</v>
      </c>
      <c r="M19" s="52">
        <v>5.8655090777339911</v>
      </c>
      <c r="N19" s="52">
        <v>6.8745448561539106</v>
      </c>
      <c r="O19" s="497">
        <v>6.5686945668340284</v>
      </c>
      <c r="Q19" s="35" t="s">
        <v>565</v>
      </c>
      <c r="R19" s="53">
        <v>23.505997745706981</v>
      </c>
      <c r="S19" s="53">
        <v>21.512613425555564</v>
      </c>
      <c r="T19" s="53">
        <v>26.620713930615381</v>
      </c>
      <c r="U19" s="53">
        <v>31.445393334253612</v>
      </c>
      <c r="V19" s="53">
        <v>31.279497216081154</v>
      </c>
      <c r="W19" s="53">
        <v>34.884118077650236</v>
      </c>
      <c r="X19" s="53">
        <v>35.562987066186544</v>
      </c>
      <c r="Y19" s="53">
        <v>38.219907893613644</v>
      </c>
      <c r="Z19" s="53">
        <v>40.957819263797788</v>
      </c>
      <c r="AA19" s="53">
        <v>37.013535189253865</v>
      </c>
      <c r="AB19" s="53">
        <v>31.801888102377362</v>
      </c>
    </row>
    <row r="20" spans="2:28" x14ac:dyDescent="0.2">
      <c r="B20" s="50" t="s">
        <v>566</v>
      </c>
      <c r="C20" s="51">
        <v>18.713599522657866</v>
      </c>
      <c r="D20" s="51">
        <v>21.490793825832643</v>
      </c>
      <c r="E20" s="51">
        <v>18.843062587856547</v>
      </c>
      <c r="F20" s="51">
        <v>18.140236451408249</v>
      </c>
      <c r="G20" s="51">
        <v>18.883600568541983</v>
      </c>
      <c r="H20" s="51">
        <v>21.690015655841016</v>
      </c>
      <c r="I20" s="51">
        <v>18.026393351779486</v>
      </c>
      <c r="J20" s="51">
        <v>17.54052004162666</v>
      </c>
      <c r="K20" s="51">
        <v>16.954688835285907</v>
      </c>
      <c r="L20" s="51">
        <v>21.267097921603295</v>
      </c>
      <c r="M20" s="51">
        <v>26.00342944100068</v>
      </c>
      <c r="N20" s="51">
        <v>29.502820498236797</v>
      </c>
      <c r="O20" s="498"/>
      <c r="Q20" s="50" t="s">
        <v>567</v>
      </c>
      <c r="R20" s="51">
        <v>23.291131840693996</v>
      </c>
      <c r="S20" s="51">
        <v>13.990904009010254</v>
      </c>
      <c r="T20" s="51">
        <v>19.853339197268983</v>
      </c>
      <c r="U20" s="51">
        <v>22.940986192220095</v>
      </c>
      <c r="V20" s="51">
        <v>17.725267489712</v>
      </c>
      <c r="W20" s="51">
        <v>29.965607849222707</v>
      </c>
      <c r="X20" s="51">
        <v>37.536283014646109</v>
      </c>
      <c r="Y20" s="51">
        <v>35.626965006000034</v>
      </c>
      <c r="Z20" s="51">
        <v>37.28780906777483</v>
      </c>
      <c r="AA20" s="51">
        <v>34.468265516397025</v>
      </c>
      <c r="AB20" s="51">
        <v>27.97347405582984</v>
      </c>
    </row>
  </sheetData>
  <mergeCells count="4">
    <mergeCell ref="B2:N2"/>
    <mergeCell ref="Q2:AB2"/>
    <mergeCell ref="B17:N17"/>
    <mergeCell ref="Q17:AB1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B2:Y30"/>
  <sheetViews>
    <sheetView showGridLines="0" zoomScaleNormal="100" workbookViewId="0">
      <selection activeCell="F21" sqref="F21"/>
    </sheetView>
  </sheetViews>
  <sheetFormatPr defaultColWidth="9.140625" defaultRowHeight="12.75" x14ac:dyDescent="0.2"/>
  <cols>
    <col min="1" max="9" width="9.140625" style="428"/>
    <col min="10" max="10" width="20.42578125" style="428" customWidth="1"/>
    <col min="11" max="12" width="9.140625" style="428"/>
    <col min="13" max="16" width="10.7109375" style="428" bestFit="1" customWidth="1"/>
    <col min="17" max="21" width="9.140625" style="428"/>
    <col min="22" max="25" width="9.42578125" style="428" bestFit="1" customWidth="1"/>
    <col min="26" max="16384" width="9.140625" style="428"/>
  </cols>
  <sheetData>
    <row r="2" spans="2:25" x14ac:dyDescent="0.2">
      <c r="B2" s="35"/>
    </row>
    <row r="3" spans="2:25" x14ac:dyDescent="0.2">
      <c r="B3" s="35"/>
    </row>
    <row r="4" spans="2:25" ht="13.5" thickBot="1" x14ac:dyDescent="0.25">
      <c r="B4" s="127" t="s">
        <v>1068</v>
      </c>
      <c r="J4" s="430" t="s">
        <v>268</v>
      </c>
      <c r="K4" s="431"/>
      <c r="L4" s="431"/>
      <c r="M4" s="431"/>
      <c r="N4" s="431"/>
      <c r="O4" s="431"/>
      <c r="P4" s="431"/>
      <c r="Q4" s="431"/>
      <c r="R4" s="431"/>
      <c r="S4" s="431"/>
      <c r="T4" s="431"/>
    </row>
    <row r="6" spans="2:25" x14ac:dyDescent="0.2">
      <c r="J6" s="499" t="s">
        <v>279</v>
      </c>
      <c r="K6" s="500"/>
      <c r="L6" s="501" t="s">
        <v>253</v>
      </c>
      <c r="M6" s="502"/>
      <c r="N6" s="502"/>
      <c r="O6" s="502"/>
      <c r="P6" s="502"/>
      <c r="Q6" s="502"/>
      <c r="R6" s="502"/>
      <c r="S6" s="502"/>
      <c r="T6" s="502"/>
    </row>
    <row r="8" spans="2:25" x14ac:dyDescent="0.2">
      <c r="J8" s="503" t="s">
        <v>159</v>
      </c>
      <c r="K8" s="504">
        <v>2006</v>
      </c>
      <c r="L8" s="503" t="s">
        <v>160</v>
      </c>
      <c r="M8" s="503" t="s">
        <v>161</v>
      </c>
      <c r="N8" s="503" t="s">
        <v>162</v>
      </c>
      <c r="O8" s="503" t="s">
        <v>163</v>
      </c>
      <c r="P8" s="503" t="s">
        <v>164</v>
      </c>
      <c r="Q8" s="503" t="s">
        <v>165</v>
      </c>
      <c r="R8" s="503" t="s">
        <v>166</v>
      </c>
      <c r="S8" s="503" t="s">
        <v>167</v>
      </c>
      <c r="T8" s="503" t="s">
        <v>168</v>
      </c>
      <c r="U8" s="503" t="s">
        <v>452</v>
      </c>
      <c r="V8" s="503" t="s">
        <v>453</v>
      </c>
      <c r="W8" s="503" t="s">
        <v>454</v>
      </c>
      <c r="X8" s="503" t="s">
        <v>455</v>
      </c>
      <c r="Y8" s="503" t="s">
        <v>456</v>
      </c>
    </row>
    <row r="9" spans="2:25" x14ac:dyDescent="0.2">
      <c r="J9" s="500" t="s">
        <v>255</v>
      </c>
      <c r="K9" s="505">
        <v>46</v>
      </c>
      <c r="L9" s="506">
        <v>45.3</v>
      </c>
      <c r="M9" s="506">
        <v>46.6</v>
      </c>
      <c r="N9" s="506">
        <v>50.7</v>
      </c>
      <c r="O9" s="506">
        <v>50.5</v>
      </c>
      <c r="P9" s="506">
        <v>49.1</v>
      </c>
      <c r="Q9" s="506">
        <v>49.7</v>
      </c>
      <c r="R9" s="506">
        <v>49.7</v>
      </c>
      <c r="S9" s="506">
        <v>49.3</v>
      </c>
      <c r="T9" s="506">
        <v>48.5</v>
      </c>
      <c r="U9" s="507">
        <v>47.8</v>
      </c>
      <c r="V9" s="507"/>
      <c r="W9" s="507"/>
      <c r="X9" s="507"/>
      <c r="Y9" s="507"/>
    </row>
    <row r="10" spans="2:25" x14ac:dyDescent="0.2">
      <c r="J10" s="500" t="s">
        <v>169</v>
      </c>
      <c r="K10" s="500">
        <v>40.799999999999997</v>
      </c>
      <c r="L10" s="506">
        <v>40</v>
      </c>
      <c r="M10" s="506">
        <v>40.200000000000003</v>
      </c>
      <c r="N10" s="506">
        <v>43.6</v>
      </c>
      <c r="O10" s="506">
        <v>43</v>
      </c>
      <c r="P10" s="506">
        <v>43</v>
      </c>
      <c r="Q10" s="506">
        <v>44.5</v>
      </c>
      <c r="R10" s="506">
        <v>42.6</v>
      </c>
      <c r="S10" s="506">
        <v>42.2</v>
      </c>
      <c r="T10" s="506">
        <v>42.1</v>
      </c>
      <c r="U10" s="507">
        <v>39.9</v>
      </c>
      <c r="V10" s="507"/>
      <c r="W10" s="507"/>
      <c r="X10" s="507"/>
      <c r="Y10" s="507"/>
    </row>
    <row r="11" spans="2:25" x14ac:dyDescent="0.2">
      <c r="J11" s="500" t="s">
        <v>170</v>
      </c>
      <c r="K11" s="500">
        <v>51.6</v>
      </c>
      <c r="L11" s="506">
        <v>50.1</v>
      </c>
      <c r="M11" s="506">
        <v>48.7</v>
      </c>
      <c r="N11" s="506">
        <v>50.6</v>
      </c>
      <c r="O11" s="506">
        <v>49.5</v>
      </c>
      <c r="P11" s="506">
        <v>49.7</v>
      </c>
      <c r="Q11" s="506">
        <v>48.6</v>
      </c>
      <c r="R11" s="506">
        <v>49.3</v>
      </c>
      <c r="S11" s="506">
        <v>49</v>
      </c>
      <c r="T11" s="506">
        <v>50</v>
      </c>
      <c r="U11" s="507">
        <v>47.5</v>
      </c>
      <c r="V11" s="507"/>
      <c r="W11" s="507"/>
      <c r="X11" s="507"/>
      <c r="Y11" s="507"/>
    </row>
    <row r="12" spans="2:25" x14ac:dyDescent="0.2">
      <c r="J12" s="500" t="s">
        <v>171</v>
      </c>
      <c r="K12" s="500">
        <v>44.6</v>
      </c>
      <c r="L12" s="506">
        <v>43.1</v>
      </c>
      <c r="M12" s="506">
        <v>44.2</v>
      </c>
      <c r="N12" s="506">
        <v>44.9</v>
      </c>
      <c r="O12" s="506">
        <v>45.8</v>
      </c>
      <c r="P12" s="506">
        <v>43.9</v>
      </c>
      <c r="Q12" s="506">
        <v>42.8</v>
      </c>
      <c r="R12" s="506">
        <v>42.6</v>
      </c>
      <c r="S12" s="506">
        <v>42.3</v>
      </c>
      <c r="T12" s="506">
        <v>41.6</v>
      </c>
      <c r="U12" s="507">
        <v>41.3</v>
      </c>
      <c r="V12" s="507"/>
      <c r="W12" s="507"/>
      <c r="X12" s="507"/>
      <c r="Y12" s="507"/>
    </row>
    <row r="13" spans="2:25" x14ac:dyDescent="0.2">
      <c r="J13" s="500" t="s">
        <v>247</v>
      </c>
      <c r="K13" s="500">
        <v>38.799999999999997</v>
      </c>
      <c r="L13" s="506">
        <v>36.299999999999997</v>
      </c>
      <c r="M13" s="506">
        <v>37</v>
      </c>
      <c r="N13" s="506">
        <v>44.2</v>
      </c>
      <c r="O13" s="506">
        <v>42.1</v>
      </c>
      <c r="P13" s="506">
        <v>40.799999999999997</v>
      </c>
      <c r="Q13" s="506">
        <v>40.6</v>
      </c>
      <c r="R13" s="506">
        <v>41.4</v>
      </c>
      <c r="S13" s="506">
        <v>42</v>
      </c>
      <c r="T13" s="506">
        <v>45.2</v>
      </c>
      <c r="U13" s="507">
        <v>41.5</v>
      </c>
      <c r="V13" s="508">
        <v>40.999790436284613</v>
      </c>
      <c r="W13" s="508">
        <v>39.303817783394166</v>
      </c>
      <c r="X13" s="508">
        <v>39.130123828704519</v>
      </c>
      <c r="Y13" s="508">
        <v>38.470174161774402</v>
      </c>
    </row>
    <row r="14" spans="2:25" x14ac:dyDescent="0.2">
      <c r="J14" s="500" t="s">
        <v>172</v>
      </c>
      <c r="K14" s="505">
        <f>AVERAGE(K10:K12)</f>
        <v>45.666666666666664</v>
      </c>
      <c r="L14" s="505">
        <f t="shared" ref="L14:U14" si="0">AVERAGE(L10:L12)</f>
        <v>44.4</v>
      </c>
      <c r="M14" s="505">
        <f t="shared" si="0"/>
        <v>44.366666666666674</v>
      </c>
      <c r="N14" s="505">
        <f t="shared" si="0"/>
        <v>46.366666666666667</v>
      </c>
      <c r="O14" s="505">
        <f t="shared" si="0"/>
        <v>46.1</v>
      </c>
      <c r="P14" s="505">
        <f t="shared" si="0"/>
        <v>45.533333333333331</v>
      </c>
      <c r="Q14" s="505">
        <f t="shared" si="0"/>
        <v>45.29999999999999</v>
      </c>
      <c r="R14" s="505">
        <f t="shared" si="0"/>
        <v>44.833333333333336</v>
      </c>
      <c r="S14" s="505">
        <f t="shared" si="0"/>
        <v>44.5</v>
      </c>
      <c r="T14" s="505">
        <f t="shared" si="0"/>
        <v>44.566666666666663</v>
      </c>
      <c r="U14" s="505">
        <f t="shared" si="0"/>
        <v>42.9</v>
      </c>
      <c r="V14" s="507"/>
      <c r="W14" s="507"/>
      <c r="X14" s="507"/>
      <c r="Y14" s="507"/>
    </row>
    <row r="15" spans="2:25" x14ac:dyDescent="0.2">
      <c r="J15" s="500" t="s">
        <v>254</v>
      </c>
      <c r="K15" s="505">
        <f>K9</f>
        <v>46</v>
      </c>
      <c r="L15" s="505">
        <f t="shared" ref="L15:U15" si="1">L9</f>
        <v>45.3</v>
      </c>
      <c r="M15" s="505">
        <f t="shared" si="1"/>
        <v>46.6</v>
      </c>
      <c r="N15" s="505">
        <f t="shared" si="1"/>
        <v>50.7</v>
      </c>
      <c r="O15" s="505">
        <f t="shared" si="1"/>
        <v>50.5</v>
      </c>
      <c r="P15" s="505">
        <f t="shared" si="1"/>
        <v>49.1</v>
      </c>
      <c r="Q15" s="505">
        <f t="shared" si="1"/>
        <v>49.7</v>
      </c>
      <c r="R15" s="505">
        <f t="shared" si="1"/>
        <v>49.7</v>
      </c>
      <c r="S15" s="505">
        <f t="shared" si="1"/>
        <v>49.3</v>
      </c>
      <c r="T15" s="505">
        <f t="shared" si="1"/>
        <v>48.5</v>
      </c>
      <c r="U15" s="505">
        <f t="shared" si="1"/>
        <v>47.8</v>
      </c>
      <c r="V15" s="507"/>
      <c r="W15" s="507"/>
      <c r="X15" s="507"/>
      <c r="Y15" s="507"/>
    </row>
    <row r="16" spans="2:25" x14ac:dyDescent="0.2">
      <c r="J16" s="500" t="s">
        <v>451</v>
      </c>
      <c r="K16" s="507">
        <v>45.2</v>
      </c>
      <c r="L16" s="507">
        <v>44.7</v>
      </c>
      <c r="M16" s="507">
        <v>46.2</v>
      </c>
      <c r="N16" s="507">
        <v>50.1</v>
      </c>
      <c r="O16" s="507">
        <v>49.9</v>
      </c>
      <c r="P16" s="507">
        <v>48.6</v>
      </c>
      <c r="Q16" s="508">
        <v>49</v>
      </c>
      <c r="R16" s="507">
        <v>48.7</v>
      </c>
      <c r="S16" s="507">
        <v>48.1</v>
      </c>
      <c r="T16" s="507">
        <v>47.2</v>
      </c>
      <c r="U16" s="507">
        <v>46.6</v>
      </c>
      <c r="V16" s="507"/>
      <c r="W16" s="507"/>
      <c r="X16" s="507"/>
      <c r="Y16" s="507"/>
    </row>
    <row r="17" spans="2:25" x14ac:dyDescent="0.2">
      <c r="J17" s="507"/>
      <c r="K17" s="507"/>
      <c r="L17" s="507"/>
      <c r="M17" s="507"/>
      <c r="N17" s="507"/>
      <c r="O17" s="507"/>
      <c r="P17" s="507"/>
      <c r="Q17" s="507"/>
      <c r="R17" s="507"/>
      <c r="S17" s="507"/>
      <c r="T17" s="507"/>
      <c r="U17" s="507"/>
      <c r="V17" s="507"/>
      <c r="W17" s="507"/>
      <c r="X17" s="507"/>
      <c r="Y17" s="507"/>
    </row>
    <row r="18" spans="2:25" x14ac:dyDescent="0.2">
      <c r="J18" s="499" t="s">
        <v>280</v>
      </c>
      <c r="K18" s="500"/>
      <c r="L18" s="501" t="s">
        <v>98</v>
      </c>
      <c r="M18" s="509"/>
      <c r="N18" s="509"/>
      <c r="O18" s="509"/>
      <c r="P18" s="509"/>
      <c r="Q18" s="509"/>
      <c r="R18" s="509"/>
      <c r="S18" s="509"/>
      <c r="T18" s="509"/>
      <c r="U18" s="509"/>
      <c r="V18" s="507"/>
      <c r="W18" s="507"/>
      <c r="X18" s="507"/>
      <c r="Y18" s="507"/>
    </row>
    <row r="19" spans="2:25" x14ac:dyDescent="0.2">
      <c r="J19" s="507"/>
      <c r="K19" s="507"/>
      <c r="L19" s="507"/>
      <c r="M19" s="507"/>
      <c r="N19" s="507"/>
      <c r="O19" s="507"/>
      <c r="P19" s="507"/>
      <c r="Q19" s="507"/>
      <c r="R19" s="507"/>
      <c r="S19" s="507"/>
      <c r="T19" s="507"/>
      <c r="U19" s="507"/>
      <c r="V19" s="507"/>
      <c r="W19" s="507"/>
      <c r="X19" s="507"/>
      <c r="Y19" s="507"/>
    </row>
    <row r="20" spans="2:25" x14ac:dyDescent="0.2">
      <c r="B20" s="127" t="s">
        <v>1069</v>
      </c>
      <c r="J20" s="503" t="s">
        <v>159</v>
      </c>
      <c r="K20" s="503" t="s">
        <v>252</v>
      </c>
      <c r="L20" s="503" t="s">
        <v>160</v>
      </c>
      <c r="M20" s="503" t="s">
        <v>161</v>
      </c>
      <c r="N20" s="503" t="s">
        <v>162</v>
      </c>
      <c r="O20" s="503" t="s">
        <v>163</v>
      </c>
      <c r="P20" s="503" t="s">
        <v>164</v>
      </c>
      <c r="Q20" s="503" t="s">
        <v>165</v>
      </c>
      <c r="R20" s="503" t="s">
        <v>166</v>
      </c>
      <c r="S20" s="503" t="s">
        <v>167</v>
      </c>
      <c r="T20" s="503" t="s">
        <v>168</v>
      </c>
      <c r="U20" s="503" t="s">
        <v>452</v>
      </c>
      <c r="V20" s="503" t="s">
        <v>453</v>
      </c>
      <c r="W20" s="503" t="s">
        <v>454</v>
      </c>
      <c r="X20" s="503" t="s">
        <v>455</v>
      </c>
      <c r="Y20" s="503" t="s">
        <v>456</v>
      </c>
    </row>
    <row r="21" spans="2:25" x14ac:dyDescent="0.2">
      <c r="J21" s="500" t="s">
        <v>251</v>
      </c>
      <c r="K21" s="506">
        <v>3.2</v>
      </c>
      <c r="L21" s="506">
        <v>3.2</v>
      </c>
      <c r="M21" s="506">
        <v>3.4</v>
      </c>
      <c r="N21" s="506">
        <v>3.7</v>
      </c>
      <c r="O21" s="506">
        <v>3.5</v>
      </c>
      <c r="P21" s="506">
        <v>3.3</v>
      </c>
      <c r="Q21" s="506">
        <v>3.1</v>
      </c>
      <c r="R21" s="506">
        <v>3</v>
      </c>
      <c r="S21" s="506">
        <v>2.9</v>
      </c>
      <c r="T21" s="506">
        <v>2.9</v>
      </c>
      <c r="U21" s="507">
        <v>2.7</v>
      </c>
      <c r="V21" s="507"/>
      <c r="W21" s="507"/>
      <c r="X21" s="507"/>
      <c r="Y21" s="507"/>
    </row>
    <row r="22" spans="2:25" x14ac:dyDescent="0.2">
      <c r="J22" s="500" t="s">
        <v>250</v>
      </c>
      <c r="K22" s="506">
        <v>3.2</v>
      </c>
      <c r="L22" s="506">
        <v>3.2</v>
      </c>
      <c r="M22" s="506">
        <v>3.3</v>
      </c>
      <c r="N22" s="506">
        <v>3.6</v>
      </c>
      <c r="O22" s="506">
        <v>3.4</v>
      </c>
      <c r="P22" s="506">
        <v>3.1</v>
      </c>
      <c r="Q22" s="506">
        <v>2.9</v>
      </c>
      <c r="R22" s="506">
        <v>2.8</v>
      </c>
      <c r="S22" s="506">
        <v>2.7</v>
      </c>
      <c r="T22" s="506">
        <v>2.7</v>
      </c>
      <c r="U22" s="507">
        <v>2.6</v>
      </c>
      <c r="V22" s="507"/>
      <c r="W22" s="507"/>
      <c r="X22" s="507"/>
      <c r="Y22" s="507"/>
    </row>
    <row r="23" spans="2:25" x14ac:dyDescent="0.2">
      <c r="J23" s="500" t="s">
        <v>177</v>
      </c>
      <c r="K23" s="506">
        <v>4.9000000000000004</v>
      </c>
      <c r="L23" s="506">
        <v>4.5999999999999996</v>
      </c>
      <c r="M23" s="506">
        <v>5</v>
      </c>
      <c r="N23" s="506">
        <v>5.5</v>
      </c>
      <c r="O23" s="506">
        <v>4.7</v>
      </c>
      <c r="P23" s="506">
        <v>4.5</v>
      </c>
      <c r="Q23" s="506">
        <v>4.2</v>
      </c>
      <c r="R23" s="506">
        <v>3.7</v>
      </c>
      <c r="S23" s="506">
        <v>4.0999999999999996</v>
      </c>
      <c r="T23" s="506">
        <v>5.2</v>
      </c>
      <c r="U23" s="507">
        <v>3.4</v>
      </c>
      <c r="V23" s="507"/>
      <c r="W23" s="507"/>
      <c r="X23" s="507"/>
      <c r="Y23" s="507"/>
    </row>
    <row r="24" spans="2:25" x14ac:dyDescent="0.2">
      <c r="J24" s="500" t="s">
        <v>246</v>
      </c>
      <c r="K24" s="506">
        <v>5.2</v>
      </c>
      <c r="L24" s="506">
        <v>4.3</v>
      </c>
      <c r="M24" s="506">
        <v>3.2</v>
      </c>
      <c r="N24" s="506">
        <v>3.4</v>
      </c>
      <c r="O24" s="506">
        <v>3.7</v>
      </c>
      <c r="P24" s="506">
        <v>3.4</v>
      </c>
      <c r="Q24" s="506">
        <v>3.7</v>
      </c>
      <c r="R24" s="506">
        <v>4.4000000000000004</v>
      </c>
      <c r="S24" s="506">
        <v>5.4</v>
      </c>
      <c r="T24" s="506">
        <v>6.6</v>
      </c>
      <c r="U24" s="507">
        <v>3.1</v>
      </c>
      <c r="V24" s="507"/>
      <c r="W24" s="507"/>
      <c r="X24" s="507"/>
      <c r="Y24" s="507"/>
    </row>
    <row r="25" spans="2:25" x14ac:dyDescent="0.2">
      <c r="B25" s="500"/>
      <c r="C25" s="500"/>
      <c r="D25" s="500"/>
      <c r="J25" s="500" t="s">
        <v>245</v>
      </c>
      <c r="K25" s="506">
        <v>4</v>
      </c>
      <c r="L25" s="506">
        <v>4.5</v>
      </c>
      <c r="M25" s="506">
        <v>4.8</v>
      </c>
      <c r="N25" s="506">
        <v>5</v>
      </c>
      <c r="O25" s="506">
        <v>5.6</v>
      </c>
      <c r="P25" s="506">
        <v>5.8</v>
      </c>
      <c r="Q25" s="506">
        <v>4.7</v>
      </c>
      <c r="R25" s="506">
        <v>4.0999999999999996</v>
      </c>
      <c r="S25" s="506">
        <v>4.5</v>
      </c>
      <c r="T25" s="506">
        <v>4.4000000000000004</v>
      </c>
      <c r="U25" s="507">
        <v>3.3</v>
      </c>
      <c r="V25" s="508"/>
      <c r="W25" s="508"/>
      <c r="X25" s="508"/>
      <c r="Y25" s="508"/>
    </row>
    <row r="26" spans="2:25" x14ac:dyDescent="0.2">
      <c r="B26" s="500"/>
      <c r="C26" s="500"/>
      <c r="D26" s="500"/>
      <c r="J26" s="500" t="s">
        <v>247</v>
      </c>
      <c r="K26" s="506">
        <v>3.8</v>
      </c>
      <c r="L26" s="506">
        <v>3.2</v>
      </c>
      <c r="M26" s="506">
        <v>3.4</v>
      </c>
      <c r="N26" s="506">
        <v>3.9</v>
      </c>
      <c r="O26" s="506">
        <v>3.6</v>
      </c>
      <c r="P26" s="506">
        <v>3.8</v>
      </c>
      <c r="Q26" s="506">
        <v>3.4</v>
      </c>
      <c r="R26" s="506">
        <v>3.3</v>
      </c>
      <c r="S26" s="506">
        <v>4</v>
      </c>
      <c r="T26" s="506">
        <v>6.3</v>
      </c>
      <c r="U26" s="505">
        <v>3.2</v>
      </c>
      <c r="V26" s="508">
        <v>3.3222947034162784</v>
      </c>
      <c r="W26" s="508">
        <v>2.4171952919914239</v>
      </c>
      <c r="X26" s="508">
        <v>2.6936201894190148</v>
      </c>
      <c r="Y26" s="508">
        <v>2.6359991570514754</v>
      </c>
    </row>
    <row r="27" spans="2:25" x14ac:dyDescent="0.2">
      <c r="J27" s="500" t="s">
        <v>172</v>
      </c>
      <c r="K27" s="506">
        <f>AVERAGE(K23:K25)</f>
        <v>4.7</v>
      </c>
      <c r="L27" s="506">
        <f t="shared" ref="L27:U27" si="2">AVERAGE(L23:L25)</f>
        <v>4.4666666666666659</v>
      </c>
      <c r="M27" s="506">
        <f t="shared" si="2"/>
        <v>4.333333333333333</v>
      </c>
      <c r="N27" s="506">
        <f t="shared" si="2"/>
        <v>4.6333333333333337</v>
      </c>
      <c r="O27" s="506">
        <f t="shared" si="2"/>
        <v>4.666666666666667</v>
      </c>
      <c r="P27" s="506">
        <f t="shared" si="2"/>
        <v>4.5666666666666664</v>
      </c>
      <c r="Q27" s="506">
        <f t="shared" si="2"/>
        <v>4.2</v>
      </c>
      <c r="R27" s="506">
        <f t="shared" si="2"/>
        <v>4.0666666666666673</v>
      </c>
      <c r="S27" s="506">
        <f t="shared" si="2"/>
        <v>4.666666666666667</v>
      </c>
      <c r="T27" s="506">
        <f t="shared" si="2"/>
        <v>5.4000000000000012</v>
      </c>
      <c r="U27" s="506">
        <f t="shared" si="2"/>
        <v>3.2666666666666671</v>
      </c>
      <c r="V27" s="507"/>
      <c r="W27" s="507"/>
      <c r="X27" s="507"/>
      <c r="Y27" s="507"/>
    </row>
    <row r="28" spans="2:25" x14ac:dyDescent="0.2">
      <c r="J28" s="500" t="str">
        <f>J15</f>
        <v>EA 19</v>
      </c>
      <c r="K28" s="506">
        <f>K22</f>
        <v>3.2</v>
      </c>
      <c r="L28" s="506">
        <f t="shared" ref="L28:U28" si="3">L22</f>
        <v>3.2</v>
      </c>
      <c r="M28" s="506">
        <f t="shared" si="3"/>
        <v>3.3</v>
      </c>
      <c r="N28" s="506">
        <f t="shared" si="3"/>
        <v>3.6</v>
      </c>
      <c r="O28" s="506">
        <f t="shared" si="3"/>
        <v>3.4</v>
      </c>
      <c r="P28" s="506">
        <f t="shared" si="3"/>
        <v>3.1</v>
      </c>
      <c r="Q28" s="506">
        <f t="shared" si="3"/>
        <v>2.9</v>
      </c>
      <c r="R28" s="506">
        <f t="shared" si="3"/>
        <v>2.8</v>
      </c>
      <c r="S28" s="506">
        <f t="shared" si="3"/>
        <v>2.7</v>
      </c>
      <c r="T28" s="506">
        <f t="shared" si="3"/>
        <v>2.7</v>
      </c>
      <c r="U28" s="506">
        <f t="shared" si="3"/>
        <v>2.6</v>
      </c>
      <c r="V28" s="507"/>
      <c r="W28" s="507"/>
      <c r="X28" s="507"/>
      <c r="Y28" s="507"/>
    </row>
    <row r="29" spans="2:25" x14ac:dyDescent="0.2">
      <c r="J29" s="507"/>
      <c r="K29" s="507"/>
      <c r="L29" s="507"/>
      <c r="M29" s="507"/>
      <c r="N29" s="507"/>
      <c r="O29" s="507"/>
      <c r="P29" s="507"/>
      <c r="Q29" s="507"/>
      <c r="R29" s="507"/>
      <c r="S29" s="507"/>
      <c r="T29" s="507"/>
      <c r="U29" s="507"/>
      <c r="V29" s="507"/>
      <c r="W29" s="507"/>
      <c r="X29" s="507"/>
      <c r="Y29" s="507"/>
    </row>
    <row r="30" spans="2:25" x14ac:dyDescent="0.2">
      <c r="J30" s="507"/>
      <c r="K30" s="507"/>
      <c r="L30" s="507"/>
      <c r="M30" s="507"/>
      <c r="N30" s="507"/>
      <c r="O30" s="507"/>
      <c r="P30" s="507"/>
      <c r="Q30" s="507"/>
      <c r="R30" s="507"/>
      <c r="S30" s="507"/>
      <c r="T30" s="507"/>
      <c r="U30" s="507"/>
      <c r="V30" s="507"/>
      <c r="W30" s="507"/>
      <c r="X30" s="507"/>
      <c r="Y30" s="507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B2:AG69"/>
  <sheetViews>
    <sheetView showGridLines="0" zoomScaleNormal="100" workbookViewId="0">
      <selection activeCell="B4" sqref="B4"/>
    </sheetView>
  </sheetViews>
  <sheetFormatPr defaultColWidth="9.140625" defaultRowHeight="12.75" x14ac:dyDescent="0.2"/>
  <cols>
    <col min="1" max="1" width="9.140625" style="510"/>
    <col min="2" max="2" width="31.5703125" style="510" customWidth="1"/>
    <col min="3" max="3" width="9.140625" style="510"/>
    <col min="4" max="4" width="11.42578125" style="510" customWidth="1"/>
    <col min="5" max="17" width="9.140625" style="510"/>
    <col min="18" max="18" width="29.42578125" style="510" customWidth="1"/>
    <col min="19" max="19" width="11.42578125" style="510" customWidth="1"/>
    <col min="20" max="20" width="12.28515625" style="510" customWidth="1"/>
    <col min="21" max="21" width="11.85546875" style="510" customWidth="1"/>
    <col min="22" max="22" width="12.42578125" style="510" customWidth="1"/>
    <col min="23" max="23" width="12.85546875" style="510" customWidth="1"/>
    <col min="24" max="24" width="5.28515625" style="510" customWidth="1"/>
    <col min="25" max="25" width="15" style="510" bestFit="1" customWidth="1"/>
    <col min="26" max="26" width="15" style="510" customWidth="1"/>
    <col min="27" max="27" width="9" style="510" bestFit="1" customWidth="1"/>
    <col min="28" max="28" width="9" style="510" customWidth="1"/>
    <col min="29" max="29" width="9.140625" style="510"/>
    <col min="30" max="30" width="14.28515625" style="510" bestFit="1" customWidth="1"/>
    <col min="31" max="31" width="14.140625" style="510" bestFit="1" customWidth="1"/>
    <col min="32" max="32" width="11.42578125" style="510" bestFit="1" customWidth="1"/>
    <col min="33" max="33" width="17.28515625" style="510" customWidth="1"/>
    <col min="34" max="34" width="13.42578125" style="510" customWidth="1"/>
    <col min="35" max="16384" width="9.140625" style="510"/>
  </cols>
  <sheetData>
    <row r="2" spans="2:33" x14ac:dyDescent="0.2">
      <c r="B2" s="35"/>
    </row>
    <row r="3" spans="2:33" ht="16.5" customHeight="1" x14ac:dyDescent="0.2">
      <c r="B3" s="35"/>
    </row>
    <row r="4" spans="2:33" ht="16.5" customHeight="1" thickBot="1" x14ac:dyDescent="0.25">
      <c r="B4" s="127" t="s">
        <v>1070</v>
      </c>
      <c r="R4" s="511" t="s">
        <v>268</v>
      </c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</row>
    <row r="5" spans="2:33" ht="16.5" customHeight="1" x14ac:dyDescent="0.2"/>
    <row r="6" spans="2:33" ht="16.5" customHeight="1" x14ac:dyDescent="0.2">
      <c r="R6" s="513"/>
      <c r="S6" s="513"/>
      <c r="T6" s="513"/>
      <c r="U6" s="513"/>
      <c r="V6" s="513"/>
      <c r="W6" s="513"/>
      <c r="X6" s="513"/>
      <c r="Y6" s="513"/>
      <c r="Z6" s="513"/>
      <c r="AA6" s="513"/>
      <c r="AB6" s="513"/>
      <c r="AC6" s="513"/>
      <c r="AD6" s="513"/>
      <c r="AG6" s="35"/>
    </row>
    <row r="7" spans="2:33" ht="16.5" customHeight="1" x14ac:dyDescent="0.2">
      <c r="R7" s="560" t="s">
        <v>28</v>
      </c>
      <c r="S7" s="561" t="s">
        <v>296</v>
      </c>
      <c r="T7" s="561">
        <v>2017</v>
      </c>
      <c r="U7" s="561">
        <v>2018</v>
      </c>
      <c r="V7" s="561">
        <v>2019</v>
      </c>
      <c r="W7" s="561">
        <v>2020</v>
      </c>
      <c r="X7" s="562"/>
      <c r="Y7" s="561" t="s">
        <v>457</v>
      </c>
      <c r="Z7" s="561" t="s">
        <v>457</v>
      </c>
      <c r="AA7" s="561" t="s">
        <v>457</v>
      </c>
      <c r="AB7" s="513"/>
      <c r="AC7" s="513"/>
      <c r="AD7" s="514"/>
      <c r="AG7" s="35"/>
    </row>
    <row r="8" spans="2:33" ht="16.5" customHeight="1" x14ac:dyDescent="0.2">
      <c r="R8" s="547"/>
      <c r="S8" s="547"/>
      <c r="T8" s="548" t="s">
        <v>248</v>
      </c>
      <c r="U8" s="548" t="s">
        <v>248</v>
      </c>
      <c r="V8" s="548" t="s">
        <v>248</v>
      </c>
      <c r="W8" s="548" t="s">
        <v>248</v>
      </c>
      <c r="X8" s="514"/>
      <c r="Y8" s="548" t="s">
        <v>248</v>
      </c>
      <c r="Z8" s="548" t="s">
        <v>303</v>
      </c>
      <c r="AA8" s="548" t="s">
        <v>0</v>
      </c>
      <c r="AB8" s="513"/>
      <c r="AC8" s="513"/>
      <c r="AD8" s="514"/>
      <c r="AF8" s="35"/>
      <c r="AG8" s="35"/>
    </row>
    <row r="9" spans="2:33" ht="16.5" customHeight="1" x14ac:dyDescent="0.2">
      <c r="R9" s="533" t="s">
        <v>30</v>
      </c>
      <c r="S9" s="547">
        <v>1</v>
      </c>
      <c r="T9" s="549">
        <v>4583.442</v>
      </c>
      <c r="U9" s="549">
        <v>4583.442</v>
      </c>
      <c r="V9" s="549">
        <v>4830.7068280000003</v>
      </c>
      <c r="W9" s="549">
        <v>4956.4428520000001</v>
      </c>
      <c r="X9" s="521"/>
      <c r="Y9" s="549">
        <v>4612.5119999999997</v>
      </c>
      <c r="Z9" s="549">
        <f t="shared" ref="Z9:Z19" si="0">Y9/$Y$19*100</f>
        <v>13.35658449234643</v>
      </c>
      <c r="AA9" s="549">
        <f t="shared" ref="AA9:AA19" si="1">Y9/$Y$20*100</f>
        <v>5.4521695972982824</v>
      </c>
      <c r="AB9" s="513"/>
      <c r="AC9" s="513"/>
      <c r="AD9" s="515"/>
    </row>
    <row r="10" spans="2:33" ht="16.5" customHeight="1" x14ac:dyDescent="0.2">
      <c r="R10" s="533" t="s">
        <v>31</v>
      </c>
      <c r="S10" s="547">
        <v>2</v>
      </c>
      <c r="T10" s="549">
        <v>931.96600000000001</v>
      </c>
      <c r="U10" s="549">
        <v>1025.5033559999999</v>
      </c>
      <c r="V10" s="549">
        <v>1094.595458</v>
      </c>
      <c r="W10" s="549">
        <v>1548.1443630000001</v>
      </c>
      <c r="X10" s="521"/>
      <c r="Y10" s="549">
        <v>947.91</v>
      </c>
      <c r="Z10" s="549">
        <f t="shared" si="0"/>
        <v>2.7448904211284662</v>
      </c>
      <c r="AA10" s="549">
        <f t="shared" si="1"/>
        <v>1.1204666964497902</v>
      </c>
      <c r="AB10" s="513"/>
      <c r="AC10" s="513"/>
      <c r="AD10" s="515"/>
    </row>
    <row r="11" spans="2:33" ht="16.5" customHeight="1" x14ac:dyDescent="0.2">
      <c r="R11" s="533" t="s">
        <v>32</v>
      </c>
      <c r="S11" s="547">
        <v>3</v>
      </c>
      <c r="T11" s="549">
        <v>1840.5309999999999</v>
      </c>
      <c r="U11" s="549">
        <v>1840.664679</v>
      </c>
      <c r="V11" s="549">
        <v>1862.0188129999999</v>
      </c>
      <c r="W11" s="549">
        <v>1880.0982300000001</v>
      </c>
      <c r="X11" s="521"/>
      <c r="Y11" s="549">
        <v>1820.1489999999999</v>
      </c>
      <c r="Z11" s="549">
        <f t="shared" si="0"/>
        <v>5.2706581375094226</v>
      </c>
      <c r="AA11" s="549">
        <f t="shared" si="1"/>
        <v>2.1514873111122252</v>
      </c>
      <c r="AB11" s="513"/>
      <c r="AC11" s="513"/>
      <c r="AD11" s="515"/>
    </row>
    <row r="12" spans="2:33" ht="16.5" customHeight="1" x14ac:dyDescent="0.2">
      <c r="R12" s="533" t="s">
        <v>33</v>
      </c>
      <c r="S12" s="547">
        <v>4</v>
      </c>
      <c r="T12" s="549">
        <v>3706.145</v>
      </c>
      <c r="U12" s="549">
        <v>3213.1192850000002</v>
      </c>
      <c r="V12" s="549">
        <v>3757.8370829999999</v>
      </c>
      <c r="W12" s="549">
        <v>3863.1911650000002</v>
      </c>
      <c r="X12" s="521"/>
      <c r="Y12" s="549">
        <v>4118.9769999999999</v>
      </c>
      <c r="Z12" s="549">
        <f t="shared" si="0"/>
        <v>11.927440909103677</v>
      </c>
      <c r="AA12" s="549">
        <f t="shared" si="1"/>
        <v>4.8687919232233732</v>
      </c>
      <c r="AB12" s="513"/>
      <c r="AC12" s="513"/>
      <c r="AD12" s="515"/>
    </row>
    <row r="13" spans="2:33" ht="16.5" customHeight="1" x14ac:dyDescent="0.2">
      <c r="R13" s="533" t="s">
        <v>34</v>
      </c>
      <c r="S13" s="547">
        <v>5</v>
      </c>
      <c r="T13" s="549">
        <v>495.60399999999998</v>
      </c>
      <c r="U13" s="549">
        <v>563.03686200000004</v>
      </c>
      <c r="V13" s="549">
        <v>578.22974899999997</v>
      </c>
      <c r="W13" s="549">
        <v>607.54825200000005</v>
      </c>
      <c r="X13" s="521"/>
      <c r="Y13" s="549">
        <v>373.91199999999998</v>
      </c>
      <c r="Z13" s="549">
        <f t="shared" si="0"/>
        <v>1.0827478000495689</v>
      </c>
      <c r="AA13" s="549">
        <f t="shared" si="1"/>
        <v>0.44197860915375298</v>
      </c>
      <c r="AB13" s="513"/>
      <c r="AC13" s="513"/>
      <c r="AD13" s="515"/>
    </row>
    <row r="14" spans="2:33" ht="16.5" customHeight="1" x14ac:dyDescent="0.2">
      <c r="R14" s="533" t="s">
        <v>35</v>
      </c>
      <c r="S14" s="547">
        <v>6</v>
      </c>
      <c r="T14" s="549">
        <v>429.553</v>
      </c>
      <c r="U14" s="549">
        <v>434.83051399999999</v>
      </c>
      <c r="V14" s="549">
        <v>531.10516099999995</v>
      </c>
      <c r="W14" s="549">
        <v>522.348387</v>
      </c>
      <c r="X14" s="521"/>
      <c r="Y14" s="549">
        <v>392.91699999999997</v>
      </c>
      <c r="Z14" s="549">
        <f t="shared" si="0"/>
        <v>1.13778112858661</v>
      </c>
      <c r="AA14" s="549">
        <f t="shared" si="1"/>
        <v>0.46444326251327889</v>
      </c>
      <c r="AB14" s="513"/>
      <c r="AC14" s="513"/>
      <c r="AD14" s="515"/>
    </row>
    <row r="15" spans="2:33" ht="16.5" customHeight="1" x14ac:dyDescent="0.2">
      <c r="R15" s="533" t="s">
        <v>36</v>
      </c>
      <c r="S15" s="547">
        <v>7</v>
      </c>
      <c r="T15" s="549">
        <v>6392.44</v>
      </c>
      <c r="U15" s="549">
        <v>6540.9263629999996</v>
      </c>
      <c r="V15" s="549">
        <v>6765.8190770000001</v>
      </c>
      <c r="W15" s="549">
        <v>7100.3600159999996</v>
      </c>
      <c r="X15" s="521"/>
      <c r="Y15" s="549">
        <v>6206.4679999999998</v>
      </c>
      <c r="Z15" s="549">
        <f t="shared" si="0"/>
        <v>17.972249013345518</v>
      </c>
      <c r="AA15" s="549">
        <f t="shared" si="1"/>
        <v>7.3362879351218329</v>
      </c>
      <c r="AB15" s="513"/>
      <c r="AC15" s="513"/>
      <c r="AD15" s="515"/>
    </row>
    <row r="16" spans="2:33" ht="16.5" customHeight="1" x14ac:dyDescent="0.2">
      <c r="R16" s="533" t="s">
        <v>37</v>
      </c>
      <c r="S16" s="547">
        <v>8</v>
      </c>
      <c r="T16" s="549">
        <v>870.04899999999998</v>
      </c>
      <c r="U16" s="549">
        <v>934.55781999999999</v>
      </c>
      <c r="V16" s="549">
        <v>856.31620999999996</v>
      </c>
      <c r="W16" s="549">
        <v>905.07788700000003</v>
      </c>
      <c r="X16" s="521"/>
      <c r="Y16" s="549">
        <v>833.18399999999997</v>
      </c>
      <c r="Z16" s="549">
        <f t="shared" si="0"/>
        <v>2.4126750225627958</v>
      </c>
      <c r="AA16" s="549">
        <f t="shared" si="1"/>
        <v>0.98485607706936518</v>
      </c>
      <c r="AB16" s="513"/>
      <c r="AC16" s="513"/>
      <c r="AD16" s="515"/>
    </row>
    <row r="17" spans="2:31" ht="16.5" customHeight="1" x14ac:dyDescent="0.2">
      <c r="R17" s="533" t="s">
        <v>38</v>
      </c>
      <c r="S17" s="547">
        <v>9</v>
      </c>
      <c r="T17" s="549">
        <v>3455.348</v>
      </c>
      <c r="U17" s="549">
        <v>3504.7309089999999</v>
      </c>
      <c r="V17" s="549">
        <v>4036.1783679999999</v>
      </c>
      <c r="W17" s="549">
        <v>4088.829749</v>
      </c>
      <c r="X17" s="521"/>
      <c r="Y17" s="549">
        <v>3373.6390000000001</v>
      </c>
      <c r="Z17" s="549">
        <f t="shared" si="0"/>
        <v>9.7691440911536098</v>
      </c>
      <c r="AA17" s="549">
        <f t="shared" si="1"/>
        <v>3.9877732541530042</v>
      </c>
      <c r="AB17" s="513"/>
      <c r="AC17" s="513"/>
      <c r="AD17" s="515"/>
    </row>
    <row r="18" spans="2:31" ht="16.5" customHeight="1" x14ac:dyDescent="0.2">
      <c r="R18" s="560" t="s">
        <v>39</v>
      </c>
      <c r="S18" s="561">
        <v>10</v>
      </c>
      <c r="T18" s="563">
        <v>11980.567999999999</v>
      </c>
      <c r="U18" s="563">
        <v>12528.97529</v>
      </c>
      <c r="V18" s="563">
        <v>12962.8887</v>
      </c>
      <c r="W18" s="563">
        <v>13390.664129000001</v>
      </c>
      <c r="X18" s="564"/>
      <c r="Y18" s="563">
        <v>11853.950999999999</v>
      </c>
      <c r="Z18" s="563">
        <f t="shared" si="0"/>
        <v>34.325828984213899</v>
      </c>
      <c r="AA18" s="563">
        <f t="shared" si="1"/>
        <v>14.011833736164494</v>
      </c>
      <c r="AB18" s="513"/>
      <c r="AC18" s="513"/>
      <c r="AD18" s="515"/>
    </row>
    <row r="19" spans="2:31" ht="16.5" customHeight="1" x14ac:dyDescent="0.2">
      <c r="R19" s="550" t="s">
        <v>40</v>
      </c>
      <c r="S19" s="547" t="s">
        <v>41</v>
      </c>
      <c r="T19" s="549">
        <v>34685.646000000001</v>
      </c>
      <c r="U19" s="549">
        <v>35169.787078000001</v>
      </c>
      <c r="V19" s="549">
        <v>37275.695446999998</v>
      </c>
      <c r="W19" s="549">
        <v>38862.705029999997</v>
      </c>
      <c r="X19" s="514"/>
      <c r="Y19" s="549">
        <v>34533.618999999999</v>
      </c>
      <c r="Z19" s="549">
        <f t="shared" si="0"/>
        <v>100</v>
      </c>
      <c r="AA19" s="549">
        <f t="shared" si="1"/>
        <v>40.820088402259401</v>
      </c>
      <c r="AB19" s="513"/>
      <c r="AC19" s="513"/>
      <c r="AD19" s="515"/>
    </row>
    <row r="20" spans="2:31" ht="16.5" customHeight="1" thickBot="1" x14ac:dyDescent="0.25">
      <c r="B20" s="200" t="s">
        <v>190</v>
      </c>
      <c r="C20" s="516"/>
      <c r="D20" s="517"/>
      <c r="E20" s="517"/>
      <c r="F20" s="517"/>
      <c r="G20" s="517"/>
      <c r="H20" s="517"/>
      <c r="I20" s="517"/>
      <c r="J20" s="517"/>
      <c r="K20" s="517"/>
      <c r="R20" s="551" t="s">
        <v>302</v>
      </c>
      <c r="S20" s="547">
        <v>1000</v>
      </c>
      <c r="T20" s="549">
        <v>84599.569358327397</v>
      </c>
      <c r="U20" s="549">
        <v>89495.333808169264</v>
      </c>
      <c r="V20" s="549">
        <v>95260.868620557332</v>
      </c>
      <c r="W20" s="549">
        <v>101007.35417605055</v>
      </c>
      <c r="X20" s="542"/>
      <c r="Y20" s="549">
        <v>84599.569358327397</v>
      </c>
      <c r="Z20" s="549"/>
      <c r="AA20" s="549"/>
      <c r="AB20" s="513"/>
      <c r="AC20" s="513"/>
      <c r="AD20" s="514"/>
      <c r="AE20" s="35"/>
    </row>
    <row r="21" spans="2:31" ht="16.5" customHeight="1" thickBot="1" x14ac:dyDescent="0.25">
      <c r="B21" s="518" t="s">
        <v>28</v>
      </c>
      <c r="C21" s="519" t="s">
        <v>301</v>
      </c>
      <c r="D21" s="838" t="s">
        <v>459</v>
      </c>
      <c r="E21" s="839"/>
      <c r="F21" s="840" t="s">
        <v>460</v>
      </c>
      <c r="G21" s="841"/>
      <c r="H21" s="840" t="s">
        <v>458</v>
      </c>
      <c r="I21" s="841"/>
      <c r="J21" s="840" t="s">
        <v>644</v>
      </c>
      <c r="K21" s="841"/>
      <c r="R21" s="520"/>
      <c r="S21" s="514"/>
      <c r="T21" s="514"/>
      <c r="U21" s="521"/>
      <c r="V21" s="514"/>
      <c r="W21" s="522"/>
      <c r="X21" s="514"/>
      <c r="Y21" s="514"/>
      <c r="Z21" s="514"/>
      <c r="AA21" s="514"/>
      <c r="AB21" s="514"/>
      <c r="AC21" s="514"/>
      <c r="AD21" s="514"/>
      <c r="AE21" s="35"/>
    </row>
    <row r="22" spans="2:31" ht="16.5" customHeight="1" thickBot="1" x14ac:dyDescent="0.25">
      <c r="B22" s="523"/>
      <c r="C22" s="524"/>
      <c r="D22" s="525" t="s">
        <v>0</v>
      </c>
      <c r="E22" s="526" t="s">
        <v>29</v>
      </c>
      <c r="F22" s="525" t="s">
        <v>0</v>
      </c>
      <c r="G22" s="526" t="s">
        <v>29</v>
      </c>
      <c r="H22" s="525" t="s">
        <v>0</v>
      </c>
      <c r="I22" s="526" t="s">
        <v>29</v>
      </c>
      <c r="J22" s="525" t="s">
        <v>0</v>
      </c>
      <c r="K22" s="526" t="s">
        <v>29</v>
      </c>
      <c r="R22" s="514"/>
      <c r="S22" s="514"/>
      <c r="T22" s="514"/>
      <c r="U22" s="514"/>
      <c r="V22" s="514"/>
      <c r="W22" s="514"/>
      <c r="X22" s="514"/>
      <c r="Y22" s="543"/>
      <c r="Z22" s="543"/>
      <c r="AA22" s="543"/>
      <c r="AB22" s="97"/>
      <c r="AC22" s="513"/>
      <c r="AD22" s="514"/>
      <c r="AE22" s="35"/>
    </row>
    <row r="23" spans="2:31" ht="16.5" customHeight="1" x14ac:dyDescent="0.2">
      <c r="B23" s="527" t="s">
        <v>30</v>
      </c>
      <c r="C23" s="528">
        <v>1</v>
      </c>
      <c r="D23" s="529">
        <f t="shared" ref="D23:D32" si="2">T9/$T$20*100</f>
        <v>5.4178077202574286</v>
      </c>
      <c r="E23" s="530">
        <f t="shared" ref="E23:E32" si="3">T9/$T$19*100</f>
        <v>13.214232769370938</v>
      </c>
      <c r="F23" s="529">
        <f t="shared" ref="F23:F32" si="4">U9/$U$20*100</f>
        <v>5.1214312578848853</v>
      </c>
      <c r="G23" s="530">
        <f t="shared" ref="G23:G32" si="5">U9/$U$19*100</f>
        <v>13.032327974675489</v>
      </c>
      <c r="H23" s="531">
        <v>6.2</v>
      </c>
      <c r="I23" s="532">
        <v>13.135593220338981</v>
      </c>
      <c r="J23" s="531">
        <v>6.0333333333333341</v>
      </c>
      <c r="K23" s="532">
        <v>13.558052434456929</v>
      </c>
      <c r="R23" s="533" t="s">
        <v>298</v>
      </c>
      <c r="S23" s="514"/>
      <c r="T23" s="514"/>
      <c r="U23" s="514"/>
      <c r="V23" s="514"/>
      <c r="W23" s="514"/>
      <c r="X23" s="514"/>
      <c r="Y23" s="543"/>
      <c r="Z23" s="543"/>
      <c r="AA23" s="543"/>
      <c r="AB23" s="97"/>
      <c r="AC23" s="513"/>
      <c r="AD23" s="513"/>
      <c r="AE23" s="35"/>
    </row>
    <row r="24" spans="2:31" ht="16.5" customHeight="1" x14ac:dyDescent="0.2">
      <c r="B24" s="527" t="s">
        <v>31</v>
      </c>
      <c r="C24" s="528">
        <v>2</v>
      </c>
      <c r="D24" s="529">
        <f t="shared" si="2"/>
        <v>1.101620264817889</v>
      </c>
      <c r="E24" s="530">
        <f t="shared" si="3"/>
        <v>2.6868924395987897</v>
      </c>
      <c r="F24" s="529">
        <f t="shared" si="4"/>
        <v>1.1458735471037378</v>
      </c>
      <c r="G24" s="530">
        <f t="shared" si="5"/>
        <v>2.9158645564888568</v>
      </c>
      <c r="H24" s="529">
        <v>1.4</v>
      </c>
      <c r="I24" s="530">
        <v>2.9661016949152539</v>
      </c>
      <c r="J24" s="529">
        <v>1</v>
      </c>
      <c r="K24" s="530">
        <v>2.2471910112359552</v>
      </c>
      <c r="R24" s="552" t="s">
        <v>297</v>
      </c>
      <c r="S24" s="552" t="s">
        <v>296</v>
      </c>
      <c r="T24" s="837" t="s">
        <v>461</v>
      </c>
      <c r="U24" s="837"/>
      <c r="V24" s="837" t="s">
        <v>462</v>
      </c>
      <c r="W24" s="837"/>
      <c r="X24" s="514"/>
      <c r="Y24" s="543"/>
      <c r="Z24" s="543"/>
      <c r="AA24" s="543"/>
      <c r="AB24" s="97"/>
      <c r="AC24" s="513"/>
      <c r="AD24" s="513"/>
      <c r="AE24" s="35"/>
    </row>
    <row r="25" spans="2:31" ht="16.5" customHeight="1" x14ac:dyDescent="0.2">
      <c r="B25" s="527" t="s">
        <v>32</v>
      </c>
      <c r="C25" s="528">
        <v>3</v>
      </c>
      <c r="D25" s="529">
        <f t="shared" si="2"/>
        <v>2.1755796323315808</v>
      </c>
      <c r="E25" s="530">
        <f t="shared" si="3"/>
        <v>5.3063189308914707</v>
      </c>
      <c r="F25" s="529">
        <f t="shared" si="4"/>
        <v>2.056715809279412</v>
      </c>
      <c r="G25" s="530">
        <f t="shared" si="5"/>
        <v>5.2336531777054853</v>
      </c>
      <c r="H25" s="529">
        <v>1.8</v>
      </c>
      <c r="I25" s="530">
        <v>3.8135593220338979</v>
      </c>
      <c r="J25" s="529">
        <v>2.0333333333333337</v>
      </c>
      <c r="K25" s="530">
        <v>4.5692883895131091</v>
      </c>
      <c r="R25" s="565"/>
      <c r="S25" s="565"/>
      <c r="T25" s="562" t="s">
        <v>295</v>
      </c>
      <c r="U25" s="562" t="s">
        <v>294</v>
      </c>
      <c r="V25" s="562" t="s">
        <v>295</v>
      </c>
      <c r="W25" s="566" t="s">
        <v>294</v>
      </c>
      <c r="X25" s="514"/>
      <c r="Y25" s="514"/>
      <c r="Z25" s="514"/>
      <c r="AA25" s="514"/>
      <c r="AB25" s="513"/>
      <c r="AC25" s="513"/>
      <c r="AD25" s="513"/>
      <c r="AE25" s="35"/>
    </row>
    <row r="26" spans="2:31" ht="16.5" customHeight="1" x14ac:dyDescent="0.2">
      <c r="B26" s="527" t="s">
        <v>33</v>
      </c>
      <c r="C26" s="528">
        <v>4</v>
      </c>
      <c r="D26" s="529">
        <f t="shared" si="2"/>
        <v>4.3808083517569258</v>
      </c>
      <c r="E26" s="530">
        <f t="shared" si="3"/>
        <v>10.684953078284892</v>
      </c>
      <c r="F26" s="529">
        <f t="shared" si="4"/>
        <v>3.5902645962383151</v>
      </c>
      <c r="G26" s="530">
        <f t="shared" si="5"/>
        <v>9.1360214319009181</v>
      </c>
      <c r="H26" s="529">
        <v>4.3</v>
      </c>
      <c r="I26" s="530">
        <v>9.1101694915254239</v>
      </c>
      <c r="J26" s="529">
        <v>6.5999999999999988</v>
      </c>
      <c r="K26" s="530">
        <v>14.831460674157301</v>
      </c>
      <c r="R26" s="553" t="s">
        <v>30</v>
      </c>
      <c r="S26" s="552">
        <v>1</v>
      </c>
      <c r="T26" s="554">
        <f t="shared" ref="T26:T33" si="6">D23-AA9</f>
        <v>-3.4361877040853805E-2</v>
      </c>
      <c r="U26" s="555">
        <f t="shared" ref="U26:U33" si="7">E23-Z9</f>
        <v>-0.14235172297549248</v>
      </c>
      <c r="V26" s="556">
        <f t="shared" ref="V26:W33" si="8">F23-D23</f>
        <v>-0.29637646237254334</v>
      </c>
      <c r="W26" s="556">
        <f t="shared" si="8"/>
        <v>-0.1819047946954484</v>
      </c>
      <c r="X26" s="514"/>
      <c r="Y26" s="514"/>
      <c r="Z26" s="514"/>
      <c r="AA26" s="514"/>
      <c r="AB26" s="513"/>
      <c r="AC26" s="513"/>
      <c r="AD26" s="513"/>
      <c r="AE26" s="35"/>
    </row>
    <row r="27" spans="2:31" ht="16.5" customHeight="1" x14ac:dyDescent="0.2">
      <c r="B27" s="527" t="s">
        <v>34</v>
      </c>
      <c r="C27" s="528">
        <v>5</v>
      </c>
      <c r="D27" s="529">
        <f t="shared" si="2"/>
        <v>0.58582331300155266</v>
      </c>
      <c r="E27" s="530">
        <f t="shared" si="3"/>
        <v>1.4288446581043928</v>
      </c>
      <c r="F27" s="529">
        <f t="shared" si="4"/>
        <v>0.62912426608392091</v>
      </c>
      <c r="G27" s="530">
        <f t="shared" si="5"/>
        <v>1.6009106360277068</v>
      </c>
      <c r="H27" s="529">
        <v>0.8</v>
      </c>
      <c r="I27" s="530">
        <v>1.6949152542372881</v>
      </c>
      <c r="J27" s="529">
        <v>0.96666666666666667</v>
      </c>
      <c r="K27" s="530">
        <v>2.1722846441947565</v>
      </c>
      <c r="R27" s="553" t="s">
        <v>31</v>
      </c>
      <c r="S27" s="552">
        <v>2</v>
      </c>
      <c r="T27" s="554">
        <f t="shared" si="6"/>
        <v>-1.884643163190125E-2</v>
      </c>
      <c r="U27" s="555">
        <f t="shared" si="7"/>
        <v>-5.7997981529676501E-2</v>
      </c>
      <c r="V27" s="556">
        <f t="shared" si="8"/>
        <v>4.4253282285848794E-2</v>
      </c>
      <c r="W27" s="556">
        <f t="shared" si="8"/>
        <v>0.22897211689006713</v>
      </c>
      <c r="X27" s="514"/>
      <c r="Y27" s="514"/>
      <c r="Z27" s="514"/>
      <c r="AA27" s="514"/>
      <c r="AB27" s="513"/>
      <c r="AC27" s="513"/>
      <c r="AD27" s="513"/>
      <c r="AE27" s="35"/>
    </row>
    <row r="28" spans="2:31" ht="16.5" customHeight="1" x14ac:dyDescent="0.2">
      <c r="B28" s="527" t="s">
        <v>35</v>
      </c>
      <c r="C28" s="528">
        <v>6</v>
      </c>
      <c r="D28" s="529">
        <f t="shared" si="2"/>
        <v>0.5077484474898426</v>
      </c>
      <c r="E28" s="530">
        <f t="shared" si="3"/>
        <v>1.2384171827158703</v>
      </c>
      <c r="F28" s="529">
        <f t="shared" si="4"/>
        <v>0.48586948111959338</v>
      </c>
      <c r="G28" s="530">
        <f t="shared" si="5"/>
        <v>1.2363751677985064</v>
      </c>
      <c r="H28" s="529">
        <v>0.6</v>
      </c>
      <c r="I28" s="530">
        <v>1.271186440677966</v>
      </c>
      <c r="J28" s="529">
        <v>0.83333333333333337</v>
      </c>
      <c r="K28" s="530">
        <v>1.8726591760299627</v>
      </c>
      <c r="R28" s="553" t="s">
        <v>32</v>
      </c>
      <c r="S28" s="552">
        <v>3</v>
      </c>
      <c r="T28" s="554">
        <f t="shared" si="6"/>
        <v>2.4092321219355561E-2</v>
      </c>
      <c r="U28" s="555">
        <f t="shared" si="7"/>
        <v>3.5660793382048084E-2</v>
      </c>
      <c r="V28" s="556">
        <f t="shared" si="8"/>
        <v>-0.1188638230521688</v>
      </c>
      <c r="W28" s="556">
        <f t="shared" si="8"/>
        <v>-7.2665753185985338E-2</v>
      </c>
      <c r="X28" s="514"/>
      <c r="Y28" s="514"/>
      <c r="Z28" s="514"/>
      <c r="AA28" s="514"/>
      <c r="AB28" s="513"/>
      <c r="AC28" s="513"/>
      <c r="AD28" s="513"/>
      <c r="AE28" s="35"/>
    </row>
    <row r="29" spans="2:31" ht="16.5" customHeight="1" x14ac:dyDescent="0.2">
      <c r="B29" s="527" t="s">
        <v>36</v>
      </c>
      <c r="C29" s="528">
        <v>7</v>
      </c>
      <c r="D29" s="529">
        <f t="shared" si="2"/>
        <v>7.5561141132106391</v>
      </c>
      <c r="E29" s="530">
        <f t="shared" si="3"/>
        <v>18.429640895256785</v>
      </c>
      <c r="F29" s="529">
        <f t="shared" si="4"/>
        <v>7.3086786591804804</v>
      </c>
      <c r="G29" s="530">
        <f t="shared" si="5"/>
        <v>18.598140354087018</v>
      </c>
      <c r="H29" s="529">
        <v>7.2</v>
      </c>
      <c r="I29" s="530">
        <v>15.254237288135592</v>
      </c>
      <c r="J29" s="529">
        <v>5.8666666666666663</v>
      </c>
      <c r="K29" s="530">
        <v>13.183520599250937</v>
      </c>
      <c r="R29" s="553" t="s">
        <v>33</v>
      </c>
      <c r="S29" s="552">
        <v>4</v>
      </c>
      <c r="T29" s="554">
        <f t="shared" si="6"/>
        <v>-0.48798357146644733</v>
      </c>
      <c r="U29" s="555">
        <f t="shared" si="7"/>
        <v>-1.242487830818785</v>
      </c>
      <c r="V29" s="556">
        <f t="shared" si="8"/>
        <v>-0.79054375551861078</v>
      </c>
      <c r="W29" s="556">
        <f t="shared" si="8"/>
        <v>-1.5489316463839735</v>
      </c>
      <c r="X29" s="514"/>
      <c r="Y29" s="514"/>
      <c r="Z29" s="514"/>
      <c r="AA29" s="514"/>
      <c r="AB29" s="513"/>
      <c r="AC29" s="513"/>
      <c r="AD29" s="513"/>
      <c r="AE29" s="35"/>
    </row>
    <row r="30" spans="2:31" ht="16.5" customHeight="1" x14ac:dyDescent="0.2">
      <c r="B30" s="527" t="s">
        <v>37</v>
      </c>
      <c r="C30" s="528">
        <v>8</v>
      </c>
      <c r="D30" s="529">
        <f t="shared" si="2"/>
        <v>1.0284319490030103</v>
      </c>
      <c r="E30" s="530">
        <f t="shared" si="3"/>
        <v>2.5083834390744806</v>
      </c>
      <c r="F30" s="529">
        <f t="shared" si="4"/>
        <v>1.0442531249765474</v>
      </c>
      <c r="G30" s="530">
        <f t="shared" si="5"/>
        <v>2.6572746031340073</v>
      </c>
      <c r="H30" s="529">
        <v>1</v>
      </c>
      <c r="I30" s="530">
        <v>2.1186440677966099</v>
      </c>
      <c r="J30" s="529">
        <v>1.5</v>
      </c>
      <c r="K30" s="530">
        <v>3.3707865168539324</v>
      </c>
      <c r="R30" s="553" t="s">
        <v>34</v>
      </c>
      <c r="S30" s="552">
        <v>5</v>
      </c>
      <c r="T30" s="554">
        <f t="shared" si="6"/>
        <v>0.14384470384779968</v>
      </c>
      <c r="U30" s="555">
        <f t="shared" si="7"/>
        <v>0.34609685805482382</v>
      </c>
      <c r="V30" s="556">
        <f t="shared" si="8"/>
        <v>4.3300953082368254E-2</v>
      </c>
      <c r="W30" s="556">
        <f t="shared" si="8"/>
        <v>0.17206597792331402</v>
      </c>
      <c r="X30" s="514"/>
      <c r="Y30" s="514"/>
      <c r="Z30" s="514"/>
      <c r="AA30" s="514"/>
      <c r="AB30" s="513"/>
      <c r="AC30" s="513"/>
      <c r="AD30" s="513"/>
      <c r="AE30" s="35"/>
    </row>
    <row r="31" spans="2:31" ht="16.5" customHeight="1" x14ac:dyDescent="0.2">
      <c r="B31" s="527" t="s">
        <v>38</v>
      </c>
      <c r="C31" s="528">
        <v>9</v>
      </c>
      <c r="D31" s="529">
        <f t="shared" si="2"/>
        <v>4.0843564881100418</v>
      </c>
      <c r="E31" s="530">
        <f t="shared" si="3"/>
        <v>9.9618960534856402</v>
      </c>
      <c r="F31" s="529">
        <f t="shared" si="4"/>
        <v>3.9161046278818201</v>
      </c>
      <c r="G31" s="530">
        <f t="shared" si="5"/>
        <v>9.9651752261882134</v>
      </c>
      <c r="H31" s="529">
        <v>4.9000000000000004</v>
      </c>
      <c r="I31" s="530">
        <v>10.381355932203389</v>
      </c>
      <c r="J31" s="529">
        <v>5.1000000000000005</v>
      </c>
      <c r="K31" s="530">
        <v>11.460674157303371</v>
      </c>
      <c r="R31" s="553" t="s">
        <v>35</v>
      </c>
      <c r="S31" s="552">
        <v>6</v>
      </c>
      <c r="T31" s="554">
        <f t="shared" si="6"/>
        <v>4.3305184976563715E-2</v>
      </c>
      <c r="U31" s="555">
        <f t="shared" si="7"/>
        <v>0.10063605412926035</v>
      </c>
      <c r="V31" s="556">
        <f t="shared" si="8"/>
        <v>-2.187896637024922E-2</v>
      </c>
      <c r="W31" s="556">
        <f t="shared" si="8"/>
        <v>-2.042014917363888E-3</v>
      </c>
      <c r="X31" s="514"/>
      <c r="Y31" s="514"/>
      <c r="Z31" s="543"/>
      <c r="AA31" s="543"/>
      <c r="AB31" s="97"/>
      <c r="AC31" s="97"/>
      <c r="AD31" s="513"/>
      <c r="AE31" s="35"/>
    </row>
    <row r="32" spans="2:31" ht="16.5" customHeight="1" thickBot="1" x14ac:dyDescent="0.25">
      <c r="B32" s="534" t="s">
        <v>39</v>
      </c>
      <c r="C32" s="524">
        <v>10</v>
      </c>
      <c r="D32" s="535">
        <f t="shared" si="2"/>
        <v>14.161499982648214</v>
      </c>
      <c r="E32" s="536">
        <f t="shared" si="3"/>
        <v>34.540420553216741</v>
      </c>
      <c r="F32" s="535">
        <f t="shared" si="4"/>
        <v>13.999584958088995</v>
      </c>
      <c r="G32" s="536">
        <f t="shared" si="5"/>
        <v>35.624256871993794</v>
      </c>
      <c r="H32" s="535">
        <v>19.2</v>
      </c>
      <c r="I32" s="536">
        <v>40.677966101694913</v>
      </c>
      <c r="J32" s="535">
        <v>14.533333333333333</v>
      </c>
      <c r="K32" s="536">
        <v>32.659176029962545</v>
      </c>
      <c r="R32" s="553" t="s">
        <v>36</v>
      </c>
      <c r="S32" s="552">
        <v>7</v>
      </c>
      <c r="T32" s="554">
        <f t="shared" si="6"/>
        <v>0.21982617808880622</v>
      </c>
      <c r="U32" s="555">
        <f t="shared" si="7"/>
        <v>0.45739188191126701</v>
      </c>
      <c r="V32" s="556">
        <f t="shared" si="8"/>
        <v>-0.24743545403015865</v>
      </c>
      <c r="W32" s="556">
        <f t="shared" si="8"/>
        <v>0.1684994588302331</v>
      </c>
      <c r="X32" s="514"/>
      <c r="Y32" s="514"/>
      <c r="Z32" s="543"/>
      <c r="AA32" s="543"/>
      <c r="AB32" s="97"/>
      <c r="AC32" s="97"/>
      <c r="AD32" s="513"/>
      <c r="AE32" s="35"/>
    </row>
    <row r="33" spans="2:31" ht="16.5" customHeight="1" thickBot="1" x14ac:dyDescent="0.25">
      <c r="B33" s="518" t="s">
        <v>40</v>
      </c>
      <c r="C33" s="519" t="s">
        <v>41</v>
      </c>
      <c r="D33" s="537">
        <f>SUM(D23:D32)</f>
        <v>40.999790262627123</v>
      </c>
      <c r="E33" s="538">
        <f>SUM(E23:E32)</f>
        <v>100</v>
      </c>
      <c r="F33" s="537">
        <f>SUM(F23:F32)</f>
        <v>39.297900327837702</v>
      </c>
      <c r="G33" s="538">
        <f>SUM(G23:G32)</f>
        <v>100</v>
      </c>
      <c r="H33" s="537">
        <v>47.2</v>
      </c>
      <c r="I33" s="538">
        <v>100</v>
      </c>
      <c r="J33" s="537">
        <f>SUM(J23:J32)</f>
        <v>44.466666666666669</v>
      </c>
      <c r="K33" s="538">
        <v>100</v>
      </c>
      <c r="R33" s="553" t="s">
        <v>37</v>
      </c>
      <c r="S33" s="552">
        <v>8</v>
      </c>
      <c r="T33" s="554">
        <f t="shared" si="6"/>
        <v>4.3575871933645094E-2</v>
      </c>
      <c r="U33" s="555">
        <f t="shared" si="7"/>
        <v>9.5708416511684824E-2</v>
      </c>
      <c r="V33" s="556">
        <f t="shared" si="8"/>
        <v>1.582117597353716E-2</v>
      </c>
      <c r="W33" s="556">
        <f t="shared" si="8"/>
        <v>0.14889116405952674</v>
      </c>
      <c r="X33" s="514"/>
      <c r="Y33" s="514"/>
      <c r="Z33" s="543"/>
      <c r="AA33" s="543"/>
      <c r="AB33" s="97"/>
      <c r="AC33" s="97"/>
      <c r="AD33" s="513"/>
      <c r="AE33" s="35"/>
    </row>
    <row r="34" spans="2:31" ht="16.5" customHeight="1" x14ac:dyDescent="0.2">
      <c r="B34" s="836" t="s">
        <v>300</v>
      </c>
      <c r="C34" s="836"/>
      <c r="D34" s="836"/>
      <c r="E34" s="836"/>
      <c r="F34" s="836"/>
      <c r="G34" s="836"/>
      <c r="H34" s="836"/>
      <c r="I34" s="539" t="s">
        <v>299</v>
      </c>
      <c r="J34" s="539"/>
      <c r="K34" s="539"/>
      <c r="R34" s="553" t="s">
        <v>38</v>
      </c>
      <c r="S34" s="552">
        <v>9</v>
      </c>
      <c r="T34" s="554">
        <f t="shared" ref="T34:T36" si="9">D31-AA17</f>
        <v>9.6583233957037606E-2</v>
      </c>
      <c r="U34" s="555">
        <f t="shared" ref="U34:U36" si="10">E31-Z17</f>
        <v>0.1927519623320304</v>
      </c>
      <c r="V34" s="556">
        <f t="shared" ref="V34:V36" si="11">F31-D31</f>
        <v>-0.16825186022822169</v>
      </c>
      <c r="W34" s="556">
        <f t="shared" ref="W34:W36" si="12">G31-E31</f>
        <v>3.2791727025731632E-3</v>
      </c>
      <c r="X34" s="514"/>
      <c r="Y34" s="514"/>
      <c r="Z34" s="543"/>
      <c r="AA34" s="543"/>
      <c r="AB34" s="97"/>
      <c r="AC34" s="97"/>
      <c r="AD34" s="513"/>
      <c r="AE34" s="35"/>
    </row>
    <row r="35" spans="2:31" ht="16.5" customHeight="1" x14ac:dyDescent="0.2">
      <c r="B35" s="836"/>
      <c r="C35" s="836"/>
      <c r="D35" s="836"/>
      <c r="E35" s="836"/>
      <c r="F35" s="836"/>
      <c r="G35" s="836"/>
      <c r="H35" s="836"/>
      <c r="I35" s="540"/>
      <c r="R35" s="566" t="s">
        <v>39</v>
      </c>
      <c r="S35" s="565">
        <v>10</v>
      </c>
      <c r="T35" s="567">
        <f t="shared" si="9"/>
        <v>0.1496662464837204</v>
      </c>
      <c r="U35" s="568">
        <f t="shared" si="10"/>
        <v>0.21459156900284171</v>
      </c>
      <c r="V35" s="569">
        <f t="shared" si="11"/>
        <v>-0.16191502455921913</v>
      </c>
      <c r="W35" s="569">
        <f t="shared" si="12"/>
        <v>1.0838363187770526</v>
      </c>
      <c r="X35" s="514"/>
      <c r="Y35" s="514"/>
      <c r="Z35" s="543"/>
      <c r="AA35" s="543"/>
      <c r="AB35" s="97"/>
      <c r="AC35" s="97"/>
      <c r="AD35" s="513"/>
    </row>
    <row r="36" spans="2:31" x14ac:dyDescent="0.2">
      <c r="B36" s="836"/>
      <c r="C36" s="836"/>
      <c r="D36" s="836"/>
      <c r="E36" s="836"/>
      <c r="F36" s="836"/>
      <c r="G36" s="836"/>
      <c r="H36" s="836"/>
      <c r="I36" s="540"/>
      <c r="R36" s="544" t="s">
        <v>40</v>
      </c>
      <c r="S36" s="557" t="s">
        <v>41</v>
      </c>
      <c r="T36" s="554">
        <f t="shared" si="9"/>
        <v>0.17970186036772162</v>
      </c>
      <c r="U36" s="555">
        <f t="shared" si="10"/>
        <v>0</v>
      </c>
      <c r="V36" s="556">
        <f t="shared" si="11"/>
        <v>-1.7018899347894205</v>
      </c>
      <c r="W36" s="556">
        <f t="shared" si="12"/>
        <v>0</v>
      </c>
      <c r="X36" s="514"/>
      <c r="Y36" s="514"/>
      <c r="Z36" s="543"/>
      <c r="AA36" s="543"/>
      <c r="AB36" s="97"/>
      <c r="AC36" s="97"/>
      <c r="AD36" s="513"/>
    </row>
    <row r="37" spans="2:31" x14ac:dyDescent="0.2">
      <c r="B37" s="836"/>
      <c r="C37" s="836"/>
      <c r="D37" s="836"/>
      <c r="E37" s="836"/>
      <c r="F37" s="836"/>
      <c r="G37" s="836"/>
      <c r="H37" s="836"/>
      <c r="I37" s="540"/>
      <c r="R37" s="514"/>
      <c r="S37" s="514"/>
      <c r="T37" s="514"/>
      <c r="U37" s="514"/>
      <c r="V37" s="514"/>
      <c r="W37" s="514"/>
      <c r="X37" s="514"/>
      <c r="Y37" s="514"/>
      <c r="Z37" s="543"/>
      <c r="AA37" s="543"/>
      <c r="AB37" s="97"/>
      <c r="AC37" s="97"/>
      <c r="AD37" s="513"/>
    </row>
    <row r="38" spans="2:31" x14ac:dyDescent="0.2">
      <c r="B38" s="836"/>
      <c r="C38" s="836"/>
      <c r="D38" s="836"/>
      <c r="E38" s="836"/>
      <c r="F38" s="836"/>
      <c r="G38" s="836"/>
      <c r="H38" s="836"/>
      <c r="R38" s="544" t="s">
        <v>293</v>
      </c>
      <c r="S38" s="545"/>
      <c r="T38" s="514"/>
      <c r="U38" s="545"/>
      <c r="V38" s="514"/>
      <c r="W38" s="514"/>
      <c r="X38" s="514"/>
      <c r="Y38" s="514"/>
      <c r="Z38" s="543"/>
      <c r="AA38" s="543"/>
      <c r="AB38" s="97"/>
      <c r="AC38" s="97"/>
      <c r="AD38" s="513"/>
    </row>
    <row r="39" spans="2:31" x14ac:dyDescent="0.2">
      <c r="B39" s="836"/>
      <c r="C39" s="836"/>
      <c r="D39" s="836"/>
      <c r="E39" s="836"/>
      <c r="F39" s="836"/>
      <c r="G39" s="836"/>
      <c r="H39" s="836"/>
      <c r="R39" s="570"/>
      <c r="S39" s="571" t="s">
        <v>291</v>
      </c>
      <c r="T39" s="562" t="s">
        <v>291</v>
      </c>
      <c r="U39" s="514"/>
      <c r="V39" s="514"/>
      <c r="W39" s="514"/>
      <c r="X39" s="514"/>
      <c r="Y39" s="514"/>
      <c r="Z39" s="543"/>
      <c r="AA39" s="543"/>
      <c r="AB39" s="97"/>
      <c r="AC39" s="97"/>
      <c r="AD39" s="513"/>
    </row>
    <row r="40" spans="2:31" x14ac:dyDescent="0.2">
      <c r="R40" s="558" t="s">
        <v>290</v>
      </c>
      <c r="S40" s="555">
        <f>T35</f>
        <v>0.1496662464837204</v>
      </c>
      <c r="T40" s="559">
        <f>V35</f>
        <v>-0.16191502455921913</v>
      </c>
      <c r="U40" s="514"/>
      <c r="V40" s="514"/>
      <c r="W40" s="514" t="s">
        <v>292</v>
      </c>
      <c r="X40" s="514"/>
      <c r="Y40" s="514"/>
      <c r="Z40" s="543"/>
      <c r="AA40" s="543"/>
      <c r="AB40" s="97"/>
      <c r="AC40" s="97"/>
      <c r="AD40" s="513"/>
    </row>
    <row r="41" spans="2:31" x14ac:dyDescent="0.2">
      <c r="R41" s="558" t="s">
        <v>289</v>
      </c>
      <c r="S41" s="555">
        <f>T34</f>
        <v>9.6583233957037606E-2</v>
      </c>
      <c r="T41" s="559">
        <f>V34</f>
        <v>-0.16825186022822169</v>
      </c>
      <c r="U41" s="514"/>
      <c r="V41" s="514"/>
      <c r="W41" s="514"/>
      <c r="X41" s="514"/>
      <c r="Y41" s="514"/>
      <c r="Z41" s="514"/>
      <c r="AA41" s="514"/>
      <c r="AB41" s="513"/>
      <c r="AC41" s="513"/>
      <c r="AD41" s="513"/>
    </row>
    <row r="42" spans="2:31" x14ac:dyDescent="0.2">
      <c r="R42" s="558" t="s">
        <v>288</v>
      </c>
      <c r="S42" s="555">
        <f>T33</f>
        <v>4.3575871933645094E-2</v>
      </c>
      <c r="T42" s="559">
        <f>V33</f>
        <v>1.582117597353716E-2</v>
      </c>
      <c r="U42" s="514"/>
      <c r="V42" s="514"/>
      <c r="W42" s="514"/>
      <c r="X42" s="514"/>
      <c r="Y42" s="514"/>
      <c r="Z42" s="514"/>
      <c r="AA42" s="514"/>
      <c r="AB42" s="513"/>
      <c r="AC42" s="513"/>
      <c r="AD42" s="513"/>
    </row>
    <row r="43" spans="2:31" x14ac:dyDescent="0.2">
      <c r="R43" s="558" t="s">
        <v>287</v>
      </c>
      <c r="S43" s="555">
        <f>T32</f>
        <v>0.21982617808880622</v>
      </c>
      <c r="T43" s="559">
        <f>V32</f>
        <v>-0.24743545403015865</v>
      </c>
      <c r="U43" s="514"/>
      <c r="V43" s="514"/>
      <c r="W43" s="514"/>
      <c r="X43" s="514"/>
      <c r="Y43" s="514"/>
      <c r="Z43" s="514"/>
      <c r="AA43" s="514"/>
      <c r="AB43" s="513"/>
      <c r="AC43" s="513"/>
      <c r="AD43" s="513"/>
    </row>
    <row r="44" spans="2:31" x14ac:dyDescent="0.2">
      <c r="R44" s="558" t="s">
        <v>286</v>
      </c>
      <c r="S44" s="555">
        <f>T31</f>
        <v>4.3305184976563715E-2</v>
      </c>
      <c r="T44" s="559">
        <f>V31</f>
        <v>-2.187896637024922E-2</v>
      </c>
      <c r="U44" s="514"/>
      <c r="V44" s="514"/>
      <c r="W44" s="514"/>
      <c r="X44" s="514"/>
      <c r="Y44" s="514"/>
      <c r="Z44" s="514"/>
      <c r="AA44" s="514"/>
      <c r="AB44" s="513"/>
      <c r="AC44" s="513"/>
      <c r="AD44" s="513"/>
    </row>
    <row r="45" spans="2:31" x14ac:dyDescent="0.2">
      <c r="R45" s="558" t="s">
        <v>285</v>
      </c>
      <c r="S45" s="555">
        <f>T30</f>
        <v>0.14384470384779968</v>
      </c>
      <c r="T45" s="559">
        <f>V30</f>
        <v>4.3300953082368254E-2</v>
      </c>
      <c r="U45" s="514"/>
      <c r="V45" s="514"/>
      <c r="W45" s="514"/>
      <c r="X45" s="514"/>
      <c r="Y45" s="514"/>
      <c r="Z45" s="514"/>
      <c r="AA45" s="514"/>
      <c r="AB45" s="513"/>
      <c r="AC45" s="513"/>
      <c r="AD45" s="513"/>
    </row>
    <row r="46" spans="2:31" x14ac:dyDescent="0.2">
      <c r="R46" s="558" t="s">
        <v>284</v>
      </c>
      <c r="S46" s="555">
        <f>T29</f>
        <v>-0.48798357146644733</v>
      </c>
      <c r="T46" s="559">
        <f>V29</f>
        <v>-0.79054375551861078</v>
      </c>
      <c r="U46" s="514"/>
      <c r="V46" s="514"/>
      <c r="W46" s="514"/>
      <c r="X46" s="514"/>
      <c r="Y46" s="514"/>
      <c r="Z46" s="514"/>
      <c r="AA46" s="514"/>
      <c r="AB46" s="513"/>
      <c r="AC46" s="513"/>
      <c r="AD46" s="513"/>
    </row>
    <row r="47" spans="2:31" x14ac:dyDescent="0.2">
      <c r="R47" s="558" t="s">
        <v>283</v>
      </c>
      <c r="S47" s="555">
        <f>T28</f>
        <v>2.4092321219355561E-2</v>
      </c>
      <c r="T47" s="559">
        <f>V28</f>
        <v>-0.1188638230521688</v>
      </c>
      <c r="U47" s="514"/>
      <c r="V47" s="514"/>
      <c r="W47" s="514"/>
      <c r="X47" s="514"/>
      <c r="Y47" s="514"/>
      <c r="Z47" s="514"/>
      <c r="AA47" s="514"/>
      <c r="AB47" s="513"/>
      <c r="AC47" s="513"/>
      <c r="AD47" s="513"/>
    </row>
    <row r="48" spans="2:31" x14ac:dyDescent="0.2">
      <c r="R48" s="558" t="s">
        <v>282</v>
      </c>
      <c r="S48" s="555">
        <f>T27</f>
        <v>-1.884643163190125E-2</v>
      </c>
      <c r="T48" s="559">
        <f>V27</f>
        <v>4.4253282285848794E-2</v>
      </c>
      <c r="U48" s="514"/>
      <c r="V48" s="514"/>
      <c r="W48" s="514"/>
      <c r="X48" s="514"/>
      <c r="Y48" s="514"/>
      <c r="Z48" s="514"/>
      <c r="AA48" s="514"/>
      <c r="AB48" s="513"/>
      <c r="AC48" s="513"/>
      <c r="AD48" s="513"/>
    </row>
    <row r="49" spans="17:32" x14ac:dyDescent="0.2">
      <c r="R49" s="558" t="s">
        <v>281</v>
      </c>
      <c r="S49" s="555">
        <f>T26</f>
        <v>-3.4361877040853805E-2</v>
      </c>
      <c r="T49" s="559">
        <f>V26</f>
        <v>-0.29637646237254334</v>
      </c>
      <c r="U49" s="514"/>
      <c r="V49" s="514"/>
      <c r="W49" s="514"/>
      <c r="X49" s="514"/>
      <c r="Y49" s="514"/>
      <c r="Z49" s="514"/>
      <c r="AA49" s="514"/>
      <c r="AB49" s="513"/>
      <c r="AC49" s="513"/>
      <c r="AD49" s="513"/>
    </row>
    <row r="50" spans="17:32" x14ac:dyDescent="0.2">
      <c r="R50" s="543"/>
      <c r="S50" s="543"/>
      <c r="T50" s="514"/>
      <c r="U50" s="514"/>
      <c r="V50" s="514"/>
      <c r="W50" s="514"/>
      <c r="X50" s="514"/>
      <c r="Y50" s="514"/>
      <c r="Z50" s="514"/>
      <c r="AA50" s="514"/>
      <c r="AB50" s="513"/>
      <c r="AC50" s="513"/>
      <c r="AD50" s="513"/>
    </row>
    <row r="51" spans="17:32" x14ac:dyDescent="0.2">
      <c r="R51" s="215"/>
      <c r="S51" s="215"/>
      <c r="T51" s="546"/>
      <c r="U51" s="546"/>
      <c r="V51" s="546"/>
      <c r="W51" s="546"/>
      <c r="X51" s="546"/>
      <c r="Y51" s="546"/>
      <c r="Z51" s="546"/>
      <c r="AA51" s="546"/>
    </row>
    <row r="52" spans="17:32" x14ac:dyDescent="0.2">
      <c r="R52" s="215"/>
      <c r="S52" s="215"/>
      <c r="T52" s="546"/>
      <c r="U52" s="546"/>
      <c r="V52" s="546"/>
      <c r="W52" s="546"/>
      <c r="X52" s="546"/>
      <c r="Y52" s="546"/>
      <c r="Z52" s="546"/>
      <c r="AA52" s="546"/>
    </row>
    <row r="53" spans="17:32" x14ac:dyDescent="0.2">
      <c r="R53" s="215"/>
      <c r="S53" s="215"/>
      <c r="T53" s="546"/>
      <c r="U53" s="546"/>
      <c r="V53" s="546"/>
      <c r="W53" s="546"/>
      <c r="X53" s="546"/>
      <c r="Y53" s="546"/>
      <c r="Z53" s="546"/>
      <c r="AA53" s="546"/>
    </row>
    <row r="54" spans="17:32" x14ac:dyDescent="0.2">
      <c r="R54" s="215"/>
      <c r="S54" s="215"/>
      <c r="T54" s="546"/>
      <c r="U54" s="546"/>
      <c r="V54" s="546"/>
      <c r="W54" s="546"/>
      <c r="X54" s="546"/>
      <c r="Y54" s="546"/>
      <c r="Z54" s="546"/>
      <c r="AA54" s="546"/>
    </row>
    <row r="55" spans="17:32" x14ac:dyDescent="0.2">
      <c r="R55" s="215"/>
      <c r="S55" s="215"/>
      <c r="T55" s="546"/>
      <c r="U55" s="546"/>
      <c r="V55" s="546"/>
      <c r="W55" s="546"/>
      <c r="X55" s="546"/>
      <c r="Y55" s="546"/>
      <c r="Z55" s="546"/>
      <c r="AA55" s="546"/>
    </row>
    <row r="59" spans="17:32" x14ac:dyDescent="0.2">
      <c r="Q59" s="35"/>
      <c r="AE59" s="541"/>
      <c r="AF59" s="541"/>
    </row>
    <row r="60" spans="17:32" x14ac:dyDescent="0.2">
      <c r="Q60" s="35"/>
    </row>
    <row r="61" spans="17:32" x14ac:dyDescent="0.2">
      <c r="Q61" s="35"/>
    </row>
    <row r="62" spans="17:32" x14ac:dyDescent="0.2">
      <c r="Q62" s="35"/>
    </row>
    <row r="63" spans="17:32" x14ac:dyDescent="0.2">
      <c r="Q63" s="35"/>
    </row>
    <row r="64" spans="17:32" x14ac:dyDescent="0.2">
      <c r="Q64" s="35"/>
    </row>
    <row r="65" spans="17:17" x14ac:dyDescent="0.2">
      <c r="Q65" s="35"/>
    </row>
    <row r="66" spans="17:17" x14ac:dyDescent="0.2">
      <c r="Q66" s="35"/>
    </row>
    <row r="67" spans="17:17" x14ac:dyDescent="0.2">
      <c r="Q67" s="35"/>
    </row>
    <row r="68" spans="17:17" x14ac:dyDescent="0.2">
      <c r="Q68" s="35"/>
    </row>
    <row r="69" spans="17:17" x14ac:dyDescent="0.2">
      <c r="Q69" s="35"/>
    </row>
  </sheetData>
  <mergeCells count="7">
    <mergeCell ref="B34:H39"/>
    <mergeCell ref="V24:W24"/>
    <mergeCell ref="T24:U24"/>
    <mergeCell ref="D21:E21"/>
    <mergeCell ref="F21:G21"/>
    <mergeCell ref="H21:I21"/>
    <mergeCell ref="J21:K2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B3:K11"/>
  <sheetViews>
    <sheetView showGridLines="0" workbookViewId="0">
      <selection activeCell="I33" sqref="I33"/>
    </sheetView>
  </sheetViews>
  <sheetFormatPr defaultRowHeight="12.75" x14ac:dyDescent="0.2"/>
  <cols>
    <col min="1" max="1" width="9.140625" style="35"/>
    <col min="2" max="2" width="16" style="35" customWidth="1"/>
    <col min="3" max="6" width="9.140625" style="35"/>
    <col min="7" max="7" width="48.140625" style="35" bestFit="1" customWidth="1"/>
    <col min="8" max="16384" width="9.140625" style="35"/>
  </cols>
  <sheetData>
    <row r="3" spans="2:11" x14ac:dyDescent="0.2">
      <c r="G3" s="50"/>
      <c r="H3" s="99">
        <v>2018</v>
      </c>
      <c r="I3" s="99">
        <v>2019</v>
      </c>
      <c r="J3" s="99">
        <v>2020</v>
      </c>
    </row>
    <row r="4" spans="2:11" x14ac:dyDescent="0.2">
      <c r="G4" s="35" t="s">
        <v>568</v>
      </c>
      <c r="H4" s="45">
        <v>-0.82999969762914805</v>
      </c>
      <c r="I4" s="45">
        <v>-0.32484167369140921</v>
      </c>
      <c r="J4" s="45">
        <v>-0.2703050705834002</v>
      </c>
    </row>
    <row r="5" spans="2:11" x14ac:dyDescent="0.2">
      <c r="G5" s="50" t="s">
        <v>569</v>
      </c>
      <c r="H5" s="572">
        <f>'Tabuľka 11'!G27</f>
        <v>-0.82999969585006994</v>
      </c>
      <c r="I5" s="572">
        <f>'Tabuľka 11'!H27</f>
        <v>-0.10000013751712089</v>
      </c>
      <c r="J5" s="572">
        <f>'Tabuľka 11'!I27</f>
        <v>0</v>
      </c>
    </row>
    <row r="6" spans="2:11" x14ac:dyDescent="0.2">
      <c r="G6" s="35" t="s">
        <v>570</v>
      </c>
      <c r="H6" s="100">
        <f>H4-H5</f>
        <v>-1.7790781070559092E-9</v>
      </c>
      <c r="I6" s="100">
        <f t="shared" ref="I6:J6" si="0">I4-I5</f>
        <v>-0.22484153617428831</v>
      </c>
      <c r="J6" s="100">
        <f t="shared" si="0"/>
        <v>-0.2703050705834002</v>
      </c>
    </row>
    <row r="7" spans="2:11" x14ac:dyDescent="0.2">
      <c r="J7" s="842" t="s">
        <v>8</v>
      </c>
      <c r="K7" s="842"/>
    </row>
    <row r="11" spans="2:11" x14ac:dyDescent="0.2">
      <c r="B11" s="127" t="s">
        <v>1071</v>
      </c>
    </row>
  </sheetData>
  <mergeCells count="1">
    <mergeCell ref="J7:K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2"/>
  <dimension ref="B4:V32"/>
  <sheetViews>
    <sheetView showGridLines="0" workbookViewId="0">
      <selection activeCell="K28" sqref="K28:L28"/>
    </sheetView>
  </sheetViews>
  <sheetFormatPr defaultColWidth="9.140625" defaultRowHeight="12.75" x14ac:dyDescent="0.2"/>
  <cols>
    <col min="1" max="1" width="9.140625" style="35"/>
    <col min="2" max="2" width="39.85546875" style="35" customWidth="1"/>
    <col min="3" max="3" width="12.5703125" style="35" customWidth="1"/>
    <col min="4" max="12" width="6.5703125" style="35" customWidth="1"/>
    <col min="13" max="16384" width="9.140625" style="35"/>
  </cols>
  <sheetData>
    <row r="4" spans="2:16" ht="13.5" thickBot="1" x14ac:dyDescent="0.25">
      <c r="B4" s="843" t="s">
        <v>434</v>
      </c>
      <c r="C4" s="843"/>
      <c r="D4" s="843"/>
      <c r="E4" s="843"/>
      <c r="F4" s="843"/>
      <c r="G4" s="843"/>
      <c r="H4" s="843"/>
      <c r="I4" s="843"/>
      <c r="J4" s="843"/>
      <c r="K4" s="843"/>
      <c r="L4" s="843"/>
    </row>
    <row r="5" spans="2:16" ht="25.5" customHeight="1" thickBot="1" x14ac:dyDescent="0.25">
      <c r="B5" s="26"/>
      <c r="C5" s="1"/>
      <c r="D5" s="844" t="s">
        <v>6</v>
      </c>
      <c r="E5" s="845"/>
      <c r="F5" s="846"/>
      <c r="G5" s="847" t="s">
        <v>573</v>
      </c>
      <c r="H5" s="848"/>
      <c r="I5" s="848"/>
      <c r="J5" s="844" t="s">
        <v>191</v>
      </c>
      <c r="K5" s="845"/>
      <c r="L5" s="845"/>
    </row>
    <row r="6" spans="2:16" ht="13.5" thickBot="1" x14ac:dyDescent="0.25">
      <c r="B6" s="27"/>
      <c r="C6" s="2" t="s">
        <v>42</v>
      </c>
      <c r="D6" s="3">
        <v>2018</v>
      </c>
      <c r="E6" s="203">
        <v>2019</v>
      </c>
      <c r="F6" s="4">
        <v>2020</v>
      </c>
      <c r="G6" s="3">
        <v>2018</v>
      </c>
      <c r="H6" s="203">
        <v>2019</v>
      </c>
      <c r="I6" s="4">
        <v>2020</v>
      </c>
      <c r="J6" s="3">
        <v>2018</v>
      </c>
      <c r="K6" s="203">
        <v>2019</v>
      </c>
      <c r="L6" s="3">
        <v>2020</v>
      </c>
    </row>
    <row r="7" spans="2:16" ht="13.5" thickBot="1" x14ac:dyDescent="0.25">
      <c r="B7" s="28" t="s">
        <v>43</v>
      </c>
      <c r="C7" s="5" t="s">
        <v>44</v>
      </c>
      <c r="D7" s="37">
        <f>SUM(D8:D14)</f>
        <v>38.307869325343823</v>
      </c>
      <c r="E7" s="38">
        <f t="shared" ref="E7:L7" si="0">SUM(E8:E14)</f>
        <v>38.79645462086431</v>
      </c>
      <c r="F7" s="39">
        <f t="shared" si="0"/>
        <v>38.213066367614076</v>
      </c>
      <c r="G7" s="37">
        <f t="shared" si="0"/>
        <v>38.473818087544096</v>
      </c>
      <c r="H7" s="38">
        <f t="shared" si="0"/>
        <v>39.030123691187399</v>
      </c>
      <c r="I7" s="39">
        <f t="shared" si="0"/>
        <v>38.470174161774409</v>
      </c>
      <c r="J7" s="37">
        <f>SUM(J8:J14)</f>
        <v>0.16594876220027466</v>
      </c>
      <c r="K7" s="38">
        <f t="shared" si="0"/>
        <v>0.23366907032308507</v>
      </c>
      <c r="L7" s="38">
        <f t="shared" si="0"/>
        <v>0.2571077941603267</v>
      </c>
      <c r="N7" s="36"/>
      <c r="O7" s="36"/>
      <c r="P7" s="36"/>
    </row>
    <row r="8" spans="2:16" x14ac:dyDescent="0.2">
      <c r="B8" s="29" t="s">
        <v>45</v>
      </c>
      <c r="C8" s="8" t="s">
        <v>46</v>
      </c>
      <c r="D8" s="9">
        <v>10.845458155393889</v>
      </c>
      <c r="E8" s="10">
        <v>10.632508506719585</v>
      </c>
      <c r="F8" s="11">
        <v>10.423903392222314</v>
      </c>
      <c r="G8" s="9">
        <v>10.985263209364636</v>
      </c>
      <c r="H8" s="10">
        <v>10.748456430730229</v>
      </c>
      <c r="I8" s="11">
        <v>10.533067720989898</v>
      </c>
      <c r="J8" s="9">
        <v>0.13980505397074694</v>
      </c>
      <c r="K8" s="10">
        <v>0.11594792401064424</v>
      </c>
      <c r="L8" s="10">
        <v>0.10916432876758364</v>
      </c>
      <c r="N8" s="36"/>
      <c r="O8" s="36"/>
      <c r="P8" s="36"/>
    </row>
    <row r="9" spans="2:16" ht="17.25" customHeight="1" x14ac:dyDescent="0.2">
      <c r="B9" s="29" t="s">
        <v>47</v>
      </c>
      <c r="C9" s="12" t="s">
        <v>48</v>
      </c>
      <c r="D9" s="9">
        <v>7.1544880764398284</v>
      </c>
      <c r="E9" s="10">
        <v>7.1268014571649569</v>
      </c>
      <c r="F9" s="11">
        <v>7.1530969913339177</v>
      </c>
      <c r="G9" s="9">
        <v>7.1421321250111207</v>
      </c>
      <c r="H9" s="10">
        <v>7.1123653092016195</v>
      </c>
      <c r="I9" s="11">
        <v>7.1369585624428886</v>
      </c>
      <c r="J9" s="9">
        <v>-1.2355951428707712E-2</v>
      </c>
      <c r="K9" s="10">
        <v>-1.4436147963337476E-2</v>
      </c>
      <c r="L9" s="10">
        <v>-1.6138428891029122E-2</v>
      </c>
      <c r="N9" s="36"/>
      <c r="O9" s="36"/>
      <c r="P9" s="36"/>
    </row>
    <row r="10" spans="2:16" x14ac:dyDescent="0.2">
      <c r="B10" s="29" t="s">
        <v>49</v>
      </c>
      <c r="C10" s="8" t="s">
        <v>50</v>
      </c>
      <c r="D10" s="9">
        <v>0</v>
      </c>
      <c r="E10" s="10">
        <v>0</v>
      </c>
      <c r="F10" s="11">
        <v>0</v>
      </c>
      <c r="G10" s="9">
        <v>0</v>
      </c>
      <c r="H10" s="10">
        <v>0</v>
      </c>
      <c r="I10" s="11">
        <v>0</v>
      </c>
      <c r="J10" s="9">
        <v>0</v>
      </c>
      <c r="K10" s="10">
        <v>0</v>
      </c>
      <c r="L10" s="10">
        <v>0</v>
      </c>
      <c r="N10" s="36"/>
      <c r="O10" s="36"/>
      <c r="P10" s="36"/>
    </row>
    <row r="11" spans="2:16" x14ac:dyDescent="0.2">
      <c r="B11" s="29" t="s">
        <v>51</v>
      </c>
      <c r="C11" s="8" t="s">
        <v>52</v>
      </c>
      <c r="D11" s="9">
        <v>14.567194084107223</v>
      </c>
      <c r="E11" s="10">
        <v>14.421472472605723</v>
      </c>
      <c r="F11" s="11">
        <v>14.38179837875963</v>
      </c>
      <c r="G11" s="9">
        <v>14.646436204148921</v>
      </c>
      <c r="H11" s="10">
        <v>14.503361290982975</v>
      </c>
      <c r="I11" s="11">
        <v>14.461770773640897</v>
      </c>
      <c r="J11" s="9">
        <v>7.9242120041698172E-2</v>
      </c>
      <c r="K11" s="10">
        <v>8.1888818377251482E-2</v>
      </c>
      <c r="L11" s="10">
        <v>7.9972394881266951E-2</v>
      </c>
      <c r="N11" s="36"/>
      <c r="O11" s="36"/>
      <c r="P11" s="36"/>
    </row>
    <row r="12" spans="2:16" ht="13.5" thickBot="1" x14ac:dyDescent="0.25">
      <c r="B12" s="30" t="s">
        <v>53</v>
      </c>
      <c r="C12" s="13" t="s">
        <v>54</v>
      </c>
      <c r="D12" s="9">
        <v>0.62718018349425908</v>
      </c>
      <c r="E12" s="10">
        <v>0.59732921395037863</v>
      </c>
      <c r="F12" s="11">
        <v>0.56487471199374251</v>
      </c>
      <c r="G12" s="9">
        <v>0.62718018349425908</v>
      </c>
      <c r="H12" s="10">
        <v>0.59732921395037863</v>
      </c>
      <c r="I12" s="11">
        <v>0.56487471199374251</v>
      </c>
      <c r="J12" s="9">
        <v>0</v>
      </c>
      <c r="K12" s="10">
        <v>0</v>
      </c>
      <c r="L12" s="10">
        <v>0</v>
      </c>
      <c r="N12" s="36"/>
      <c r="O12" s="36"/>
      <c r="P12" s="36"/>
    </row>
    <row r="13" spans="2:16" x14ac:dyDescent="0.2">
      <c r="B13" s="31" t="s">
        <v>55</v>
      </c>
      <c r="C13" s="14"/>
      <c r="D13" s="15">
        <v>5.113548825908623</v>
      </c>
      <c r="E13" s="16">
        <v>6.0183429704236682</v>
      </c>
      <c r="F13" s="17">
        <v>5.6893928933044711</v>
      </c>
      <c r="G13" s="15">
        <v>5.0728063655251603</v>
      </c>
      <c r="H13" s="16">
        <v>5.9562883055370737</v>
      </c>
      <c r="I13" s="17">
        <v>5.6141080579142839</v>
      </c>
      <c r="J13" s="15">
        <v>-4.0742460383462742E-2</v>
      </c>
      <c r="K13" s="16">
        <v>-6.2054664886594502E-2</v>
      </c>
      <c r="L13" s="16">
        <v>-7.5284835390187155E-2</v>
      </c>
      <c r="N13" s="36"/>
      <c r="O13" s="36"/>
      <c r="P13" s="36"/>
    </row>
    <row r="14" spans="2:16" ht="13.5" thickBot="1" x14ac:dyDescent="0.25">
      <c r="B14" s="32" t="s">
        <v>571</v>
      </c>
      <c r="C14" s="18" t="s">
        <v>441</v>
      </c>
      <c r="D14" s="19">
        <v>0</v>
      </c>
      <c r="E14" s="20">
        <v>0</v>
      </c>
      <c r="F14" s="21">
        <v>0</v>
      </c>
      <c r="G14" s="19">
        <v>0</v>
      </c>
      <c r="H14" s="20">
        <v>0.11232314078512132</v>
      </c>
      <c r="I14" s="21">
        <v>0.15939433479269241</v>
      </c>
      <c r="J14" s="19">
        <v>0</v>
      </c>
      <c r="K14" s="20">
        <v>0.11232314078512132</v>
      </c>
      <c r="L14" s="20">
        <v>0.15939433479269241</v>
      </c>
      <c r="N14" s="36"/>
      <c r="O14" s="36"/>
      <c r="P14" s="36"/>
    </row>
    <row r="15" spans="2:16" ht="13.5" thickBot="1" x14ac:dyDescent="0.25">
      <c r="B15" s="32" t="s">
        <v>192</v>
      </c>
      <c r="C15" s="18"/>
      <c r="D15" s="19">
        <v>32.567140315940939</v>
      </c>
      <c r="E15" s="20">
        <v>32.180782436490261</v>
      </c>
      <c r="F15" s="21">
        <v>31.958798762315862</v>
      </c>
      <c r="G15" s="22">
        <v>32.773831538524675</v>
      </c>
      <c r="H15" s="20">
        <v>32.476506171699945</v>
      </c>
      <c r="I15" s="20">
        <v>32.291191391866377</v>
      </c>
      <c r="J15" s="19">
        <v>0.20669122258373562</v>
      </c>
      <c r="K15" s="20">
        <v>0.29572373520968398</v>
      </c>
      <c r="L15" s="20">
        <v>0.3323926295505153</v>
      </c>
      <c r="N15" s="36"/>
      <c r="O15" s="36"/>
      <c r="P15" s="36"/>
    </row>
    <row r="16" spans="2:16" ht="13.5" thickBot="1" x14ac:dyDescent="0.25">
      <c r="B16" s="33" t="s">
        <v>56</v>
      </c>
      <c r="C16" s="23" t="s">
        <v>41</v>
      </c>
      <c r="D16" s="40">
        <f>SUM(D17:D21,D23:D26)</f>
        <v>38.253457373543078</v>
      </c>
      <c r="E16" s="40">
        <f t="shared" ref="E16:L16" si="1">SUM(E17:E21,E23:E26)</f>
        <v>38.624674550722396</v>
      </c>
      <c r="F16" s="41">
        <f t="shared" si="1"/>
        <v>37.650571465073405</v>
      </c>
      <c r="G16" s="40">
        <f t="shared" si="1"/>
        <v>39.303817783394166</v>
      </c>
      <c r="H16" s="40">
        <f t="shared" si="1"/>
        <v>39.130123828704519</v>
      </c>
      <c r="I16" s="41">
        <f t="shared" si="1"/>
        <v>38.470174161774402</v>
      </c>
      <c r="J16" s="37">
        <f t="shared" si="1"/>
        <v>1.0503604098510888</v>
      </c>
      <c r="K16" s="38">
        <f t="shared" si="1"/>
        <v>0.50544927798213202</v>
      </c>
      <c r="L16" s="38">
        <f t="shared" si="1"/>
        <v>0.81960269670099961</v>
      </c>
      <c r="N16" s="36"/>
      <c r="O16" s="36"/>
      <c r="P16" s="36"/>
    </row>
    <row r="17" spans="2:22" x14ac:dyDescent="0.2">
      <c r="B17" s="30" t="s">
        <v>57</v>
      </c>
      <c r="C17" s="13" t="s">
        <v>58</v>
      </c>
      <c r="D17" s="9">
        <v>8.8594261830454748</v>
      </c>
      <c r="E17" s="10">
        <v>8.9107299342366915</v>
      </c>
      <c r="F17" s="11">
        <v>8.7611544850043668</v>
      </c>
      <c r="G17" s="9">
        <v>9.056592827509867</v>
      </c>
      <c r="H17" s="10">
        <v>9.2014550066722567</v>
      </c>
      <c r="I17" s="11">
        <v>8.9711012526870064</v>
      </c>
      <c r="J17" s="9">
        <v>0.19716664446439225</v>
      </c>
      <c r="K17" s="10">
        <v>0.29072507243556522</v>
      </c>
      <c r="L17" s="10">
        <v>0.20994676768263965</v>
      </c>
      <c r="N17" s="36"/>
      <c r="O17" s="36"/>
      <c r="P17" s="36"/>
      <c r="Q17" s="36"/>
      <c r="R17" s="36"/>
      <c r="S17" s="36"/>
      <c r="T17" s="36"/>
      <c r="U17" s="36"/>
      <c r="V17" s="36"/>
    </row>
    <row r="18" spans="2:22" x14ac:dyDescent="0.2">
      <c r="B18" s="30" t="s">
        <v>59</v>
      </c>
      <c r="C18" s="13" t="s">
        <v>60</v>
      </c>
      <c r="D18" s="9">
        <v>5.2779995256512491</v>
      </c>
      <c r="E18" s="10">
        <v>5.2474347696492245</v>
      </c>
      <c r="F18" s="11">
        <v>4.8965254133607878</v>
      </c>
      <c r="G18" s="9">
        <v>5.4617026179264272</v>
      </c>
      <c r="H18" s="10">
        <v>5.1643818197795355</v>
      </c>
      <c r="I18" s="11">
        <v>5.1514348153303766</v>
      </c>
      <c r="J18" s="9">
        <v>0.18370309227517811</v>
      </c>
      <c r="K18" s="10">
        <v>-8.305294986968903E-2</v>
      </c>
      <c r="L18" s="10">
        <v>0.25490940196958878</v>
      </c>
      <c r="N18" s="36"/>
      <c r="O18" s="36"/>
      <c r="P18" s="36"/>
    </row>
    <row r="19" spans="2:22" x14ac:dyDescent="0.2">
      <c r="B19" s="30" t="s">
        <v>61</v>
      </c>
      <c r="C19" s="13" t="s">
        <v>442</v>
      </c>
      <c r="D19" s="9">
        <v>0.44834831724299729</v>
      </c>
      <c r="E19" s="10">
        <v>0.40932663091284621</v>
      </c>
      <c r="F19" s="11">
        <v>0.39850012789640649</v>
      </c>
      <c r="G19" s="9">
        <v>0.44051011642685189</v>
      </c>
      <c r="H19" s="10">
        <v>0.40085819498455338</v>
      </c>
      <c r="I19" s="11">
        <v>0.38761930146195095</v>
      </c>
      <c r="J19" s="9">
        <v>-7.8382008161453909E-3</v>
      </c>
      <c r="K19" s="10">
        <v>-8.4684359282928279E-3</v>
      </c>
      <c r="L19" s="10">
        <v>-1.0880826434455537E-2</v>
      </c>
      <c r="N19" s="36"/>
      <c r="O19" s="36"/>
      <c r="P19" s="36"/>
    </row>
    <row r="20" spans="2:22" x14ac:dyDescent="0.2">
      <c r="B20" s="30" t="s">
        <v>62</v>
      </c>
      <c r="C20" s="13" t="s">
        <v>63</v>
      </c>
      <c r="D20" s="9">
        <v>1.2691689602499274</v>
      </c>
      <c r="E20" s="10">
        <v>1.1815764561207183</v>
      </c>
      <c r="F20" s="11">
        <v>1.0684410166808249</v>
      </c>
      <c r="G20" s="9">
        <v>1.2691689602499274</v>
      </c>
      <c r="H20" s="10">
        <v>1.1815764561207183</v>
      </c>
      <c r="I20" s="11">
        <v>1.0684410166808249</v>
      </c>
      <c r="J20" s="9">
        <v>0</v>
      </c>
      <c r="K20" s="10">
        <v>0</v>
      </c>
      <c r="L20" s="10">
        <v>0</v>
      </c>
      <c r="N20" s="36"/>
      <c r="O20" s="36"/>
      <c r="P20" s="36"/>
    </row>
    <row r="21" spans="2:22" x14ac:dyDescent="0.2">
      <c r="B21" s="30" t="s">
        <v>64</v>
      </c>
      <c r="C21" s="13" t="s">
        <v>443</v>
      </c>
      <c r="D21" s="9">
        <v>18.131208941015849</v>
      </c>
      <c r="E21" s="10">
        <v>17.694025025112879</v>
      </c>
      <c r="F21" s="11">
        <v>17.341110628439981</v>
      </c>
      <c r="G21" s="9">
        <v>18.328081774631958</v>
      </c>
      <c r="H21" s="10">
        <v>18.012323140785121</v>
      </c>
      <c r="I21" s="11">
        <v>17.610883015507959</v>
      </c>
      <c r="J21" s="9">
        <v>0.19687283361610852</v>
      </c>
      <c r="K21" s="10">
        <v>0.31829811567224198</v>
      </c>
      <c r="L21" s="10">
        <v>0.26977238706797735</v>
      </c>
      <c r="N21" s="36"/>
      <c r="O21" s="36"/>
      <c r="P21" s="36"/>
    </row>
    <row r="22" spans="2:22" x14ac:dyDescent="0.2">
      <c r="B22" s="34" t="s">
        <v>65</v>
      </c>
      <c r="C22" s="13"/>
      <c r="D22" s="9">
        <v>0.17190505149687468</v>
      </c>
      <c r="E22" s="10">
        <v>0.15268913828615188</v>
      </c>
      <c r="F22" s="11">
        <v>0.13535153093902449</v>
      </c>
      <c r="G22" s="9">
        <v>0.18202178004051028</v>
      </c>
      <c r="H22" s="10">
        <v>0.16257882342013905</v>
      </c>
      <c r="I22" s="11">
        <v>0.14510230611525571</v>
      </c>
      <c r="J22" s="9">
        <v>1.01167285436356E-2</v>
      </c>
      <c r="K22" s="10">
        <v>9.8896851339871639E-3</v>
      </c>
      <c r="L22" s="10">
        <v>9.7507751762312134E-3</v>
      </c>
      <c r="N22" s="36"/>
      <c r="O22" s="36"/>
      <c r="P22" s="36"/>
    </row>
    <row r="23" spans="2:22" x14ac:dyDescent="0.2">
      <c r="B23" s="30" t="s">
        <v>66</v>
      </c>
      <c r="C23" s="13" t="s">
        <v>67</v>
      </c>
      <c r="D23" s="9">
        <v>2.2002251067077978</v>
      </c>
      <c r="E23" s="10">
        <v>2.7007237943882285</v>
      </c>
      <c r="F23" s="11">
        <v>2.619966070604324</v>
      </c>
      <c r="G23" s="9">
        <v>2.4171952919914239</v>
      </c>
      <c r="H23" s="10">
        <v>2.6936201894190148</v>
      </c>
      <c r="I23" s="11">
        <v>2.6359991570514754</v>
      </c>
      <c r="J23" s="9">
        <v>0.2169701852836261</v>
      </c>
      <c r="K23" s="10">
        <v>-7.1036049692136949E-3</v>
      </c>
      <c r="L23" s="10">
        <v>1.6033086447151401E-2</v>
      </c>
      <c r="N23" s="36"/>
      <c r="O23" s="36"/>
      <c r="P23" s="36"/>
    </row>
    <row r="24" spans="2:22" ht="13.5" thickBot="1" x14ac:dyDescent="0.25">
      <c r="B24" s="30" t="s">
        <v>68</v>
      </c>
      <c r="C24" s="13" t="s">
        <v>69</v>
      </c>
      <c r="D24" s="9">
        <v>0.15819160359801543</v>
      </c>
      <c r="E24" s="10">
        <v>0.2144900709566275</v>
      </c>
      <c r="F24" s="11">
        <v>0.22372693852330794</v>
      </c>
      <c r="G24" s="9">
        <v>0.25584015363303741</v>
      </c>
      <c r="H24" s="10">
        <v>0.24027074537814683</v>
      </c>
      <c r="I24" s="11">
        <v>0.23939841053553387</v>
      </c>
      <c r="J24" s="9">
        <v>9.7648550035021986E-2</v>
      </c>
      <c r="K24" s="10">
        <v>2.5780674421519323E-2</v>
      </c>
      <c r="L24" s="10">
        <v>1.5671472012225934E-2</v>
      </c>
      <c r="N24" s="36"/>
      <c r="O24" s="36"/>
      <c r="P24" s="36"/>
    </row>
    <row r="25" spans="2:22" x14ac:dyDescent="0.2">
      <c r="B25" s="31" t="s">
        <v>70</v>
      </c>
      <c r="C25" s="14"/>
      <c r="D25" s="15">
        <v>1.9088887360317672</v>
      </c>
      <c r="E25" s="16">
        <v>2.2663678693451716</v>
      </c>
      <c r="F25" s="17">
        <v>2.3411467845634046</v>
      </c>
      <c r="G25" s="15">
        <v>2.0747260410246744</v>
      </c>
      <c r="H25" s="16">
        <v>2.347961416350294</v>
      </c>
      <c r="I25" s="17">
        <v>2.5161802080272366</v>
      </c>
      <c r="J25" s="15">
        <v>0.16583730499290716</v>
      </c>
      <c r="K25" s="16">
        <v>8.1593547005122335E-2</v>
      </c>
      <c r="L25" s="16">
        <v>0.17503342346383199</v>
      </c>
      <c r="N25" s="36"/>
      <c r="O25" s="36"/>
      <c r="P25" s="36"/>
    </row>
    <row r="26" spans="2:22" ht="13.5" thickBot="1" x14ac:dyDescent="0.25">
      <c r="B26" s="32" t="s">
        <v>571</v>
      </c>
      <c r="C26" s="18" t="s">
        <v>440</v>
      </c>
      <c r="D26" s="19">
        <v>0</v>
      </c>
      <c r="E26" s="20">
        <v>0</v>
      </c>
      <c r="F26" s="21">
        <v>0</v>
      </c>
      <c r="G26" s="19">
        <v>0</v>
      </c>
      <c r="H26" s="20">
        <v>-0.11232314078512132</v>
      </c>
      <c r="I26" s="21">
        <v>-0.11088301550795994</v>
      </c>
      <c r="J26" s="19">
        <v>0</v>
      </c>
      <c r="K26" s="20">
        <v>-0.11232314078512132</v>
      </c>
      <c r="L26" s="20">
        <v>-0.11088301550795994</v>
      </c>
      <c r="N26" s="36"/>
      <c r="O26" s="36"/>
      <c r="P26" s="36"/>
    </row>
    <row r="27" spans="2:22" ht="13.5" thickBot="1" x14ac:dyDescent="0.25">
      <c r="B27" s="28" t="s">
        <v>193</v>
      </c>
      <c r="C27" s="5" t="s">
        <v>71</v>
      </c>
      <c r="D27" s="24">
        <f>D7-D16</f>
        <v>5.4411951800744873E-2</v>
      </c>
      <c r="E27" s="24">
        <f t="shared" ref="E27:L27" si="2">E7-E16</f>
        <v>0.17178007014191365</v>
      </c>
      <c r="F27" s="25">
        <f t="shared" si="2"/>
        <v>0.56249490254067069</v>
      </c>
      <c r="G27" s="7">
        <f t="shared" si="2"/>
        <v>-0.82999969585006994</v>
      </c>
      <c r="H27" s="7">
        <f t="shared" si="2"/>
        <v>-0.10000013751712089</v>
      </c>
      <c r="I27" s="7">
        <f t="shared" si="2"/>
        <v>0</v>
      </c>
      <c r="J27" s="6">
        <f>J7-J16</f>
        <v>-0.88441164765081415</v>
      </c>
      <c r="K27" s="7">
        <f t="shared" si="2"/>
        <v>-0.27178020765904698</v>
      </c>
      <c r="L27" s="7">
        <f t="shared" si="2"/>
        <v>-0.56249490254067291</v>
      </c>
      <c r="N27" s="36"/>
      <c r="O27" s="36"/>
      <c r="P27" s="36"/>
    </row>
    <row r="28" spans="2:22" ht="15" customHeight="1" x14ac:dyDescent="0.2">
      <c r="B28" s="35" t="s">
        <v>194</v>
      </c>
      <c r="K28" s="849" t="s">
        <v>8</v>
      </c>
      <c r="L28" s="849"/>
      <c r="N28" s="36"/>
      <c r="O28" s="36"/>
      <c r="P28" s="36"/>
      <c r="Q28" s="210"/>
      <c r="R28" s="210"/>
      <c r="S28" s="210"/>
      <c r="T28" s="210"/>
      <c r="U28" s="210"/>
      <c r="V28" s="210"/>
    </row>
    <row r="29" spans="2:22" x14ac:dyDescent="0.2">
      <c r="B29" s="35" t="s">
        <v>444</v>
      </c>
      <c r="H29" s="36"/>
    </row>
    <row r="30" spans="2:22" x14ac:dyDescent="0.2">
      <c r="B30" s="35" t="s">
        <v>445</v>
      </c>
    </row>
    <row r="31" spans="2:22" x14ac:dyDescent="0.2">
      <c r="B31" s="573" t="s">
        <v>572</v>
      </c>
    </row>
    <row r="32" spans="2:22" x14ac:dyDescent="0.2">
      <c r="B32" s="35" t="s">
        <v>1049</v>
      </c>
    </row>
  </sheetData>
  <mergeCells count="5">
    <mergeCell ref="B4:L4"/>
    <mergeCell ref="D5:F5"/>
    <mergeCell ref="G5:I5"/>
    <mergeCell ref="J5:L5"/>
    <mergeCell ref="K28:L28"/>
  </mergeCells>
  <pageMargins left="0.7" right="0.7" top="0.75" bottom="0.75" header="0.3" footer="0.3"/>
  <ignoredErrors>
    <ignoredError sqref="D7:I7 K7:L7" formulaRange="1"/>
  </ignoredError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2:K37"/>
  <sheetViews>
    <sheetView showGridLines="0" zoomScaleNormal="100" workbookViewId="0">
      <selection activeCell="H18" sqref="H18"/>
    </sheetView>
  </sheetViews>
  <sheetFormatPr defaultColWidth="8.85546875" defaultRowHeight="12.75" x14ac:dyDescent="0.2"/>
  <cols>
    <col min="1" max="1" width="8.85546875" style="35"/>
    <col min="2" max="2" width="8.85546875" style="35" customWidth="1"/>
    <col min="3" max="3" width="74.28515625" style="35" bestFit="1" customWidth="1"/>
    <col min="4" max="4" width="9.42578125" style="35" customWidth="1"/>
    <col min="5" max="5" width="34.42578125" style="35" customWidth="1"/>
    <col min="6" max="11" width="10.7109375" style="35" customWidth="1"/>
    <col min="12" max="14" width="9.42578125" style="35" bestFit="1" customWidth="1"/>
    <col min="15" max="16384" width="8.85546875" style="35"/>
  </cols>
  <sheetData>
    <row r="2" spans="2:11" ht="13.5" thickBot="1" x14ac:dyDescent="0.25">
      <c r="B2" s="117"/>
    </row>
    <row r="4" spans="2:11" x14ac:dyDescent="0.2">
      <c r="B4" s="204" t="s">
        <v>208</v>
      </c>
    </row>
    <row r="6" spans="2:11" ht="13.5" thickBot="1" x14ac:dyDescent="0.25">
      <c r="E6" s="205" t="s">
        <v>268</v>
      </c>
      <c r="F6" s="206"/>
      <c r="G6" s="117"/>
      <c r="H6" s="117"/>
      <c r="I6" s="117"/>
      <c r="J6" s="117"/>
      <c r="K6" s="117"/>
    </row>
    <row r="7" spans="2:11" x14ac:dyDescent="0.2">
      <c r="F7" s="207"/>
    </row>
    <row r="8" spans="2:11" x14ac:dyDescent="0.2">
      <c r="E8" s="208" t="s">
        <v>270</v>
      </c>
      <c r="F8" s="207"/>
    </row>
    <row r="9" spans="2:11" x14ac:dyDescent="0.2">
      <c r="E9" s="50"/>
      <c r="F9" s="209">
        <v>2015</v>
      </c>
      <c r="G9" s="209">
        <v>2016</v>
      </c>
      <c r="H9" s="209">
        <v>2017</v>
      </c>
      <c r="I9" s="209">
        <v>2018</v>
      </c>
      <c r="J9" s="209">
        <v>2019</v>
      </c>
      <c r="K9" s="209">
        <v>2020</v>
      </c>
    </row>
    <row r="10" spans="2:11" x14ac:dyDescent="0.2">
      <c r="E10" s="44" t="s">
        <v>5</v>
      </c>
      <c r="F10" s="36">
        <f>'Tabuľka 4'!E9</f>
        <v>-2.4474453061036785</v>
      </c>
      <c r="G10" s="36">
        <f>'Tabuľka 4'!F9</f>
        <v>-2.0651216795301686</v>
      </c>
      <c r="H10" s="36">
        <f>'Tabuľka 4'!G9</f>
        <v>-1.6864954172610547</v>
      </c>
      <c r="I10" s="36">
        <f>'Tabuľka 4'!H9</f>
        <v>-1.1308129031222216</v>
      </c>
      <c r="J10" s="36">
        <f>'Tabuľka 4'!I9</f>
        <v>-0.63012461205133019</v>
      </c>
      <c r="K10" s="36">
        <f>'Tabuľka 4'!J9</f>
        <v>-0.52742428767737259</v>
      </c>
    </row>
    <row r="11" spans="2:11" x14ac:dyDescent="0.2">
      <c r="E11" s="44" t="s">
        <v>181</v>
      </c>
      <c r="F11" s="210">
        <f>'Tabuľka 4'!E6</f>
        <v>-2.7445806862164637</v>
      </c>
      <c r="G11" s="210">
        <f>'Tabuľka 4'!F6</f>
        <v>-2.1911520941153646</v>
      </c>
      <c r="H11" s="210">
        <f>'Tabuľka 4'!G6</f>
        <v>-1.6259539031147603</v>
      </c>
      <c r="I11" s="210">
        <f>'Tabuľka 4'!H6</f>
        <v>-0.82999969762914805</v>
      </c>
      <c r="J11" s="210">
        <f>'Tabuľka 4'!I6</f>
        <v>-0.10000013791542728</v>
      </c>
      <c r="K11" s="210">
        <f>'Tabuľka 4'!J6</f>
        <v>0</v>
      </c>
    </row>
    <row r="12" spans="2:11" x14ac:dyDescent="0.2">
      <c r="E12" s="44" t="s">
        <v>9</v>
      </c>
      <c r="F12" s="36">
        <f>'Tabuľka 4'!E10</f>
        <v>-5.0813522331976113E-2</v>
      </c>
      <c r="G12" s="36">
        <f>'Tabuľka 4'!F10</f>
        <v>0.38232362657350993</v>
      </c>
      <c r="H12" s="36">
        <f>'Tabuľka 4'!G10</f>
        <v>0.37862626226911389</v>
      </c>
      <c r="I12" s="36">
        <f>'Tabuľka 4'!H10</f>
        <v>0.55568251413883307</v>
      </c>
      <c r="J12" s="36">
        <f>'Tabuľka 4'!I10</f>
        <v>0.50068829107089141</v>
      </c>
      <c r="K12" s="36">
        <f>'Tabuľka 4'!J10</f>
        <v>0.1027003243739576</v>
      </c>
    </row>
    <row r="13" spans="2:11" x14ac:dyDescent="0.2">
      <c r="F13" s="207"/>
    </row>
    <row r="14" spans="2:11" x14ac:dyDescent="0.2">
      <c r="F14" s="207"/>
    </row>
    <row r="15" spans="2:11" x14ac:dyDescent="0.2">
      <c r="F15" s="207"/>
    </row>
    <row r="16" spans="2:11" x14ac:dyDescent="0.2">
      <c r="E16" s="208" t="s">
        <v>271</v>
      </c>
      <c r="F16" s="207"/>
    </row>
    <row r="17" spans="2:11" x14ac:dyDescent="0.2">
      <c r="E17" s="50"/>
      <c r="F17" s="209">
        <v>2015</v>
      </c>
      <c r="G17" s="209">
        <v>2016</v>
      </c>
      <c r="H17" s="209">
        <v>2017</v>
      </c>
      <c r="I17" s="209">
        <v>2018</v>
      </c>
      <c r="J17" s="209">
        <v>2019</v>
      </c>
      <c r="K17" s="209">
        <v>2020</v>
      </c>
    </row>
    <row r="18" spans="2:11" x14ac:dyDescent="0.2">
      <c r="E18" s="44" t="s">
        <v>216</v>
      </c>
      <c r="F18" s="36">
        <f>'Tabuľka 7 '!C6</f>
        <v>52.480982290941967</v>
      </c>
      <c r="G18" s="36">
        <f>'Tabuľka 7 '!D6</f>
        <v>51.94451557871907</v>
      </c>
      <c r="H18" s="36">
        <f>'Tabuľka 7 '!E6</f>
        <v>51.116082340070129</v>
      </c>
      <c r="I18" s="36">
        <f>'Tabuľka 7 '!F6</f>
        <v>49.945843575777936</v>
      </c>
      <c r="J18" s="36">
        <f>'Tabuľka 7 '!G6</f>
        <v>47.827914878975811</v>
      </c>
      <c r="K18" s="36">
        <f>'Tabuľka 7 '!H6</f>
        <v>45.509670510470727</v>
      </c>
    </row>
    <row r="19" spans="2:11" x14ac:dyDescent="0.2">
      <c r="E19" s="44" t="s">
        <v>217</v>
      </c>
      <c r="F19" s="36">
        <f>F18-F20</f>
        <v>49.253149452010383</v>
      </c>
      <c r="G19" s="36">
        <f t="shared" ref="G19:K19" si="0">G18-G20</f>
        <v>48.807284213013737</v>
      </c>
      <c r="H19" s="36">
        <f t="shared" si="0"/>
        <v>48.113892241702956</v>
      </c>
      <c r="I19" s="36">
        <f t="shared" si="0"/>
        <v>47.10788567734599</v>
      </c>
      <c r="J19" s="36">
        <f t="shared" si="0"/>
        <v>45.161720531479723</v>
      </c>
      <c r="K19" s="36">
        <f t="shared" si="0"/>
        <v>42.995160636159824</v>
      </c>
    </row>
    <row r="20" spans="2:11" x14ac:dyDescent="0.2">
      <c r="E20" s="44" t="s">
        <v>218</v>
      </c>
      <c r="F20" s="36">
        <f>'Tabuľka 7 '!C8+'Tabuľka 7 '!C9</f>
        <v>3.2278328389315822</v>
      </c>
      <c r="G20" s="36">
        <f>'Tabuľka 7 '!D8+'Tabuľka 7 '!D9</f>
        <v>3.1372313657053303</v>
      </c>
      <c r="H20" s="36">
        <f>'Tabuľka 7 '!E8+'Tabuľka 7 '!E9</f>
        <v>3.002190098367175</v>
      </c>
      <c r="I20" s="36">
        <f>'Tabuľka 7 '!F8+'Tabuľka 7 '!F9</f>
        <v>2.8379578984319469</v>
      </c>
      <c r="J20" s="36">
        <f>'Tabuľka 7 '!G8+'Tabuľka 7 '!G9</f>
        <v>2.6661943474960896</v>
      </c>
      <c r="K20" s="36">
        <f>'Tabuľka 7 '!H8+'Tabuľka 7 '!H9</f>
        <v>2.5145098743109013</v>
      </c>
    </row>
    <row r="21" spans="2:11" x14ac:dyDescent="0.2">
      <c r="E21" s="44" t="s">
        <v>219</v>
      </c>
      <c r="F21" s="36">
        <f>'Tabuľka 7 '!C12</f>
        <v>48.174203597689683</v>
      </c>
      <c r="G21" s="36">
        <f>'Tabuľka 7 '!D12</f>
        <v>47.019375625910939</v>
      </c>
      <c r="H21" s="36">
        <f>'Tabuľka 7 '!E12</f>
        <v>46.709840245483377</v>
      </c>
      <c r="I21" s="36">
        <f>'Tabuľka 7 '!F12</f>
        <v>45.480871476442992</v>
      </c>
      <c r="J21" s="36">
        <f>'Tabuľka 7 '!G12</f>
        <v>43.3</v>
      </c>
      <c r="K21" s="36">
        <f>'Tabuľka 7 '!H12</f>
        <v>41.1</v>
      </c>
    </row>
    <row r="22" spans="2:11" x14ac:dyDescent="0.2">
      <c r="E22" s="44"/>
      <c r="F22" s="210"/>
      <c r="G22" s="210"/>
      <c r="H22" s="210"/>
      <c r="I22" s="210"/>
      <c r="J22" s="210"/>
      <c r="K22" s="210"/>
    </row>
    <row r="23" spans="2:11" x14ac:dyDescent="0.2">
      <c r="E23" s="44" t="s">
        <v>446</v>
      </c>
      <c r="F23" s="35">
        <v>50</v>
      </c>
      <c r="G23" s="35">
        <f>F23</f>
        <v>50</v>
      </c>
      <c r="H23" s="35">
        <f t="shared" ref="H23" si="1">G23</f>
        <v>50</v>
      </c>
      <c r="I23" s="35">
        <f>H23</f>
        <v>50</v>
      </c>
      <c r="J23" s="35">
        <f>I23-1</f>
        <v>49</v>
      </c>
      <c r="K23" s="35">
        <f>J23-1</f>
        <v>48</v>
      </c>
    </row>
    <row r="24" spans="2:11" x14ac:dyDescent="0.2">
      <c r="B24" s="204" t="s">
        <v>209</v>
      </c>
      <c r="E24" s="44" t="s">
        <v>261</v>
      </c>
      <c r="F24" s="211">
        <f>F23+3</f>
        <v>53</v>
      </c>
      <c r="G24" s="211">
        <f t="shared" ref="G24:I24" si="2">G23+3</f>
        <v>53</v>
      </c>
      <c r="H24" s="211">
        <f t="shared" si="2"/>
        <v>53</v>
      </c>
      <c r="I24" s="211">
        <f t="shared" si="2"/>
        <v>53</v>
      </c>
      <c r="J24" s="211">
        <f>J23+3</f>
        <v>52</v>
      </c>
      <c r="K24" s="211">
        <f>K23+3</f>
        <v>51</v>
      </c>
    </row>
    <row r="25" spans="2:11" x14ac:dyDescent="0.2">
      <c r="E25" s="44" t="s">
        <v>262</v>
      </c>
      <c r="F25" s="211">
        <f>F24+2</f>
        <v>55</v>
      </c>
      <c r="G25" s="211">
        <f t="shared" ref="G25:I26" si="3">G24+2</f>
        <v>55</v>
      </c>
      <c r="H25" s="211">
        <f t="shared" si="3"/>
        <v>55</v>
      </c>
      <c r="I25" s="211">
        <f t="shared" si="3"/>
        <v>55</v>
      </c>
      <c r="J25" s="211">
        <f>J24+2</f>
        <v>54</v>
      </c>
      <c r="K25" s="211">
        <f t="shared" ref="K25" si="4">K24+2</f>
        <v>53</v>
      </c>
    </row>
    <row r="26" spans="2:11" x14ac:dyDescent="0.2">
      <c r="E26" s="44" t="s">
        <v>263</v>
      </c>
      <c r="F26" s="211">
        <f>F25+2</f>
        <v>57</v>
      </c>
      <c r="G26" s="211">
        <f t="shared" si="3"/>
        <v>57</v>
      </c>
      <c r="H26" s="211">
        <f t="shared" si="3"/>
        <v>57</v>
      </c>
      <c r="I26" s="211">
        <f t="shared" si="3"/>
        <v>57</v>
      </c>
      <c r="J26" s="211">
        <f>J25+2</f>
        <v>56</v>
      </c>
      <c r="K26" s="211">
        <f>K25+2</f>
        <v>55</v>
      </c>
    </row>
    <row r="36" spans="5:11" x14ac:dyDescent="0.2">
      <c r="E36" s="44"/>
      <c r="F36" s="210"/>
      <c r="G36" s="210"/>
      <c r="H36" s="210"/>
      <c r="I36" s="210"/>
      <c r="J36" s="210"/>
      <c r="K36" s="210"/>
    </row>
    <row r="37" spans="5:11" x14ac:dyDescent="0.2">
      <c r="E37" s="44"/>
      <c r="F37" s="210"/>
      <c r="G37" s="210"/>
      <c r="H37" s="210"/>
      <c r="I37" s="210"/>
      <c r="J37" s="210"/>
      <c r="K37" s="210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3:I40"/>
  <sheetViews>
    <sheetView showGridLines="0" topLeftCell="A4" workbookViewId="0">
      <selection activeCell="E16" sqref="E16"/>
    </sheetView>
  </sheetViews>
  <sheetFormatPr defaultColWidth="9.140625" defaultRowHeight="12.75" x14ac:dyDescent="0.2"/>
  <cols>
    <col min="1" max="1" width="9.140625" style="35"/>
    <col min="2" max="2" width="59.42578125" style="35" customWidth="1"/>
    <col min="3" max="3" width="12.7109375" style="35" customWidth="1"/>
    <col min="4" max="4" width="10.7109375" style="35" customWidth="1"/>
    <col min="5" max="5" width="9.7109375" style="35" bestFit="1" customWidth="1"/>
    <col min="6" max="6" width="5.7109375" style="35" customWidth="1"/>
    <col min="7" max="7" width="12.5703125" style="35" customWidth="1"/>
    <col min="8" max="8" width="9.140625" style="35"/>
    <col min="9" max="9" width="9.140625" style="215"/>
    <col min="10" max="16384" width="9.140625" style="35"/>
  </cols>
  <sheetData>
    <row r="3" spans="1:8" x14ac:dyDescent="0.2">
      <c r="A3" s="97"/>
      <c r="C3" s="97"/>
      <c r="D3" s="97"/>
      <c r="E3" s="97"/>
      <c r="F3" s="97"/>
      <c r="G3" s="97"/>
    </row>
    <row r="4" spans="1:8" ht="16.5" customHeight="1" thickBot="1" x14ac:dyDescent="0.25">
      <c r="A4" s="97"/>
      <c r="B4" s="850" t="s">
        <v>195</v>
      </c>
      <c r="C4" s="850"/>
      <c r="D4" s="850"/>
      <c r="E4" s="850"/>
      <c r="F4" s="850"/>
      <c r="G4" s="850"/>
    </row>
    <row r="5" spans="1:8" ht="16.5" customHeight="1" thickBot="1" x14ac:dyDescent="0.25">
      <c r="A5" s="97"/>
      <c r="B5" s="574" t="s">
        <v>196</v>
      </c>
      <c r="C5" s="575" t="s">
        <v>72</v>
      </c>
      <c r="D5" s="575" t="s">
        <v>73</v>
      </c>
      <c r="E5" s="575">
        <v>2018</v>
      </c>
      <c r="F5" s="576">
        <v>2019</v>
      </c>
      <c r="G5" s="575">
        <v>2020</v>
      </c>
    </row>
    <row r="6" spans="1:8" ht="16.5" customHeight="1" x14ac:dyDescent="0.2">
      <c r="A6" s="97"/>
      <c r="B6" s="577" t="s">
        <v>197</v>
      </c>
      <c r="C6" s="578" t="s">
        <v>198</v>
      </c>
      <c r="D6" s="579"/>
      <c r="E6" s="580">
        <v>0.21</v>
      </c>
      <c r="F6" s="580">
        <v>0.3</v>
      </c>
      <c r="G6" s="580">
        <v>0.33</v>
      </c>
      <c r="H6" s="97"/>
    </row>
    <row r="7" spans="1:8" ht="16.5" customHeight="1" x14ac:dyDescent="0.2">
      <c r="A7" s="97"/>
      <c r="B7" s="581" t="s">
        <v>199</v>
      </c>
      <c r="C7" s="582" t="s">
        <v>198</v>
      </c>
      <c r="D7" s="582" t="s">
        <v>46</v>
      </c>
      <c r="E7" s="583">
        <v>0.14000000000000001</v>
      </c>
      <c r="F7" s="583">
        <v>0.12</v>
      </c>
      <c r="G7" s="583">
        <v>0.11</v>
      </c>
      <c r="H7" s="97"/>
    </row>
    <row r="8" spans="1:8" ht="16.5" customHeight="1" x14ac:dyDescent="0.2">
      <c r="A8" s="97"/>
      <c r="B8" s="581" t="s">
        <v>200</v>
      </c>
      <c r="C8" s="582" t="s">
        <v>198</v>
      </c>
      <c r="D8" s="582" t="s">
        <v>48</v>
      </c>
      <c r="E8" s="583">
        <v>-0.01</v>
      </c>
      <c r="F8" s="583">
        <v>-0.01</v>
      </c>
      <c r="G8" s="583">
        <v>-0.02</v>
      </c>
      <c r="H8" s="97"/>
    </row>
    <row r="9" spans="1:8" ht="16.5" customHeight="1" thickBot="1" x14ac:dyDescent="0.25">
      <c r="A9" s="97"/>
      <c r="B9" s="584" t="s">
        <v>201</v>
      </c>
      <c r="C9" s="585" t="s">
        <v>198</v>
      </c>
      <c r="D9" s="585" t="s">
        <v>52</v>
      </c>
      <c r="E9" s="586">
        <v>0.08</v>
      </c>
      <c r="F9" s="586">
        <v>0.08</v>
      </c>
      <c r="G9" s="586">
        <v>0.08</v>
      </c>
      <c r="H9" s="97"/>
    </row>
    <row r="10" spans="1:8" ht="16.5" customHeight="1" thickBot="1" x14ac:dyDescent="0.25">
      <c r="A10" s="97"/>
      <c r="B10" s="584" t="s">
        <v>436</v>
      </c>
      <c r="C10" s="587" t="s">
        <v>74</v>
      </c>
      <c r="D10" s="587" t="s">
        <v>437</v>
      </c>
      <c r="E10" s="586">
        <v>0.12</v>
      </c>
      <c r="F10" s="586">
        <v>0.04</v>
      </c>
      <c r="G10" s="586">
        <v>-0.02</v>
      </c>
      <c r="H10" s="97"/>
    </row>
    <row r="11" spans="1:8" ht="13.5" thickBot="1" x14ac:dyDescent="0.25">
      <c r="A11" s="97"/>
      <c r="B11" s="584" t="s">
        <v>433</v>
      </c>
      <c r="C11" s="587" t="s">
        <v>74</v>
      </c>
      <c r="D11" s="587"/>
      <c r="E11" s="586">
        <v>-0.16</v>
      </c>
      <c r="F11" s="586">
        <v>-0.11</v>
      </c>
      <c r="G11" s="586">
        <v>-0.06</v>
      </c>
      <c r="H11" s="97"/>
    </row>
    <row r="12" spans="1:8" ht="13.5" thickBot="1" x14ac:dyDescent="0.25">
      <c r="A12" s="97"/>
      <c r="B12" s="584" t="s">
        <v>668</v>
      </c>
      <c r="C12" s="587" t="s">
        <v>74</v>
      </c>
      <c r="D12" s="587"/>
      <c r="E12" s="586"/>
      <c r="F12" s="586">
        <v>0.11</v>
      </c>
      <c r="G12" s="586">
        <v>0.16</v>
      </c>
      <c r="H12" s="97"/>
    </row>
    <row r="13" spans="1:8" ht="18.75" customHeight="1" thickBot="1" x14ac:dyDescent="0.25">
      <c r="A13" s="97"/>
      <c r="B13" s="588" t="s">
        <v>666</v>
      </c>
      <c r="C13" s="585"/>
      <c r="D13" s="585"/>
      <c r="E13" s="589">
        <v>0.17</v>
      </c>
      <c r="F13" s="589">
        <v>0.23</v>
      </c>
      <c r="G13" s="589">
        <v>0.26</v>
      </c>
      <c r="H13" s="97"/>
    </row>
    <row r="14" spans="1:8" ht="16.5" customHeight="1" x14ac:dyDescent="0.2">
      <c r="A14" s="97"/>
      <c r="B14" s="590"/>
      <c r="C14" s="591"/>
      <c r="D14" s="592"/>
      <c r="E14" s="593"/>
      <c r="F14" s="594"/>
      <c r="G14" s="593"/>
      <c r="H14" s="97"/>
    </row>
    <row r="15" spans="1:8" ht="16.5" customHeight="1" thickBot="1" x14ac:dyDescent="0.25">
      <c r="A15" s="97"/>
      <c r="B15" s="574" t="s">
        <v>438</v>
      </c>
      <c r="C15" s="117"/>
      <c r="D15" s="117"/>
      <c r="E15" s="117"/>
      <c r="F15" s="117"/>
      <c r="G15" s="117"/>
      <c r="H15" s="97"/>
    </row>
    <row r="16" spans="1:8" ht="16.5" customHeight="1" x14ac:dyDescent="0.2">
      <c r="A16" s="97"/>
      <c r="B16" s="93" t="s">
        <v>404</v>
      </c>
      <c r="C16" s="595" t="s">
        <v>74</v>
      </c>
      <c r="D16" s="595" t="s">
        <v>405</v>
      </c>
      <c r="E16" s="596">
        <v>-0.2</v>
      </c>
      <c r="F16" s="596">
        <v>-0.28999999999999998</v>
      </c>
      <c r="G16" s="596">
        <v>-0.21</v>
      </c>
      <c r="H16" s="97"/>
    </row>
    <row r="17" spans="1:9" ht="16.5" customHeight="1" x14ac:dyDescent="0.2">
      <c r="A17" s="97"/>
      <c r="B17" s="581" t="s">
        <v>406</v>
      </c>
      <c r="C17" s="578"/>
      <c r="D17" s="582"/>
      <c r="E17" s="583">
        <v>-0.24</v>
      </c>
      <c r="F17" s="583">
        <v>-0.3</v>
      </c>
      <c r="G17" s="583">
        <v>-0.38</v>
      </c>
      <c r="H17" s="97"/>
    </row>
    <row r="18" spans="1:9" ht="16.5" customHeight="1" x14ac:dyDescent="0.2">
      <c r="A18" s="97"/>
      <c r="B18" s="581" t="s">
        <v>407</v>
      </c>
      <c r="C18" s="578"/>
      <c r="D18" s="582"/>
      <c r="E18" s="583">
        <v>-0.01</v>
      </c>
      <c r="F18" s="583">
        <v>-0.02</v>
      </c>
      <c r="G18" s="583">
        <v>-0.02</v>
      </c>
      <c r="H18" s="97"/>
    </row>
    <row r="19" spans="1:9" ht="16.5" customHeight="1" x14ac:dyDescent="0.2">
      <c r="A19" s="97"/>
      <c r="B19" s="597" t="s">
        <v>408</v>
      </c>
      <c r="C19" s="598" t="s">
        <v>74</v>
      </c>
      <c r="D19" s="598" t="s">
        <v>60</v>
      </c>
      <c r="E19" s="599">
        <v>-0.18</v>
      </c>
      <c r="F19" s="599">
        <v>0.08</v>
      </c>
      <c r="G19" s="599">
        <v>-0.25</v>
      </c>
      <c r="H19" s="97"/>
    </row>
    <row r="20" spans="1:9" ht="16.5" customHeight="1" x14ac:dyDescent="0.2">
      <c r="A20" s="97"/>
      <c r="B20" s="581" t="s">
        <v>409</v>
      </c>
      <c r="C20" s="300"/>
      <c r="D20" s="595"/>
      <c r="E20" s="600">
        <v>-0.16</v>
      </c>
      <c r="F20" s="600">
        <v>0</v>
      </c>
      <c r="G20" s="600">
        <v>0</v>
      </c>
      <c r="H20" s="97"/>
    </row>
    <row r="21" spans="1:9" ht="16.5" customHeight="1" x14ac:dyDescent="0.2">
      <c r="A21" s="97"/>
      <c r="B21" s="597" t="s">
        <v>61</v>
      </c>
      <c r="C21" s="598" t="s">
        <v>74</v>
      </c>
      <c r="D21" s="598" t="s">
        <v>410</v>
      </c>
      <c r="E21" s="599">
        <v>0.01</v>
      </c>
      <c r="F21" s="599">
        <v>0.01</v>
      </c>
      <c r="G21" s="599">
        <v>0.01</v>
      </c>
      <c r="H21" s="97"/>
    </row>
    <row r="22" spans="1:9" ht="16.5" customHeight="1" x14ac:dyDescent="0.2">
      <c r="A22" s="97"/>
      <c r="B22" s="597" t="s">
        <v>411</v>
      </c>
      <c r="C22" s="598" t="s">
        <v>74</v>
      </c>
      <c r="D22" s="598" t="s">
        <v>412</v>
      </c>
      <c r="E22" s="601">
        <v>-0.23</v>
      </c>
      <c r="F22" s="601">
        <v>-0.28000000000000003</v>
      </c>
      <c r="G22" s="601">
        <v>-0.3</v>
      </c>
      <c r="H22" s="97"/>
      <c r="I22" s="602"/>
    </row>
    <row r="23" spans="1:9" x14ac:dyDescent="0.2">
      <c r="B23" s="67" t="s">
        <v>413</v>
      </c>
      <c r="C23" s="76" t="s">
        <v>414</v>
      </c>
      <c r="D23" s="76"/>
      <c r="E23" s="600">
        <v>-0.1</v>
      </c>
      <c r="F23" s="603">
        <v>-0.12</v>
      </c>
      <c r="G23" s="603">
        <v>-0.15</v>
      </c>
      <c r="H23" s="210"/>
    </row>
    <row r="24" spans="1:9" x14ac:dyDescent="0.2">
      <c r="B24" s="388" t="s">
        <v>415</v>
      </c>
      <c r="C24" s="76" t="s">
        <v>414</v>
      </c>
      <c r="D24" s="76"/>
      <c r="E24" s="600">
        <v>-0.06</v>
      </c>
      <c r="F24" s="603">
        <v>-0.05</v>
      </c>
      <c r="G24" s="603">
        <v>-0.04</v>
      </c>
    </row>
    <row r="25" spans="1:9" x14ac:dyDescent="0.2">
      <c r="B25" s="581" t="s">
        <v>416</v>
      </c>
      <c r="C25" s="330" t="s">
        <v>414</v>
      </c>
      <c r="D25" s="330"/>
      <c r="E25" s="600">
        <v>-0.02</v>
      </c>
      <c r="F25" s="604">
        <v>-0.06</v>
      </c>
      <c r="G25" s="604">
        <v>-0.06</v>
      </c>
    </row>
    <row r="26" spans="1:9" x14ac:dyDescent="0.2">
      <c r="B26" s="67" t="s">
        <v>417</v>
      </c>
      <c r="C26" s="76" t="s">
        <v>414</v>
      </c>
      <c r="D26" s="76"/>
      <c r="E26" s="600">
        <v>-0.05</v>
      </c>
      <c r="F26" s="603">
        <v>-0.05</v>
      </c>
      <c r="G26" s="603">
        <v>-0.04</v>
      </c>
    </row>
    <row r="27" spans="1:9" x14ac:dyDescent="0.2">
      <c r="B27" s="597" t="s">
        <v>418</v>
      </c>
      <c r="C27" s="598" t="s">
        <v>74</v>
      </c>
      <c r="D27" s="598" t="s">
        <v>419</v>
      </c>
      <c r="E27" s="601">
        <v>0.03</v>
      </c>
      <c r="F27" s="601">
        <v>-0.01</v>
      </c>
      <c r="G27" s="601">
        <v>-0.01</v>
      </c>
    </row>
    <row r="28" spans="1:9" x14ac:dyDescent="0.2">
      <c r="B28" s="581" t="s">
        <v>420</v>
      </c>
      <c r="C28" s="86" t="s">
        <v>421</v>
      </c>
      <c r="D28" s="333"/>
      <c r="E28" s="600">
        <v>0.03</v>
      </c>
      <c r="F28" s="603">
        <v>-0.01</v>
      </c>
      <c r="G28" s="603">
        <v>-0.02</v>
      </c>
    </row>
    <row r="29" spans="1:9" s="44" customFormat="1" x14ac:dyDescent="0.2">
      <c r="B29" s="605" t="s">
        <v>422</v>
      </c>
      <c r="C29" s="606" t="s">
        <v>74</v>
      </c>
      <c r="D29" s="606"/>
      <c r="E29" s="607">
        <v>-0.14000000000000001</v>
      </c>
      <c r="F29" s="608">
        <v>-0.1</v>
      </c>
      <c r="G29" s="608">
        <v>-0.13</v>
      </c>
      <c r="I29" s="208"/>
    </row>
    <row r="30" spans="1:9" x14ac:dyDescent="0.2">
      <c r="B30" s="581" t="s">
        <v>423</v>
      </c>
      <c r="C30" s="60"/>
      <c r="D30" s="60"/>
      <c r="E30" s="583">
        <v>-0.06</v>
      </c>
      <c r="F30" s="583">
        <v>-0.05</v>
      </c>
      <c r="G30" s="583">
        <v>-0.05</v>
      </c>
    </row>
    <row r="31" spans="1:9" x14ac:dyDescent="0.2">
      <c r="B31" s="597" t="s">
        <v>424</v>
      </c>
      <c r="C31" s="598" t="s">
        <v>74</v>
      </c>
      <c r="D31" s="609"/>
      <c r="E31" s="599">
        <v>-0.34</v>
      </c>
      <c r="F31" s="599">
        <v>-0.04</v>
      </c>
      <c r="G31" s="599">
        <v>-0.05</v>
      </c>
    </row>
    <row r="32" spans="1:9" x14ac:dyDescent="0.2">
      <c r="B32" s="581" t="s">
        <v>425</v>
      </c>
      <c r="C32" s="60" t="s">
        <v>414</v>
      </c>
      <c r="D32" s="60" t="s">
        <v>426</v>
      </c>
      <c r="E32" s="600">
        <v>-7.0000000000000007E-2</v>
      </c>
      <c r="F32" s="600">
        <v>-0.01</v>
      </c>
      <c r="G32" s="600">
        <v>0</v>
      </c>
    </row>
    <row r="33" spans="2:7" x14ac:dyDescent="0.2">
      <c r="B33" s="581" t="s">
        <v>427</v>
      </c>
      <c r="C33" s="60" t="s">
        <v>414</v>
      </c>
      <c r="D33" s="60" t="s">
        <v>426</v>
      </c>
      <c r="E33" s="600">
        <v>-0.1</v>
      </c>
      <c r="F33" s="600">
        <v>-0.1</v>
      </c>
      <c r="G33" s="600">
        <v>-0.4</v>
      </c>
    </row>
    <row r="34" spans="2:7" x14ac:dyDescent="0.2">
      <c r="B34" s="581" t="s">
        <v>428</v>
      </c>
      <c r="C34" s="60" t="s">
        <v>414</v>
      </c>
      <c r="D34" s="60" t="s">
        <v>426</v>
      </c>
      <c r="E34" s="583">
        <v>-0.1</v>
      </c>
      <c r="F34" s="583">
        <v>0</v>
      </c>
      <c r="G34" s="583">
        <v>0</v>
      </c>
    </row>
    <row r="35" spans="2:7" x14ac:dyDescent="0.2">
      <c r="B35" s="581" t="s">
        <v>429</v>
      </c>
      <c r="C35" s="60" t="s">
        <v>414</v>
      </c>
      <c r="D35" s="60" t="s">
        <v>426</v>
      </c>
      <c r="E35" s="600">
        <v>-0.03</v>
      </c>
      <c r="F35" s="600">
        <v>0</v>
      </c>
      <c r="G35" s="600">
        <v>0</v>
      </c>
    </row>
    <row r="36" spans="2:7" x14ac:dyDescent="0.2">
      <c r="B36" s="581" t="s">
        <v>430</v>
      </c>
      <c r="C36" s="60" t="s">
        <v>414</v>
      </c>
      <c r="D36" s="60" t="s">
        <v>431</v>
      </c>
      <c r="E36" s="600">
        <v>-0.18</v>
      </c>
      <c r="F36" s="600">
        <v>-0.05</v>
      </c>
      <c r="G36" s="600">
        <v>-0.04</v>
      </c>
    </row>
    <row r="37" spans="2:7" ht="13.5" thickBot="1" x14ac:dyDescent="0.25">
      <c r="B37" s="610" t="s">
        <v>669</v>
      </c>
      <c r="C37" s="611" t="s">
        <v>74</v>
      </c>
      <c r="D37" s="611"/>
      <c r="E37" s="612" t="s">
        <v>2</v>
      </c>
      <c r="F37" s="612">
        <v>0.11</v>
      </c>
      <c r="G37" s="612">
        <v>0.11</v>
      </c>
    </row>
    <row r="38" spans="2:7" x14ac:dyDescent="0.2">
      <c r="B38" s="93" t="s">
        <v>435</v>
      </c>
      <c r="C38" s="613"/>
      <c r="D38" s="614"/>
      <c r="E38" s="599">
        <v>-1.05</v>
      </c>
      <c r="F38" s="599">
        <v>-0.51</v>
      </c>
      <c r="G38" s="599">
        <v>-0.82</v>
      </c>
    </row>
    <row r="39" spans="2:7" x14ac:dyDescent="0.2">
      <c r="B39" s="125" t="s">
        <v>432</v>
      </c>
      <c r="C39" s="615"/>
      <c r="D39" s="615"/>
      <c r="E39" s="616"/>
      <c r="F39" s="617"/>
      <c r="G39" s="618" t="s">
        <v>8</v>
      </c>
    </row>
    <row r="40" spans="2:7" x14ac:dyDescent="0.2">
      <c r="B40" s="573" t="s">
        <v>667</v>
      </c>
      <c r="F40" s="619"/>
      <c r="G40" s="619"/>
    </row>
  </sheetData>
  <mergeCells count="1">
    <mergeCell ref="B4:G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/>
  <dimension ref="B4:I23"/>
  <sheetViews>
    <sheetView showGridLines="0" workbookViewId="0">
      <selection activeCell="B25" sqref="B25"/>
    </sheetView>
  </sheetViews>
  <sheetFormatPr defaultColWidth="9.140625" defaultRowHeight="12.75" x14ac:dyDescent="0.2"/>
  <cols>
    <col min="1" max="1" width="9.140625" style="35"/>
    <col min="2" max="2" width="60.5703125" style="35" customWidth="1"/>
    <col min="3" max="3" width="18.5703125" style="35" customWidth="1"/>
    <col min="4" max="4" width="11.42578125" style="35" bestFit="1" customWidth="1"/>
    <col min="5" max="5" width="13.85546875" style="35" bestFit="1" customWidth="1"/>
    <col min="6" max="16384" width="9.140625" style="35"/>
  </cols>
  <sheetData>
    <row r="4" spans="2:9" ht="13.5" thickBot="1" x14ac:dyDescent="0.25">
      <c r="B4" s="620" t="s">
        <v>623</v>
      </c>
      <c r="C4" s="620"/>
      <c r="D4" s="620"/>
      <c r="E4" s="620"/>
      <c r="I4" s="428"/>
    </row>
    <row r="5" spans="2:9" ht="17.25" customHeight="1" thickBot="1" x14ac:dyDescent="0.25">
      <c r="B5" s="621"/>
      <c r="C5" s="622" t="s">
        <v>202</v>
      </c>
      <c r="D5" s="623">
        <v>2017</v>
      </c>
      <c r="E5" s="624" t="s">
        <v>403</v>
      </c>
    </row>
    <row r="6" spans="2:9" x14ac:dyDescent="0.2">
      <c r="B6" s="625" t="s">
        <v>463</v>
      </c>
      <c r="C6" s="626" t="s">
        <v>405</v>
      </c>
      <c r="D6" s="627">
        <v>14</v>
      </c>
      <c r="E6" s="628">
        <v>0.02</v>
      </c>
    </row>
    <row r="7" spans="2:9" x14ac:dyDescent="0.2">
      <c r="B7" s="629" t="s">
        <v>464</v>
      </c>
      <c r="C7" s="626" t="s">
        <v>465</v>
      </c>
      <c r="D7" s="630">
        <v>44</v>
      </c>
      <c r="E7" s="628">
        <v>0.05</v>
      </c>
    </row>
    <row r="8" spans="2:9" x14ac:dyDescent="0.2">
      <c r="B8" s="629" t="s">
        <v>466</v>
      </c>
      <c r="C8" s="626" t="s">
        <v>467</v>
      </c>
      <c r="D8" s="630">
        <v>27</v>
      </c>
      <c r="E8" s="628">
        <v>0.04</v>
      </c>
    </row>
    <row r="9" spans="2:9" x14ac:dyDescent="0.2">
      <c r="B9" s="629" t="s">
        <v>468</v>
      </c>
      <c r="C9" s="626" t="s">
        <v>469</v>
      </c>
      <c r="D9" s="630">
        <v>335</v>
      </c>
      <c r="E9" s="628">
        <v>0.42</v>
      </c>
    </row>
    <row r="10" spans="2:9" x14ac:dyDescent="0.2">
      <c r="B10" s="629" t="s">
        <v>470</v>
      </c>
      <c r="C10" s="626" t="s">
        <v>471</v>
      </c>
      <c r="D10" s="630">
        <v>256</v>
      </c>
      <c r="E10" s="628">
        <v>0.3</v>
      </c>
    </row>
    <row r="11" spans="2:9" x14ac:dyDescent="0.2">
      <c r="B11" s="629" t="s">
        <v>1050</v>
      </c>
      <c r="C11" s="626" t="s">
        <v>471</v>
      </c>
      <c r="D11" s="630">
        <v>83</v>
      </c>
      <c r="E11" s="628">
        <v>0.1</v>
      </c>
    </row>
    <row r="12" spans="2:9" x14ac:dyDescent="0.2">
      <c r="B12" s="629" t="s">
        <v>1051</v>
      </c>
      <c r="C12" s="626" t="s">
        <v>426</v>
      </c>
      <c r="D12" s="630">
        <v>16</v>
      </c>
      <c r="E12" s="628">
        <v>0.02</v>
      </c>
    </row>
    <row r="13" spans="2:9" x14ac:dyDescent="0.2">
      <c r="B13" s="629" t="s">
        <v>472</v>
      </c>
      <c r="C13" s="626" t="s">
        <v>473</v>
      </c>
      <c r="D13" s="630">
        <v>143</v>
      </c>
      <c r="E13" s="628">
        <v>0.17</v>
      </c>
    </row>
    <row r="14" spans="2:9" x14ac:dyDescent="0.2">
      <c r="B14" s="629" t="s">
        <v>474</v>
      </c>
      <c r="C14" s="626" t="s">
        <v>473</v>
      </c>
      <c r="D14" s="630">
        <v>78</v>
      </c>
      <c r="E14" s="628">
        <v>0.09</v>
      </c>
    </row>
    <row r="15" spans="2:9" x14ac:dyDescent="0.2">
      <c r="B15" s="631" t="s">
        <v>475</v>
      </c>
      <c r="C15" s="632" t="s">
        <v>473</v>
      </c>
      <c r="D15" s="633">
        <v>43</v>
      </c>
      <c r="E15" s="628">
        <v>0.04</v>
      </c>
    </row>
    <row r="16" spans="2:9" x14ac:dyDescent="0.2">
      <c r="B16" s="631" t="s">
        <v>476</v>
      </c>
      <c r="C16" s="632" t="s">
        <v>473</v>
      </c>
      <c r="D16" s="633">
        <v>12</v>
      </c>
      <c r="E16" s="628">
        <v>0.01</v>
      </c>
    </row>
    <row r="17" spans="2:9" x14ac:dyDescent="0.2">
      <c r="B17" s="629" t="s">
        <v>477</v>
      </c>
      <c r="C17" s="626" t="s">
        <v>478</v>
      </c>
      <c r="D17" s="630">
        <v>13</v>
      </c>
      <c r="E17" s="628">
        <v>0.02</v>
      </c>
    </row>
    <row r="18" spans="2:9" ht="13.5" thickBot="1" x14ac:dyDescent="0.25">
      <c r="B18" s="634" t="s">
        <v>479</v>
      </c>
      <c r="C18" s="635"/>
      <c r="D18" s="636">
        <v>175</v>
      </c>
      <c r="E18" s="637">
        <v>0.21</v>
      </c>
    </row>
    <row r="19" spans="2:9" ht="13.5" thickBot="1" x14ac:dyDescent="0.25">
      <c r="B19" s="638" t="s">
        <v>480</v>
      </c>
      <c r="C19" s="639"/>
      <c r="D19" s="640">
        <v>771</v>
      </c>
      <c r="E19" s="641">
        <v>0.91000000000000014</v>
      </c>
      <c r="F19" s="210"/>
    </row>
    <row r="20" spans="2:9" ht="39" customHeight="1" x14ac:dyDescent="0.2">
      <c r="B20" s="852" t="s">
        <v>481</v>
      </c>
      <c r="C20" s="852"/>
      <c r="D20" s="851" t="s">
        <v>3</v>
      </c>
      <c r="E20" s="851"/>
    </row>
    <row r="21" spans="2:9" x14ac:dyDescent="0.2">
      <c r="B21" s="642"/>
      <c r="C21" s="235"/>
    </row>
    <row r="22" spans="2:9" x14ac:dyDescent="0.2">
      <c r="E22" s="210"/>
    </row>
    <row r="23" spans="2:9" x14ac:dyDescent="0.2">
      <c r="I23" s="643"/>
    </row>
  </sheetData>
  <mergeCells count="2">
    <mergeCell ref="D20:E20"/>
    <mergeCell ref="B20:C20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B4:G11"/>
  <sheetViews>
    <sheetView showGridLines="0" workbookViewId="0">
      <selection activeCell="E8" sqref="E8"/>
    </sheetView>
  </sheetViews>
  <sheetFormatPr defaultColWidth="9.140625" defaultRowHeight="12.75" x14ac:dyDescent="0.2"/>
  <cols>
    <col min="1" max="1" width="9.140625" style="35"/>
    <col min="2" max="2" width="46.42578125" style="35" customWidth="1"/>
    <col min="3" max="3" width="7.7109375" style="35" customWidth="1"/>
    <col min="4" max="4" width="7.5703125" style="35" customWidth="1"/>
    <col min="5" max="5" width="12.42578125" style="35" customWidth="1"/>
    <col min="6" max="16384" width="9.140625" style="35"/>
  </cols>
  <sheetData>
    <row r="4" spans="2:7" x14ac:dyDescent="0.2">
      <c r="B4" s="644" t="s">
        <v>203</v>
      </c>
      <c r="C4" s="644"/>
      <c r="D4" s="644"/>
      <c r="E4" s="644"/>
      <c r="F4" s="644"/>
      <c r="G4" s="644"/>
    </row>
    <row r="5" spans="2:7" ht="13.5" thickBot="1" x14ac:dyDescent="0.25">
      <c r="B5" s="645"/>
      <c r="C5" s="646">
        <v>2018</v>
      </c>
      <c r="D5" s="646">
        <v>2019</v>
      </c>
      <c r="E5" s="646">
        <v>2020</v>
      </c>
      <c r="G5" s="428"/>
    </row>
    <row r="6" spans="2:7" x14ac:dyDescent="0.2">
      <c r="B6" s="647" t="s">
        <v>204</v>
      </c>
      <c r="C6" s="648">
        <f>'Tabuľka 11'!G27</f>
        <v>-0.82999969585006994</v>
      </c>
      <c r="D6" s="648">
        <f>'Tabuľka 11'!H27</f>
        <v>-0.10000013751712089</v>
      </c>
      <c r="E6" s="648">
        <f>'Tabuľka 11'!I27</f>
        <v>0</v>
      </c>
    </row>
    <row r="7" spans="2:7" x14ac:dyDescent="0.2">
      <c r="B7" s="647" t="s">
        <v>393</v>
      </c>
      <c r="C7" s="648">
        <f>'Graf 34'!H4</f>
        <v>-0.82999969762914805</v>
      </c>
      <c r="D7" s="648">
        <f>'Graf 34'!I4</f>
        <v>-0.32484167369140921</v>
      </c>
      <c r="E7" s="648">
        <f>'Graf 34'!J4</f>
        <v>-0.2703050705834002</v>
      </c>
    </row>
    <row r="8" spans="2:7" ht="13.5" thickBot="1" x14ac:dyDescent="0.25">
      <c r="B8" s="32" t="s">
        <v>394</v>
      </c>
      <c r="C8" s="649">
        <f>'Tabuľka 11'!D27</f>
        <v>5.4411951800744873E-2</v>
      </c>
      <c r="D8" s="649">
        <f>'Tabuľka 11'!E27</f>
        <v>0.17178007014191365</v>
      </c>
      <c r="E8" s="649">
        <f>'Tabuľka 11'!F27</f>
        <v>0.56249490254067069</v>
      </c>
    </row>
    <row r="9" spans="2:7" x14ac:dyDescent="0.2">
      <c r="B9" s="647" t="s">
        <v>439</v>
      </c>
      <c r="C9" s="650">
        <f>C6-C8</f>
        <v>-0.88441164765081481</v>
      </c>
      <c r="D9" s="650">
        <f>D6-D8</f>
        <v>-0.27178020765903455</v>
      </c>
      <c r="E9" s="650">
        <f>E6-E8</f>
        <v>-0.56249490254067069</v>
      </c>
    </row>
    <row r="10" spans="2:7" ht="13.5" thickBot="1" x14ac:dyDescent="0.25">
      <c r="B10" s="651" t="s">
        <v>174</v>
      </c>
      <c r="C10" s="652">
        <v>-0.88</v>
      </c>
      <c r="D10" s="652">
        <v>0.56000000000000005</v>
      </c>
      <c r="E10" s="652">
        <v>-0.31</v>
      </c>
    </row>
    <row r="11" spans="2:7" x14ac:dyDescent="0.2">
      <c r="B11" s="853" t="s">
        <v>3</v>
      </c>
      <c r="C11" s="853"/>
      <c r="D11" s="853"/>
      <c r="E11" s="853"/>
    </row>
  </sheetData>
  <mergeCells count="1">
    <mergeCell ref="B11:E1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B4:AT21"/>
  <sheetViews>
    <sheetView showGridLines="0" zoomScaleNormal="100" workbookViewId="0"/>
  </sheetViews>
  <sheetFormatPr defaultColWidth="9.140625" defaultRowHeight="12.75" x14ac:dyDescent="0.2"/>
  <cols>
    <col min="1" max="8" width="9.140625" style="35"/>
    <col min="9" max="9" width="14.7109375" style="35" customWidth="1"/>
    <col min="10" max="10" width="15.5703125" style="35" customWidth="1"/>
    <col min="11" max="11" width="10.140625" style="35" customWidth="1"/>
    <col min="12" max="12" width="10" style="35" customWidth="1"/>
    <col min="13" max="16384" width="9.140625" style="35"/>
  </cols>
  <sheetData>
    <row r="4" spans="2:46" ht="28.5" customHeight="1" x14ac:dyDescent="0.2">
      <c r="B4" s="854" t="s">
        <v>205</v>
      </c>
      <c r="C4" s="854"/>
      <c r="D4" s="854"/>
      <c r="E4" s="854"/>
      <c r="F4" s="854"/>
      <c r="G4" s="854"/>
      <c r="H4" s="653" t="s">
        <v>308</v>
      </c>
      <c r="I4" s="654" t="s">
        <v>325</v>
      </c>
      <c r="J4" s="654" t="s">
        <v>326</v>
      </c>
      <c r="K4" s="654" t="s">
        <v>327</v>
      </c>
      <c r="L4" s="654" t="s">
        <v>328</v>
      </c>
      <c r="M4" s="654" t="s">
        <v>329</v>
      </c>
      <c r="N4" s="654" t="s">
        <v>330</v>
      </c>
      <c r="O4" s="654" t="s">
        <v>331</v>
      </c>
      <c r="P4" s="654" t="s">
        <v>332</v>
      </c>
      <c r="Q4" s="654" t="s">
        <v>333</v>
      </c>
      <c r="R4" s="654" t="s">
        <v>334</v>
      </c>
      <c r="S4" s="654" t="s">
        <v>335</v>
      </c>
      <c r="T4" s="654" t="s">
        <v>336</v>
      </c>
      <c r="U4" s="654" t="s">
        <v>337</v>
      </c>
      <c r="V4" s="654" t="s">
        <v>338</v>
      </c>
      <c r="W4" s="654" t="s">
        <v>339</v>
      </c>
      <c r="X4" s="654" t="s">
        <v>340</v>
      </c>
      <c r="Y4" s="654" t="s">
        <v>341</v>
      </c>
      <c r="Z4" s="654" t="s">
        <v>342</v>
      </c>
      <c r="AA4" s="654" t="s">
        <v>343</v>
      </c>
      <c r="AB4" s="654" t="s">
        <v>344</v>
      </c>
      <c r="AC4" s="654" t="s">
        <v>345</v>
      </c>
      <c r="AD4" s="654" t="s">
        <v>346</v>
      </c>
      <c r="AE4" s="654" t="s">
        <v>347</v>
      </c>
      <c r="AF4" s="654" t="s">
        <v>348</v>
      </c>
      <c r="AG4" s="654" t="s">
        <v>349</v>
      </c>
      <c r="AH4" s="654" t="s">
        <v>350</v>
      </c>
      <c r="AI4" s="654" t="s">
        <v>351</v>
      </c>
      <c r="AJ4" s="654" t="s">
        <v>352</v>
      </c>
      <c r="AK4" s="654" t="s">
        <v>104</v>
      </c>
      <c r="AL4" s="654" t="s">
        <v>105</v>
      </c>
      <c r="AM4" s="654" t="s">
        <v>106</v>
      </c>
      <c r="AN4" s="654" t="s">
        <v>107</v>
      </c>
      <c r="AO4" s="654" t="s">
        <v>108</v>
      </c>
      <c r="AP4" s="654" t="s">
        <v>109</v>
      </c>
      <c r="AQ4" s="654" t="s">
        <v>365</v>
      </c>
      <c r="AR4" s="654" t="s">
        <v>366</v>
      </c>
      <c r="AS4" s="654" t="s">
        <v>367</v>
      </c>
      <c r="AT4" s="654" t="s">
        <v>368</v>
      </c>
    </row>
    <row r="5" spans="2:46" x14ac:dyDescent="0.2">
      <c r="H5" s="655" t="s">
        <v>247</v>
      </c>
      <c r="I5" s="655">
        <v>10.3</v>
      </c>
      <c r="J5" s="655">
        <v>10.1</v>
      </c>
      <c r="K5" s="655">
        <v>9.1</v>
      </c>
      <c r="L5" s="655">
        <v>8.9</v>
      </c>
      <c r="M5" s="655">
        <v>10.199999999999999</v>
      </c>
      <c r="N5" s="655">
        <v>11.4</v>
      </c>
      <c r="O5" s="655">
        <v>12.8</v>
      </c>
      <c r="P5" s="655">
        <v>14.1</v>
      </c>
      <c r="Q5" s="655">
        <v>14.9</v>
      </c>
      <c r="R5" s="655">
        <v>14.6</v>
      </c>
      <c r="S5" s="655">
        <v>14.4</v>
      </c>
      <c r="T5" s="655">
        <v>14</v>
      </c>
      <c r="U5" s="655">
        <v>13.7</v>
      </c>
      <c r="V5" s="655">
        <v>13.5</v>
      </c>
      <c r="W5" s="655">
        <v>13.6</v>
      </c>
      <c r="X5" s="655">
        <v>14</v>
      </c>
      <c r="Y5" s="655">
        <v>13.8</v>
      </c>
      <c r="Z5" s="655">
        <v>13.8</v>
      </c>
      <c r="AA5" s="655">
        <v>14</v>
      </c>
      <c r="AB5" s="655">
        <v>14.3</v>
      </c>
      <c r="AC5" s="655">
        <v>14.2</v>
      </c>
      <c r="AD5" s="655">
        <v>14.3</v>
      </c>
      <c r="AE5" s="655">
        <v>14.3</v>
      </c>
      <c r="AF5" s="655">
        <v>14.2</v>
      </c>
      <c r="AG5" s="655">
        <v>13.8</v>
      </c>
      <c r="AH5" s="655">
        <v>13.4</v>
      </c>
      <c r="AI5" s="655">
        <v>13</v>
      </c>
      <c r="AJ5" s="655">
        <v>12.6</v>
      </c>
      <c r="AK5" s="655">
        <v>12.1</v>
      </c>
      <c r="AL5" s="655">
        <v>11.5</v>
      </c>
      <c r="AM5" s="655">
        <v>11.4</v>
      </c>
      <c r="AN5" s="655">
        <v>10.9</v>
      </c>
      <c r="AO5" s="655">
        <v>10.199999999999999</v>
      </c>
      <c r="AP5" s="655">
        <v>9.9</v>
      </c>
      <c r="AQ5" s="35">
        <v>9.6</v>
      </c>
      <c r="AR5" s="35">
        <v>9</v>
      </c>
      <c r="AS5" s="35">
        <v>8.5</v>
      </c>
      <c r="AT5" s="35">
        <v>7.9</v>
      </c>
    </row>
    <row r="6" spans="2:46" x14ac:dyDescent="0.2">
      <c r="H6" s="655" t="s">
        <v>177</v>
      </c>
      <c r="I6" s="655">
        <v>4.5</v>
      </c>
      <c r="J6" s="655">
        <v>4.3</v>
      </c>
      <c r="K6" s="655">
        <v>4.3</v>
      </c>
      <c r="L6" s="655">
        <v>4.5</v>
      </c>
      <c r="M6" s="655">
        <v>5.6</v>
      </c>
      <c r="N6" s="655">
        <v>6.5</v>
      </c>
      <c r="O6" s="655">
        <v>7.2</v>
      </c>
      <c r="P6" s="655">
        <v>7.4</v>
      </c>
      <c r="Q6" s="655">
        <v>7.8</v>
      </c>
      <c r="R6" s="655">
        <v>7.3</v>
      </c>
      <c r="S6" s="655">
        <v>7.1</v>
      </c>
      <c r="T6" s="655">
        <v>7</v>
      </c>
      <c r="U6" s="655">
        <v>6.9</v>
      </c>
      <c r="V6" s="655">
        <v>6.8</v>
      </c>
      <c r="W6" s="655">
        <v>6.6</v>
      </c>
      <c r="X6" s="655">
        <v>6.5</v>
      </c>
      <c r="Y6" s="655">
        <v>6.9</v>
      </c>
      <c r="Z6" s="655">
        <v>6.9</v>
      </c>
      <c r="AA6" s="655">
        <v>7</v>
      </c>
      <c r="AB6" s="655">
        <v>7.2</v>
      </c>
      <c r="AC6" s="655">
        <v>7.2</v>
      </c>
      <c r="AD6" s="655">
        <v>7</v>
      </c>
      <c r="AE6" s="655">
        <v>6.9</v>
      </c>
      <c r="AF6" s="655">
        <v>6.8</v>
      </c>
      <c r="AG6" s="655">
        <v>6.6</v>
      </c>
      <c r="AH6" s="655">
        <v>6.2</v>
      </c>
      <c r="AI6" s="655">
        <v>5.9</v>
      </c>
      <c r="AJ6" s="655">
        <v>5.8</v>
      </c>
      <c r="AK6" s="655">
        <v>5.8</v>
      </c>
      <c r="AL6" s="655">
        <v>5.0999999999999996</v>
      </c>
      <c r="AM6" s="655">
        <v>4.8</v>
      </c>
      <c r="AN6" s="655">
        <v>4.5</v>
      </c>
      <c r="AO6" s="655">
        <v>4.2</v>
      </c>
      <c r="AP6" s="655">
        <v>4</v>
      </c>
      <c r="AQ6" s="35">
        <v>4</v>
      </c>
      <c r="AR6" s="35">
        <v>3.6</v>
      </c>
      <c r="AS6" s="35">
        <v>3.3</v>
      </c>
      <c r="AT6" s="35">
        <v>3</v>
      </c>
    </row>
    <row r="7" spans="2:46" x14ac:dyDescent="0.2">
      <c r="H7" s="655" t="s">
        <v>246</v>
      </c>
      <c r="I7" s="655">
        <v>7.6</v>
      </c>
      <c r="J7" s="655">
        <v>7.7</v>
      </c>
      <c r="K7" s="655">
        <v>7.8</v>
      </c>
      <c r="L7" s="655">
        <v>8.1999999999999993</v>
      </c>
      <c r="M7" s="655">
        <v>9.1999999999999993</v>
      </c>
      <c r="N7" s="655">
        <v>9.8000000000000007</v>
      </c>
      <c r="O7" s="655">
        <v>10.4</v>
      </c>
      <c r="P7" s="655">
        <v>10.7</v>
      </c>
      <c r="Q7" s="655">
        <v>11.2</v>
      </c>
      <c r="R7" s="655">
        <v>11.3</v>
      </c>
      <c r="S7" s="655">
        <v>11.1</v>
      </c>
      <c r="T7" s="655">
        <v>11</v>
      </c>
      <c r="U7" s="655">
        <v>11.2</v>
      </c>
      <c r="V7" s="655">
        <v>11</v>
      </c>
      <c r="W7" s="655">
        <v>11</v>
      </c>
      <c r="X7" s="655">
        <v>11</v>
      </c>
      <c r="Y7" s="655">
        <v>11.4</v>
      </c>
      <c r="Z7" s="655">
        <v>11.1</v>
      </c>
      <c r="AA7" s="655">
        <v>10.7</v>
      </c>
      <c r="AB7" s="655">
        <v>10.9</v>
      </c>
      <c r="AC7" s="655">
        <v>10.9</v>
      </c>
      <c r="AD7" s="655">
        <v>10.3</v>
      </c>
      <c r="AE7" s="655">
        <v>10</v>
      </c>
      <c r="AF7" s="655">
        <v>9.1</v>
      </c>
      <c r="AG7" s="655">
        <v>8</v>
      </c>
      <c r="AH7" s="655">
        <v>8.1</v>
      </c>
      <c r="AI7" s="655">
        <v>7.5</v>
      </c>
      <c r="AJ7" s="655">
        <v>7.4</v>
      </c>
      <c r="AK7" s="655">
        <v>7.4</v>
      </c>
      <c r="AL7" s="655">
        <v>6.9</v>
      </c>
      <c r="AM7" s="655">
        <v>6.6</v>
      </c>
      <c r="AN7" s="655">
        <v>6.3</v>
      </c>
      <c r="AO7" s="655">
        <v>5.7</v>
      </c>
      <c r="AP7" s="655">
        <v>5.2</v>
      </c>
      <c r="AQ7" s="35">
        <v>5</v>
      </c>
      <c r="AR7" s="35">
        <v>4.5</v>
      </c>
      <c r="AS7" s="35">
        <v>4.3</v>
      </c>
      <c r="AT7" s="35">
        <v>4.3</v>
      </c>
    </row>
    <row r="8" spans="2:46" x14ac:dyDescent="0.2">
      <c r="H8" s="655" t="s">
        <v>245</v>
      </c>
      <c r="I8" s="655">
        <v>7.5</v>
      </c>
      <c r="J8" s="655">
        <v>7.2</v>
      </c>
      <c r="K8" s="655">
        <v>6.8</v>
      </c>
      <c r="L8" s="655">
        <v>6.8</v>
      </c>
      <c r="M8" s="655">
        <v>7.6</v>
      </c>
      <c r="N8" s="655">
        <v>7.9</v>
      </c>
      <c r="O8" s="655">
        <v>8.3000000000000007</v>
      </c>
      <c r="P8" s="655">
        <v>8.6999999999999993</v>
      </c>
      <c r="Q8" s="655">
        <v>9.6999999999999993</v>
      </c>
      <c r="R8" s="655">
        <v>9.6999999999999993</v>
      </c>
      <c r="S8" s="655">
        <v>9.6</v>
      </c>
      <c r="T8" s="655">
        <v>9.5</v>
      </c>
      <c r="U8" s="655">
        <v>9.4</v>
      </c>
      <c r="V8" s="655">
        <v>9.6</v>
      </c>
      <c r="W8" s="655">
        <v>9.6999999999999993</v>
      </c>
      <c r="X8" s="655">
        <v>9.9</v>
      </c>
      <c r="Y8" s="655">
        <v>9.9</v>
      </c>
      <c r="Z8" s="655">
        <v>10</v>
      </c>
      <c r="AA8" s="655">
        <v>10.3</v>
      </c>
      <c r="AB8" s="655">
        <v>10.4</v>
      </c>
      <c r="AC8" s="655">
        <v>10.5</v>
      </c>
      <c r="AD8" s="655">
        <v>10.5</v>
      </c>
      <c r="AE8" s="655">
        <v>10.3</v>
      </c>
      <c r="AF8" s="655">
        <v>10.1</v>
      </c>
      <c r="AG8" s="655">
        <v>9.8000000000000007</v>
      </c>
      <c r="AH8" s="655">
        <v>9.1999999999999993</v>
      </c>
      <c r="AI8" s="655">
        <v>8.6</v>
      </c>
      <c r="AJ8" s="655">
        <v>8.3000000000000007</v>
      </c>
      <c r="AK8" s="655">
        <v>8</v>
      </c>
      <c r="AL8" s="655">
        <v>7.6</v>
      </c>
      <c r="AM8" s="655">
        <v>7.3</v>
      </c>
      <c r="AN8" s="655">
        <v>7</v>
      </c>
      <c r="AO8" s="655">
        <v>6.7</v>
      </c>
      <c r="AP8" s="655">
        <v>6.3</v>
      </c>
      <c r="AQ8" s="35">
        <v>6</v>
      </c>
      <c r="AR8" s="35">
        <v>5.6</v>
      </c>
      <c r="AS8" s="35">
        <v>5.2</v>
      </c>
      <c r="AT8" s="35">
        <v>5.0999999999999996</v>
      </c>
    </row>
    <row r="9" spans="2:46" x14ac:dyDescent="0.2">
      <c r="H9" s="655" t="s">
        <v>353</v>
      </c>
      <c r="I9" s="655">
        <v>7.3</v>
      </c>
      <c r="J9" s="655">
        <v>7.4</v>
      </c>
      <c r="K9" s="655">
        <v>7.6</v>
      </c>
      <c r="L9" s="655">
        <v>8.1</v>
      </c>
      <c r="M9" s="655">
        <v>9</v>
      </c>
      <c r="N9" s="655">
        <v>9.6</v>
      </c>
      <c r="O9" s="655">
        <v>9.9</v>
      </c>
      <c r="P9" s="655">
        <v>10.1</v>
      </c>
      <c r="Q9" s="655">
        <v>10.199999999999999</v>
      </c>
      <c r="R9" s="655">
        <v>10.3</v>
      </c>
      <c r="S9" s="655">
        <v>10.199999999999999</v>
      </c>
      <c r="T9" s="655">
        <v>10.1</v>
      </c>
      <c r="U9" s="655">
        <v>10</v>
      </c>
      <c r="V9" s="655">
        <v>10</v>
      </c>
      <c r="W9" s="655">
        <v>10.199999999999999</v>
      </c>
      <c r="X9" s="655">
        <v>10.6</v>
      </c>
      <c r="Y9" s="655">
        <v>10.9</v>
      </c>
      <c r="Z9" s="655">
        <v>11.3</v>
      </c>
      <c r="AA9" s="655">
        <v>11.5</v>
      </c>
      <c r="AB9" s="655">
        <v>11.8</v>
      </c>
      <c r="AC9" s="655">
        <v>12</v>
      </c>
      <c r="AD9" s="655">
        <v>12.1</v>
      </c>
      <c r="AE9" s="655">
        <v>12</v>
      </c>
      <c r="AF9" s="655">
        <v>11.9</v>
      </c>
      <c r="AG9" s="655">
        <v>11.9</v>
      </c>
      <c r="AH9" s="655">
        <v>11.6</v>
      </c>
      <c r="AI9" s="655">
        <v>11.5</v>
      </c>
      <c r="AJ9" s="655">
        <v>11.4</v>
      </c>
      <c r="AK9" s="655">
        <v>11.2</v>
      </c>
      <c r="AL9" s="655">
        <v>11</v>
      </c>
      <c r="AM9" s="655">
        <v>10.7</v>
      </c>
      <c r="AN9" s="655">
        <v>10.5</v>
      </c>
      <c r="AO9" s="655">
        <v>10.3</v>
      </c>
      <c r="AP9" s="655">
        <v>10.199999999999999</v>
      </c>
      <c r="AQ9" s="35">
        <v>9.9</v>
      </c>
      <c r="AR9" s="35">
        <v>9.6999999999999993</v>
      </c>
      <c r="AS9" s="35">
        <v>9.5</v>
      </c>
      <c r="AT9" s="35">
        <v>9.1999999999999993</v>
      </c>
    </row>
    <row r="10" spans="2:46" x14ac:dyDescent="0.2">
      <c r="H10" s="656" t="s">
        <v>116</v>
      </c>
      <c r="I10" s="656">
        <v>6.8</v>
      </c>
      <c r="J10" s="656">
        <v>6.9</v>
      </c>
      <c r="K10" s="656">
        <v>7</v>
      </c>
      <c r="L10" s="656">
        <v>7.4</v>
      </c>
      <c r="M10" s="656">
        <v>8.3000000000000007</v>
      </c>
      <c r="N10" s="656">
        <v>8.9</v>
      </c>
      <c r="O10" s="656">
        <v>9.1999999999999993</v>
      </c>
      <c r="P10" s="656">
        <v>9.4</v>
      </c>
      <c r="Q10" s="656">
        <v>9.6999999999999993</v>
      </c>
      <c r="R10" s="656">
        <v>9.6999999999999993</v>
      </c>
      <c r="S10" s="656">
        <v>9.6</v>
      </c>
      <c r="T10" s="656">
        <v>9.6</v>
      </c>
      <c r="U10" s="656">
        <v>9.5</v>
      </c>
      <c r="V10" s="656">
        <v>9.5</v>
      </c>
      <c r="W10" s="656">
        <v>9.6999999999999993</v>
      </c>
      <c r="X10" s="656">
        <v>10</v>
      </c>
      <c r="Y10" s="656">
        <v>10.199999999999999</v>
      </c>
      <c r="Z10" s="656">
        <v>10.4</v>
      </c>
      <c r="AA10" s="656">
        <v>10.6</v>
      </c>
      <c r="AB10" s="656">
        <v>10.8</v>
      </c>
      <c r="AC10" s="656">
        <v>11</v>
      </c>
      <c r="AD10" s="656">
        <v>10.9</v>
      </c>
      <c r="AE10" s="656">
        <v>10.9</v>
      </c>
      <c r="AF10" s="656">
        <v>10.7</v>
      </c>
      <c r="AG10" s="656">
        <v>10.6</v>
      </c>
      <c r="AH10" s="656">
        <v>10.3</v>
      </c>
      <c r="AI10" s="656">
        <v>10.1</v>
      </c>
      <c r="AJ10" s="656">
        <v>10</v>
      </c>
      <c r="AK10" s="656">
        <v>9.6999999999999993</v>
      </c>
      <c r="AL10" s="656">
        <v>9.6</v>
      </c>
      <c r="AM10" s="656">
        <v>9.3000000000000007</v>
      </c>
      <c r="AN10" s="656">
        <v>9</v>
      </c>
      <c r="AO10" s="656">
        <v>8.8000000000000007</v>
      </c>
      <c r="AP10" s="656">
        <v>8.6999999999999993</v>
      </c>
      <c r="AQ10" s="50">
        <v>8.5</v>
      </c>
      <c r="AR10" s="50">
        <v>8.1999999999999993</v>
      </c>
      <c r="AS10" s="50">
        <v>8</v>
      </c>
      <c r="AT10" s="50">
        <v>7.7</v>
      </c>
    </row>
    <row r="13" spans="2:46" x14ac:dyDescent="0.2">
      <c r="H13" s="657" t="s">
        <v>308</v>
      </c>
      <c r="I13" s="658" t="s">
        <v>323</v>
      </c>
      <c r="J13" s="658" t="s">
        <v>383</v>
      </c>
      <c r="K13" s="658" t="s">
        <v>324</v>
      </c>
      <c r="L13" s="658" t="s">
        <v>384</v>
      </c>
    </row>
    <row r="14" spans="2:46" x14ac:dyDescent="0.2">
      <c r="H14" s="35" t="s">
        <v>247</v>
      </c>
      <c r="I14" s="210">
        <v>5.8175999999999997</v>
      </c>
      <c r="J14" s="210">
        <v>5.1110999999999995</v>
      </c>
      <c r="K14" s="210">
        <v>60.6</v>
      </c>
      <c r="L14" s="210">
        <v>63.1</v>
      </c>
    </row>
    <row r="15" spans="2:46" x14ac:dyDescent="0.2">
      <c r="H15" s="428" t="s">
        <v>177</v>
      </c>
      <c r="I15" s="210">
        <v>1.6964999999999999</v>
      </c>
      <c r="J15" s="210">
        <v>1.1219999999999999</v>
      </c>
      <c r="K15" s="210">
        <v>43.5</v>
      </c>
      <c r="L15" s="210">
        <v>37.4</v>
      </c>
    </row>
    <row r="16" spans="2:46" x14ac:dyDescent="0.2">
      <c r="H16" s="35" t="s">
        <v>246</v>
      </c>
      <c r="I16" s="210">
        <v>2.4582000000000002</v>
      </c>
      <c r="J16" s="210">
        <v>1.8059999999999998</v>
      </c>
      <c r="K16" s="210">
        <v>48.2</v>
      </c>
      <c r="L16" s="210">
        <v>42</v>
      </c>
    </row>
    <row r="17" spans="2:12" x14ac:dyDescent="0.2">
      <c r="B17" s="854" t="s">
        <v>385</v>
      </c>
      <c r="C17" s="854"/>
      <c r="D17" s="854"/>
      <c r="E17" s="854"/>
      <c r="F17" s="854"/>
      <c r="G17" s="854"/>
      <c r="H17" s="35" t="s">
        <v>245</v>
      </c>
      <c r="I17" s="210">
        <v>2.2072000000000003</v>
      </c>
      <c r="J17" s="210">
        <v>1.5</v>
      </c>
      <c r="K17" s="210">
        <v>35.6</v>
      </c>
      <c r="L17" s="210">
        <v>30</v>
      </c>
    </row>
    <row r="18" spans="2:12" x14ac:dyDescent="0.2">
      <c r="H18" s="50" t="s">
        <v>116</v>
      </c>
      <c r="I18" s="659">
        <v>4.1107999999999993</v>
      </c>
      <c r="J18" s="659">
        <v>3.5112000000000001</v>
      </c>
      <c r="K18" s="659">
        <v>47.8</v>
      </c>
      <c r="L18" s="659">
        <v>46.2</v>
      </c>
    </row>
    <row r="20" spans="2:12" x14ac:dyDescent="0.2">
      <c r="H20" s="35" t="s">
        <v>324</v>
      </c>
    </row>
    <row r="21" spans="2:12" x14ac:dyDescent="0.2">
      <c r="H21" s="35" t="s">
        <v>384</v>
      </c>
    </row>
  </sheetData>
  <mergeCells count="2">
    <mergeCell ref="B4:G4"/>
    <mergeCell ref="B17:G17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B4:H32"/>
  <sheetViews>
    <sheetView showGridLines="0" workbookViewId="0"/>
  </sheetViews>
  <sheetFormatPr defaultRowHeight="12.75" x14ac:dyDescent="0.2"/>
  <cols>
    <col min="1" max="1" width="9.140625" style="35"/>
    <col min="2" max="2" width="56.140625" style="35" bestFit="1" customWidth="1"/>
    <col min="3" max="3" width="9.140625" style="35"/>
    <col min="4" max="8" width="16.85546875" style="35" bestFit="1" customWidth="1"/>
    <col min="9" max="16384" width="9.140625" style="35"/>
  </cols>
  <sheetData>
    <row r="4" spans="2:8" x14ac:dyDescent="0.2">
      <c r="B4" s="665" t="s">
        <v>1052</v>
      </c>
      <c r="C4" s="50"/>
      <c r="D4" s="50"/>
      <c r="E4" s="50"/>
      <c r="F4" s="50"/>
      <c r="G4" s="50"/>
      <c r="H4" s="50"/>
    </row>
    <row r="5" spans="2:8" ht="13.5" thickBot="1" x14ac:dyDescent="0.25">
      <c r="C5" s="129">
        <v>2013</v>
      </c>
      <c r="D5" s="129">
        <v>2014</v>
      </c>
      <c r="E5" s="129">
        <v>2015</v>
      </c>
      <c r="F5" s="129">
        <v>2016</v>
      </c>
      <c r="G5" s="130">
        <v>2017</v>
      </c>
      <c r="H5" s="130">
        <v>2018</v>
      </c>
    </row>
    <row r="6" spans="2:8" x14ac:dyDescent="0.2">
      <c r="B6" s="855" t="s">
        <v>802</v>
      </c>
      <c r="C6" s="855"/>
      <c r="D6" s="855"/>
      <c r="E6" s="855"/>
      <c r="F6" s="855"/>
      <c r="G6" s="855"/>
      <c r="H6" s="855"/>
    </row>
    <row r="7" spans="2:8" x14ac:dyDescent="0.2">
      <c r="B7" s="30" t="s">
        <v>803</v>
      </c>
      <c r="C7" s="660">
        <v>0</v>
      </c>
      <c r="D7" s="660">
        <v>-5.9</v>
      </c>
      <c r="E7" s="660">
        <v>-60.1</v>
      </c>
      <c r="F7" s="660">
        <v>-104.5</v>
      </c>
      <c r="G7" s="660">
        <v>-183.6</v>
      </c>
      <c r="H7" s="660">
        <v>-268.7</v>
      </c>
    </row>
    <row r="8" spans="2:8" ht="13.5" thickBot="1" x14ac:dyDescent="0.25">
      <c r="B8" s="196" t="s">
        <v>804</v>
      </c>
      <c r="C8" s="661">
        <v>0</v>
      </c>
      <c r="D8" s="661">
        <v>0</v>
      </c>
      <c r="E8" s="661">
        <v>0</v>
      </c>
      <c r="F8" s="661">
        <v>0</v>
      </c>
      <c r="G8" s="661">
        <v>-29.3</v>
      </c>
      <c r="H8" s="661">
        <f>G8*2</f>
        <v>-58.6</v>
      </c>
    </row>
    <row r="9" spans="2:8" x14ac:dyDescent="0.2">
      <c r="B9" s="856" t="s">
        <v>805</v>
      </c>
      <c r="C9" s="856"/>
      <c r="D9" s="856"/>
      <c r="E9" s="856"/>
      <c r="F9" s="856"/>
      <c r="G9" s="856"/>
      <c r="H9" s="856"/>
    </row>
    <row r="10" spans="2:8" x14ac:dyDescent="0.2">
      <c r="B10" s="30" t="s">
        <v>806</v>
      </c>
      <c r="C10" s="660">
        <v>0</v>
      </c>
      <c r="D10" s="660">
        <v>9.1999999999999993</v>
      </c>
      <c r="E10" s="660">
        <v>9.3000000000000007</v>
      </c>
      <c r="F10" s="660">
        <v>9.5</v>
      </c>
      <c r="G10" s="660">
        <v>9.6</v>
      </c>
      <c r="H10" s="660">
        <v>9.6999999999999993</v>
      </c>
    </row>
    <row r="11" spans="2:8" x14ac:dyDescent="0.2">
      <c r="B11" s="30" t="s">
        <v>807</v>
      </c>
      <c r="C11" s="660">
        <v>0</v>
      </c>
      <c r="D11" s="660">
        <v>0</v>
      </c>
      <c r="E11" s="660">
        <v>9.1</v>
      </c>
      <c r="F11" s="660">
        <v>22.4</v>
      </c>
      <c r="G11" s="660">
        <v>22.8</v>
      </c>
      <c r="H11" s="660">
        <v>23.3</v>
      </c>
    </row>
    <row r="12" spans="2:8" x14ac:dyDescent="0.2">
      <c r="B12" s="30" t="s">
        <v>808</v>
      </c>
      <c r="C12" s="660">
        <v>0</v>
      </c>
      <c r="D12" s="660">
        <v>0</v>
      </c>
      <c r="E12" s="660">
        <v>0</v>
      </c>
      <c r="F12" s="660">
        <v>7.9</v>
      </c>
      <c r="G12" s="660">
        <v>8.6999999999999993</v>
      </c>
      <c r="H12" s="660">
        <v>9.6</v>
      </c>
    </row>
    <row r="13" spans="2:8" x14ac:dyDescent="0.2">
      <c r="B13" s="30" t="s">
        <v>809</v>
      </c>
      <c r="C13" s="660">
        <v>0</v>
      </c>
      <c r="D13" s="660">
        <v>0</v>
      </c>
      <c r="E13" s="660">
        <v>0</v>
      </c>
      <c r="F13" s="660">
        <v>2.9</v>
      </c>
      <c r="G13" s="660">
        <v>3.2</v>
      </c>
      <c r="H13" s="660">
        <v>3.5</v>
      </c>
    </row>
    <row r="14" spans="2:8" x14ac:dyDescent="0.2">
      <c r="B14" s="30" t="s">
        <v>810</v>
      </c>
      <c r="C14" s="660">
        <v>0</v>
      </c>
      <c r="D14" s="660">
        <v>0</v>
      </c>
      <c r="E14" s="660">
        <v>0</v>
      </c>
      <c r="F14" s="660">
        <v>0</v>
      </c>
      <c r="G14" s="660">
        <v>113.6</v>
      </c>
      <c r="H14" s="660">
        <v>116</v>
      </c>
    </row>
    <row r="15" spans="2:8" x14ac:dyDescent="0.2">
      <c r="B15" s="30" t="s">
        <v>811</v>
      </c>
      <c r="C15" s="660">
        <v>0</v>
      </c>
      <c r="D15" s="660">
        <v>0</v>
      </c>
      <c r="E15" s="660">
        <v>0</v>
      </c>
      <c r="F15" s="660">
        <v>0</v>
      </c>
      <c r="G15" s="660">
        <v>0</v>
      </c>
      <c r="H15" s="660">
        <v>81.5</v>
      </c>
    </row>
    <row r="16" spans="2:8" x14ac:dyDescent="0.2">
      <c r="B16" s="196" t="s">
        <v>812</v>
      </c>
      <c r="C16" s="661">
        <v>0</v>
      </c>
      <c r="D16" s="661">
        <v>0</v>
      </c>
      <c r="E16" s="661">
        <v>0</v>
      </c>
      <c r="F16" s="661">
        <v>0</v>
      </c>
      <c r="G16" s="661">
        <v>0</v>
      </c>
      <c r="H16" s="661">
        <v>50.2</v>
      </c>
    </row>
    <row r="17" spans="2:8" x14ac:dyDescent="0.2">
      <c r="B17" s="197" t="s">
        <v>480</v>
      </c>
      <c r="C17" s="660">
        <f t="shared" ref="C17:H17" si="0">SUM(C7:C16)</f>
        <v>0</v>
      </c>
      <c r="D17" s="660">
        <f t="shared" si="0"/>
        <v>3.2999999999999989</v>
      </c>
      <c r="E17" s="660">
        <f t="shared" si="0"/>
        <v>-41.699999999999996</v>
      </c>
      <c r="F17" s="660">
        <f t="shared" si="0"/>
        <v>-61.79999999999999</v>
      </c>
      <c r="G17" s="660">
        <f t="shared" si="0"/>
        <v>-55.000000000000028</v>
      </c>
      <c r="H17" s="660">
        <f t="shared" si="0"/>
        <v>-33.499999999999986</v>
      </c>
    </row>
    <row r="18" spans="2:8" x14ac:dyDescent="0.2">
      <c r="B18" s="197" t="s">
        <v>813</v>
      </c>
      <c r="C18" s="660">
        <f>SUM(C7:$S16)</f>
        <v>-188.69999999999987</v>
      </c>
      <c r="D18" s="660">
        <f>SUM(D7:$S16)</f>
        <v>-188.69999999999987</v>
      </c>
      <c r="E18" s="660">
        <f>SUM(E7:$S16)</f>
        <v>-191.99999999999994</v>
      </c>
      <c r="F18" s="660">
        <f>SUM(F7:$S16)</f>
        <v>-150.2999999999999</v>
      </c>
      <c r="G18" s="660">
        <f>SUM(G7:$S16)</f>
        <v>-88.499999999999815</v>
      </c>
      <c r="H18" s="660">
        <f>SUM(H7:$S16)</f>
        <v>-33.499999999999986</v>
      </c>
    </row>
    <row r="19" spans="2:8" x14ac:dyDescent="0.2">
      <c r="B19" s="197" t="s">
        <v>814</v>
      </c>
      <c r="C19" s="660">
        <f t="shared" ref="C19:H20" si="1">C30</f>
        <v>0</v>
      </c>
      <c r="D19" s="660">
        <f t="shared" si="1"/>
        <v>5.9</v>
      </c>
      <c r="E19" s="660">
        <f t="shared" si="1"/>
        <v>66</v>
      </c>
      <c r="F19" s="660">
        <f t="shared" si="1"/>
        <v>170.5</v>
      </c>
      <c r="G19" s="660">
        <f t="shared" si="1"/>
        <v>383.4</v>
      </c>
      <c r="H19" s="660">
        <f t="shared" si="1"/>
        <v>710.7</v>
      </c>
    </row>
    <row r="20" spans="2:8" x14ac:dyDescent="0.2">
      <c r="B20" s="197" t="s">
        <v>815</v>
      </c>
      <c r="C20" s="660">
        <f t="shared" si="1"/>
        <v>0</v>
      </c>
      <c r="D20" s="660">
        <f t="shared" si="1"/>
        <v>9.1999999999999993</v>
      </c>
      <c r="E20" s="660">
        <f t="shared" si="1"/>
        <v>27.599999999999998</v>
      </c>
      <c r="F20" s="660">
        <f t="shared" si="1"/>
        <v>70.3</v>
      </c>
      <c r="G20" s="660">
        <f t="shared" si="1"/>
        <v>228.2</v>
      </c>
      <c r="H20" s="660">
        <f t="shared" si="1"/>
        <v>522</v>
      </c>
    </row>
    <row r="21" spans="2:8" ht="13.5" thickBot="1" x14ac:dyDescent="0.25">
      <c r="B21" s="198" t="s">
        <v>816</v>
      </c>
      <c r="C21" s="662"/>
      <c r="D21" s="662">
        <f t="shared" ref="D21:H21" si="2">D20/D19</f>
        <v>1.5593220338983049</v>
      </c>
      <c r="E21" s="662">
        <f t="shared" si="2"/>
        <v>0.41818181818181815</v>
      </c>
      <c r="F21" s="662">
        <f t="shared" si="2"/>
        <v>0.41231671554252197</v>
      </c>
      <c r="G21" s="662">
        <f t="shared" si="2"/>
        <v>0.59520083463745432</v>
      </c>
      <c r="H21" s="662">
        <f t="shared" si="2"/>
        <v>0.73448712536935412</v>
      </c>
    </row>
    <row r="22" spans="2:8" x14ac:dyDescent="0.2">
      <c r="B22" s="855" t="s">
        <v>817</v>
      </c>
      <c r="C22" s="855"/>
      <c r="D22" s="855"/>
      <c r="E22" s="855"/>
      <c r="F22" s="855"/>
      <c r="G22" s="855"/>
      <c r="H22" s="855"/>
    </row>
    <row r="23" spans="2:8" x14ac:dyDescent="0.2">
      <c r="B23" s="30" t="s">
        <v>818</v>
      </c>
      <c r="C23" s="660">
        <v>-103.6</v>
      </c>
      <c r="D23" s="660">
        <v>-110.8</v>
      </c>
      <c r="E23" s="660">
        <v>-119.8</v>
      </c>
      <c r="F23" s="660">
        <f>E23*($U$25+1)</f>
        <v>-119.8</v>
      </c>
      <c r="G23" s="660">
        <f>F23*($U$25+1)</f>
        <v>-119.8</v>
      </c>
      <c r="H23" s="660">
        <f>G23*($U$25+1)</f>
        <v>-119.8</v>
      </c>
    </row>
    <row r="24" spans="2:8" x14ac:dyDescent="0.2">
      <c r="B24" s="30" t="s">
        <v>819</v>
      </c>
      <c r="C24" s="661">
        <v>0</v>
      </c>
      <c r="D24" s="661">
        <v>0</v>
      </c>
      <c r="E24" s="661">
        <v>0</v>
      </c>
      <c r="F24" s="661">
        <v>0</v>
      </c>
      <c r="G24" s="661">
        <v>-67.2</v>
      </c>
      <c r="H24" s="661">
        <v>-70.5</v>
      </c>
    </row>
    <row r="25" spans="2:8" x14ac:dyDescent="0.2">
      <c r="B25" s="199" t="s">
        <v>820</v>
      </c>
      <c r="C25" s="663">
        <f>SUM(C23:$S24)</f>
        <v>-831.3</v>
      </c>
      <c r="D25" s="663">
        <f>SUM(D23:$S24)</f>
        <v>-727.7</v>
      </c>
      <c r="E25" s="663">
        <f>SUM(E23:$S24)</f>
        <v>-616.9</v>
      </c>
      <c r="F25" s="663">
        <f>SUM(F23:$S24)</f>
        <v>-497.09999999999997</v>
      </c>
      <c r="G25" s="663">
        <f>SUM(G23:$S24)</f>
        <v>-377.3</v>
      </c>
      <c r="H25" s="663">
        <f>SUM(H23:$S24)</f>
        <v>-190.3</v>
      </c>
    </row>
    <row r="26" spans="2:8" x14ac:dyDescent="0.2">
      <c r="B26" s="543"/>
      <c r="C26" s="543"/>
      <c r="D26" s="543"/>
      <c r="E26" s="543"/>
      <c r="F26" s="543"/>
      <c r="G26" s="543"/>
      <c r="H26" s="543"/>
    </row>
    <row r="27" spans="2:8" x14ac:dyDescent="0.2">
      <c r="B27" s="543"/>
      <c r="C27" s="543"/>
      <c r="D27" s="543"/>
      <c r="E27" s="543"/>
      <c r="F27" s="543"/>
      <c r="G27" s="543"/>
      <c r="H27" s="543"/>
    </row>
    <row r="28" spans="2:8" x14ac:dyDescent="0.2">
      <c r="B28" s="543" t="s">
        <v>1041</v>
      </c>
      <c r="C28" s="664">
        <f t="shared" ref="C28:H28" si="3">C7+C8</f>
        <v>0</v>
      </c>
      <c r="D28" s="664">
        <f t="shared" si="3"/>
        <v>-5.9</v>
      </c>
      <c r="E28" s="664">
        <f t="shared" si="3"/>
        <v>-60.1</v>
      </c>
      <c r="F28" s="664">
        <f t="shared" si="3"/>
        <v>-104.5</v>
      </c>
      <c r="G28" s="664">
        <f t="shared" si="3"/>
        <v>-212.9</v>
      </c>
      <c r="H28" s="664">
        <f t="shared" si="3"/>
        <v>-327.3</v>
      </c>
    </row>
    <row r="29" spans="2:8" x14ac:dyDescent="0.2">
      <c r="B29" s="543" t="s">
        <v>1042</v>
      </c>
      <c r="C29" s="664">
        <f t="shared" ref="C29:H29" si="4">SUM(C10:C16)</f>
        <v>0</v>
      </c>
      <c r="D29" s="664">
        <f t="shared" si="4"/>
        <v>9.1999999999999993</v>
      </c>
      <c r="E29" s="664">
        <f t="shared" si="4"/>
        <v>18.399999999999999</v>
      </c>
      <c r="F29" s="664">
        <f t="shared" si="4"/>
        <v>42.699999999999996</v>
      </c>
      <c r="G29" s="664">
        <f t="shared" si="4"/>
        <v>157.89999999999998</v>
      </c>
      <c r="H29" s="664">
        <f t="shared" si="4"/>
        <v>293.8</v>
      </c>
    </row>
    <row r="30" spans="2:8" x14ac:dyDescent="0.2">
      <c r="B30" s="543" t="s">
        <v>1043</v>
      </c>
      <c r="C30" s="664">
        <f>SUM(C28:$C28)*-1</f>
        <v>0</v>
      </c>
      <c r="D30" s="664">
        <f>SUM($C28:D28)*-1</f>
        <v>5.9</v>
      </c>
      <c r="E30" s="664">
        <f>SUM($C28:E28)*-1</f>
        <v>66</v>
      </c>
      <c r="F30" s="664">
        <f>SUM($C28:F28)*-1</f>
        <v>170.5</v>
      </c>
      <c r="G30" s="664">
        <f>SUM($C28:G28)*-1</f>
        <v>383.4</v>
      </c>
      <c r="H30" s="664">
        <f>SUM($C28:H28)*-1</f>
        <v>710.7</v>
      </c>
    </row>
    <row r="31" spans="2:8" x14ac:dyDescent="0.2">
      <c r="B31" s="543" t="s">
        <v>1044</v>
      </c>
      <c r="C31" s="664">
        <f>SUM(C29:$C29)</f>
        <v>0</v>
      </c>
      <c r="D31" s="664">
        <f>SUM($C29:D29)</f>
        <v>9.1999999999999993</v>
      </c>
      <c r="E31" s="664">
        <f>SUM($C29:E29)</f>
        <v>27.599999999999998</v>
      </c>
      <c r="F31" s="664">
        <f>SUM($C29:F29)</f>
        <v>70.3</v>
      </c>
      <c r="G31" s="664">
        <f>SUM($C29:G29)</f>
        <v>228.2</v>
      </c>
      <c r="H31" s="664">
        <f>SUM($C29:H29)</f>
        <v>522</v>
      </c>
    </row>
    <row r="32" spans="2:8" x14ac:dyDescent="0.2">
      <c r="B32" s="543"/>
      <c r="C32" s="543"/>
      <c r="D32" s="543"/>
      <c r="E32" s="543"/>
      <c r="F32" s="543"/>
      <c r="G32" s="543"/>
      <c r="H32" s="543"/>
    </row>
  </sheetData>
  <mergeCells count="3">
    <mergeCell ref="B6:H6"/>
    <mergeCell ref="B9:H9"/>
    <mergeCell ref="B22:H22"/>
  </mergeCells>
  <hyperlinks>
    <hyperlink ref="B7" location="_ftn4" display="_ftn4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B3:AX36"/>
  <sheetViews>
    <sheetView showGridLines="0" workbookViewId="0">
      <selection activeCell="I7" sqref="I7"/>
    </sheetView>
  </sheetViews>
  <sheetFormatPr defaultColWidth="9.140625" defaultRowHeight="12.75" x14ac:dyDescent="0.2"/>
  <cols>
    <col min="1" max="1" width="9.140625" style="35"/>
    <col min="2" max="2" width="21.85546875" style="35" bestFit="1" customWidth="1"/>
    <col min="3" max="16384" width="9.140625" style="35"/>
  </cols>
  <sheetData>
    <row r="3" spans="2:16" x14ac:dyDescent="0.2">
      <c r="I3" s="428"/>
    </row>
    <row r="5" spans="2:16" ht="13.9" customHeight="1" x14ac:dyDescent="0.2">
      <c r="B5" s="857" t="s">
        <v>1072</v>
      </c>
      <c r="C5" s="857"/>
      <c r="D5" s="857"/>
      <c r="E5" s="857"/>
      <c r="F5" s="857"/>
      <c r="G5" s="857"/>
    </row>
    <row r="6" spans="2:16" ht="18.600000000000001" customHeight="1" x14ac:dyDescent="0.2">
      <c r="B6" s="857"/>
      <c r="C6" s="857"/>
      <c r="D6" s="857"/>
      <c r="E6" s="857"/>
      <c r="F6" s="857"/>
      <c r="G6" s="857"/>
      <c r="I6" s="858" t="s">
        <v>1073</v>
      </c>
      <c r="J6" s="858"/>
      <c r="K6" s="858"/>
      <c r="L6" s="858"/>
      <c r="M6" s="858"/>
      <c r="N6" s="858"/>
      <c r="O6" s="858"/>
      <c r="P6" s="858"/>
    </row>
    <row r="24" spans="2:47" ht="16.5" customHeight="1" x14ac:dyDescent="0.2">
      <c r="B24" s="44" t="s">
        <v>827</v>
      </c>
    </row>
    <row r="25" spans="2:47" s="44" customFormat="1" x14ac:dyDescent="0.2">
      <c r="C25" s="44">
        <v>2016</v>
      </c>
      <c r="D25" s="44">
        <v>2017</v>
      </c>
      <c r="E25" s="44">
        <v>2018</v>
      </c>
      <c r="F25" s="44">
        <v>2019</v>
      </c>
      <c r="G25" s="44">
        <v>2020</v>
      </c>
      <c r="H25" s="44">
        <v>2021</v>
      </c>
      <c r="I25" s="44">
        <v>2022</v>
      </c>
      <c r="J25" s="44">
        <v>2023</v>
      </c>
      <c r="K25" s="44">
        <v>2024</v>
      </c>
      <c r="L25" s="44">
        <v>2025</v>
      </c>
      <c r="M25" s="44">
        <v>2026</v>
      </c>
      <c r="N25" s="44">
        <v>2027</v>
      </c>
      <c r="O25" s="44">
        <v>2028</v>
      </c>
      <c r="P25" s="44">
        <v>2029</v>
      </c>
      <c r="Q25" s="44">
        <v>2030</v>
      </c>
      <c r="R25" s="44">
        <v>2031</v>
      </c>
      <c r="S25" s="44">
        <v>2032</v>
      </c>
      <c r="T25" s="44">
        <v>2033</v>
      </c>
      <c r="U25" s="44">
        <v>2034</v>
      </c>
      <c r="V25" s="44">
        <v>2035</v>
      </c>
      <c r="W25" s="44">
        <v>2036</v>
      </c>
      <c r="X25" s="44">
        <v>2037</v>
      </c>
      <c r="Y25" s="44">
        <v>2038</v>
      </c>
      <c r="Z25" s="44">
        <v>2039</v>
      </c>
      <c r="AA25" s="44">
        <v>2040</v>
      </c>
      <c r="AB25" s="44">
        <v>2041</v>
      </c>
      <c r="AC25" s="44">
        <v>2042</v>
      </c>
      <c r="AD25" s="44">
        <v>2043</v>
      </c>
      <c r="AE25" s="44">
        <v>2044</v>
      </c>
      <c r="AF25" s="44">
        <v>2045</v>
      </c>
      <c r="AG25" s="44">
        <v>2046</v>
      </c>
      <c r="AH25" s="44">
        <v>2047</v>
      </c>
      <c r="AI25" s="44">
        <v>2048</v>
      </c>
      <c r="AJ25" s="44">
        <v>2049</v>
      </c>
      <c r="AK25" s="44">
        <v>2050</v>
      </c>
      <c r="AL25" s="44">
        <v>2051</v>
      </c>
      <c r="AM25" s="44">
        <v>2052</v>
      </c>
      <c r="AN25" s="44">
        <v>2053</v>
      </c>
      <c r="AO25" s="44">
        <v>2054</v>
      </c>
      <c r="AP25" s="44">
        <v>2055</v>
      </c>
      <c r="AQ25" s="44">
        <v>2056</v>
      </c>
      <c r="AR25" s="44">
        <v>2057</v>
      </c>
      <c r="AS25" s="44">
        <v>2058</v>
      </c>
      <c r="AT25" s="44">
        <v>2059</v>
      </c>
      <c r="AU25" s="44">
        <v>2060</v>
      </c>
    </row>
    <row r="26" spans="2:47" x14ac:dyDescent="0.2">
      <c r="B26" s="669" t="s">
        <v>821</v>
      </c>
      <c r="C26" s="670">
        <v>8.7138106549055488E-2</v>
      </c>
      <c r="D26" s="670">
        <v>8.6433025370603836E-2</v>
      </c>
      <c r="E26" s="670">
        <v>8.5408516418291419E-2</v>
      </c>
      <c r="F26" s="670">
        <v>8.4163072406238673E-2</v>
      </c>
      <c r="G26" s="670">
        <v>8.411548858411691E-2</v>
      </c>
      <c r="H26" s="670">
        <v>8.3665140339108643E-2</v>
      </c>
      <c r="I26" s="670">
        <v>8.3483529265742831E-2</v>
      </c>
      <c r="J26" s="670">
        <v>8.3253025971600156E-2</v>
      </c>
      <c r="K26" s="670">
        <v>8.2863022471146644E-2</v>
      </c>
      <c r="L26" s="670">
        <v>8.256530000493506E-2</v>
      </c>
      <c r="M26" s="670">
        <v>8.1457425735056307E-2</v>
      </c>
      <c r="N26" s="670">
        <v>8.1225286697118718E-2</v>
      </c>
      <c r="O26" s="670">
        <v>8.0696476412955867E-2</v>
      </c>
      <c r="P26" s="670">
        <v>8.0357897753187246E-2</v>
      </c>
      <c r="Q26" s="670">
        <v>8.0013989561639964E-2</v>
      </c>
      <c r="R26" s="670">
        <v>7.9889659510333291E-2</v>
      </c>
      <c r="S26" s="670">
        <v>8.0067472390790109E-2</v>
      </c>
      <c r="T26" s="670">
        <v>7.9694830148649975E-2</v>
      </c>
      <c r="U26" s="670">
        <v>8.0116168032593804E-2</v>
      </c>
      <c r="V26" s="670">
        <v>8.0522541207138337E-2</v>
      </c>
      <c r="W26" s="670">
        <v>8.1165069719844218E-2</v>
      </c>
      <c r="X26" s="670">
        <v>8.1837460178690147E-2</v>
      </c>
      <c r="Y26" s="670">
        <v>8.2601275073119998E-2</v>
      </c>
      <c r="Z26" s="670">
        <v>8.3503130136252213E-2</v>
      </c>
      <c r="AA26" s="670">
        <v>8.492136711730415E-2</v>
      </c>
      <c r="AB26" s="670">
        <v>8.5366242315261284E-2</v>
      </c>
      <c r="AC26" s="670">
        <v>8.6536499502899905E-2</v>
      </c>
      <c r="AD26" s="670">
        <v>8.7466011696330198E-2</v>
      </c>
      <c r="AE26" s="670">
        <v>8.8627856683267295E-2</v>
      </c>
      <c r="AF26" s="670">
        <v>8.9685095056571212E-2</v>
      </c>
      <c r="AG26" s="670">
        <v>9.0742048809528769E-2</v>
      </c>
      <c r="AH26" s="670">
        <v>9.1885885047023858E-2</v>
      </c>
      <c r="AI26" s="670">
        <v>9.3137560538405856E-2</v>
      </c>
      <c r="AJ26" s="670">
        <v>9.4642821829730481E-2</v>
      </c>
      <c r="AK26" s="670">
        <v>9.5100093029205371E-2</v>
      </c>
      <c r="AL26" s="670">
        <v>9.6490634590051971E-2</v>
      </c>
      <c r="AM26" s="670">
        <v>9.741701041750335E-2</v>
      </c>
      <c r="AN26" s="670">
        <v>9.8683176887403204E-2</v>
      </c>
      <c r="AO26" s="670">
        <v>0.10000573082235073</v>
      </c>
      <c r="AP26" s="670">
        <v>0.10144609047995966</v>
      </c>
      <c r="AQ26" s="670">
        <v>0.10298720232818449</v>
      </c>
      <c r="AR26" s="670">
        <v>0.10454072870224221</v>
      </c>
      <c r="AS26" s="670">
        <v>0.10481208899967515</v>
      </c>
      <c r="AT26" s="670">
        <v>0.10599831865603974</v>
      </c>
      <c r="AU26" s="670">
        <v>0.10660600719841876</v>
      </c>
    </row>
    <row r="27" spans="2:47" x14ac:dyDescent="0.2">
      <c r="B27" s="44" t="s">
        <v>822</v>
      </c>
      <c r="C27" s="666">
        <v>6.0711403582392048E-2</v>
      </c>
      <c r="D27" s="666">
        <v>5.9916322596213212E-2</v>
      </c>
      <c r="E27" s="666">
        <v>5.9126589201497902E-2</v>
      </c>
      <c r="F27" s="666">
        <v>5.8772135654389816E-2</v>
      </c>
      <c r="G27" s="666">
        <v>5.8394231055381794E-2</v>
      </c>
      <c r="H27" s="666">
        <v>5.8034383922179675E-2</v>
      </c>
      <c r="I27" s="666">
        <v>5.7714367632978783E-2</v>
      </c>
      <c r="J27" s="666">
        <v>5.74139431301686E-2</v>
      </c>
      <c r="K27" s="666">
        <v>5.719820890456008E-2</v>
      </c>
      <c r="L27" s="666">
        <v>5.7292742142380684E-2</v>
      </c>
      <c r="M27" s="666">
        <v>5.7349600269845022E-2</v>
      </c>
      <c r="N27" s="666">
        <v>5.7468719840253403E-2</v>
      </c>
      <c r="O27" s="666">
        <v>5.761062650353322E-2</v>
      </c>
      <c r="P27" s="666">
        <v>5.7761217732421793E-2</v>
      </c>
      <c r="Q27" s="666">
        <v>5.7921382077295337E-2</v>
      </c>
      <c r="R27" s="666">
        <v>5.8090865420183907E-2</v>
      </c>
      <c r="S27" s="666">
        <v>5.8232559241194304E-2</v>
      </c>
      <c r="T27" s="666">
        <v>5.8327066312878054E-2</v>
      </c>
      <c r="U27" s="666">
        <v>5.8515772125808073E-2</v>
      </c>
      <c r="V27" s="666">
        <v>5.86824981633879E-2</v>
      </c>
      <c r="W27" s="666">
        <v>5.8912434807369587E-2</v>
      </c>
      <c r="X27" s="666">
        <v>5.9129524215731463E-2</v>
      </c>
      <c r="Y27" s="666">
        <v>5.9369738756485102E-2</v>
      </c>
      <c r="Z27" s="666">
        <v>5.9639127025369901E-2</v>
      </c>
      <c r="AA27" s="666">
        <v>5.9835982802796409E-2</v>
      </c>
      <c r="AB27" s="666">
        <v>5.9954654316483155E-2</v>
      </c>
      <c r="AC27" s="666">
        <v>6.021410110140505E-2</v>
      </c>
      <c r="AD27" s="666">
        <v>6.0418878202929412E-2</v>
      </c>
      <c r="AE27" s="666">
        <v>6.0709500255074267E-2</v>
      </c>
      <c r="AF27" s="666">
        <v>6.0955834789917861E-2</v>
      </c>
      <c r="AG27" s="666">
        <v>6.1192321276398232E-2</v>
      </c>
      <c r="AH27" s="666">
        <v>6.1435919310160361E-2</v>
      </c>
      <c r="AI27" s="666">
        <v>6.1675272535319535E-2</v>
      </c>
      <c r="AJ27" s="666">
        <v>6.1844878491115647E-2</v>
      </c>
      <c r="AK27" s="666">
        <v>6.1937507923711964E-2</v>
      </c>
      <c r="AL27" s="666">
        <v>6.2099298036041854E-2</v>
      </c>
      <c r="AM27" s="666">
        <v>6.2275267374738395E-2</v>
      </c>
      <c r="AN27" s="666">
        <v>6.2414894301035681E-2</v>
      </c>
      <c r="AO27" s="666">
        <v>6.2518442831229495E-2</v>
      </c>
      <c r="AP27" s="666">
        <v>6.2619650709201932E-2</v>
      </c>
      <c r="AQ27" s="666">
        <v>6.268296781737806E-2</v>
      </c>
      <c r="AR27" s="666">
        <v>6.2715774160936252E-2</v>
      </c>
      <c r="AS27" s="666">
        <v>6.2721001065119297E-2</v>
      </c>
      <c r="AT27" s="666">
        <v>6.2761700082919675E-2</v>
      </c>
      <c r="AU27" s="666">
        <v>6.2788533419696119E-2</v>
      </c>
    </row>
    <row r="28" spans="2:47" x14ac:dyDescent="0.2">
      <c r="B28" s="44" t="s">
        <v>824</v>
      </c>
      <c r="C28" s="667">
        <v>8.5871481888352155E-2</v>
      </c>
      <c r="D28" s="667">
        <v>8.6677305100869809E-2</v>
      </c>
      <c r="E28" s="667">
        <v>8.520475475949027E-2</v>
      </c>
      <c r="F28" s="667">
        <v>8.3954429560400681E-2</v>
      </c>
      <c r="G28" s="667">
        <v>8.2606795942409814E-2</v>
      </c>
      <c r="H28" s="667">
        <v>8.1502444224115178E-2</v>
      </c>
      <c r="I28" s="667">
        <v>8.0407518364979169E-2</v>
      </c>
      <c r="J28" s="667">
        <v>7.8927445356057738E-2</v>
      </c>
      <c r="K28" s="667">
        <v>7.8341249817429764E-2</v>
      </c>
      <c r="L28" s="667">
        <v>7.7810968570015668E-2</v>
      </c>
      <c r="M28" s="667">
        <v>7.7432845938762332E-2</v>
      </c>
      <c r="N28" s="667">
        <v>7.7106868563674644E-2</v>
      </c>
      <c r="O28" s="667">
        <v>7.7021917462112691E-2</v>
      </c>
      <c r="P28" s="667">
        <v>7.6944386737856349E-2</v>
      </c>
      <c r="Q28" s="667">
        <v>7.6419553865300083E-2</v>
      </c>
      <c r="R28" s="667">
        <v>7.5973153306615748E-2</v>
      </c>
      <c r="S28" s="667">
        <v>7.5797821707383736E-2</v>
      </c>
      <c r="T28" s="667">
        <v>7.56906681855853E-2</v>
      </c>
      <c r="U28" s="667">
        <v>7.554121961678939E-2</v>
      </c>
      <c r="V28" s="667">
        <v>7.5826307151761391E-2</v>
      </c>
      <c r="W28" s="667">
        <v>7.6293726726426703E-2</v>
      </c>
      <c r="X28" s="667">
        <v>7.6805361532191141E-2</v>
      </c>
      <c r="Y28" s="667">
        <v>7.6811800544056591E-2</v>
      </c>
      <c r="Z28" s="667">
        <v>7.7433057791686299E-2</v>
      </c>
      <c r="AA28" s="667">
        <v>7.8242739038634643E-2</v>
      </c>
      <c r="AB28" s="667">
        <v>7.9120460652798041E-2</v>
      </c>
      <c r="AC28" s="667">
        <v>7.9805356711749403E-2</v>
      </c>
      <c r="AD28" s="667">
        <v>8.0929679398695664E-2</v>
      </c>
      <c r="AE28" s="667">
        <v>8.2183581607906328E-2</v>
      </c>
      <c r="AF28" s="667">
        <v>8.3462907845251774E-2</v>
      </c>
      <c r="AG28" s="667">
        <v>8.4225390894183128E-2</v>
      </c>
      <c r="AH28" s="667">
        <v>8.5174112043768777E-2</v>
      </c>
      <c r="AI28" s="667">
        <v>8.5969665287297256E-2</v>
      </c>
      <c r="AJ28" s="667">
        <v>8.6926106244429535E-2</v>
      </c>
      <c r="AK28" s="667">
        <v>8.7870405674924101E-2</v>
      </c>
      <c r="AL28" s="667">
        <v>8.9120382885227112E-2</v>
      </c>
      <c r="AM28" s="667">
        <v>9.0447875294912092E-2</v>
      </c>
      <c r="AN28" s="667">
        <v>9.162017140967732E-2</v>
      </c>
      <c r="AO28" s="667">
        <v>9.2640334383228884E-2</v>
      </c>
      <c r="AP28" s="667">
        <v>9.3568436496964752E-2</v>
      </c>
      <c r="AQ28" s="667">
        <v>9.4725683461378857E-2</v>
      </c>
      <c r="AR28" s="667">
        <v>9.588651921399019E-2</v>
      </c>
      <c r="AS28" s="667">
        <v>9.6973036140939245E-2</v>
      </c>
      <c r="AT28" s="667">
        <v>9.7920190841806698E-2</v>
      </c>
      <c r="AU28" s="667">
        <v>9.8952835873394832E-2</v>
      </c>
    </row>
    <row r="29" spans="2:47" x14ac:dyDescent="0.2">
      <c r="B29" s="44" t="s">
        <v>825</v>
      </c>
      <c r="C29" s="667">
        <v>6.9186440834093976E-2</v>
      </c>
      <c r="D29" s="667">
        <v>6.91424392497519E-2</v>
      </c>
      <c r="E29" s="667">
        <v>6.8257672087286156E-2</v>
      </c>
      <c r="F29" s="667">
        <v>6.8041541131014266E-2</v>
      </c>
      <c r="G29" s="667">
        <v>6.7751786545823131E-2</v>
      </c>
      <c r="H29" s="667">
        <v>6.7453926915921628E-2</v>
      </c>
      <c r="I29" s="667">
        <v>6.7001742946343854E-2</v>
      </c>
      <c r="J29" s="667">
        <v>6.6547417913319432E-2</v>
      </c>
      <c r="K29" s="667">
        <v>6.6112809825356944E-2</v>
      </c>
      <c r="L29" s="667">
        <v>6.6061189380120261E-2</v>
      </c>
      <c r="M29" s="667">
        <v>6.6026721662224119E-2</v>
      </c>
      <c r="N29" s="667">
        <v>6.6012927802927931E-2</v>
      </c>
      <c r="O29" s="667">
        <v>6.602331781012323E-2</v>
      </c>
      <c r="P29" s="667">
        <v>6.6036048443811349E-2</v>
      </c>
      <c r="Q29" s="667">
        <v>6.6057830921007629E-2</v>
      </c>
      <c r="R29" s="667">
        <v>6.6075252158897216E-2</v>
      </c>
      <c r="S29" s="667">
        <v>6.611279371690007E-2</v>
      </c>
      <c r="T29" s="667">
        <v>6.6154344105160495E-2</v>
      </c>
      <c r="U29" s="667">
        <v>6.6191966071179484E-2</v>
      </c>
      <c r="V29" s="667">
        <v>6.62592652326955E-2</v>
      </c>
      <c r="W29" s="667">
        <v>6.6344576170931993E-2</v>
      </c>
      <c r="X29" s="667">
        <v>6.6438744253569618E-2</v>
      </c>
      <c r="Y29" s="667">
        <v>6.651682128549892E-2</v>
      </c>
      <c r="Z29" s="667">
        <v>6.6636758497044604E-2</v>
      </c>
      <c r="AA29" s="667">
        <v>6.6769520903627172E-2</v>
      </c>
      <c r="AB29" s="667">
        <v>6.6901293444707188E-2</v>
      </c>
      <c r="AC29" s="667">
        <v>6.7013146178084737E-2</v>
      </c>
      <c r="AD29" s="667">
        <v>6.7158208326007982E-2</v>
      </c>
      <c r="AE29" s="667">
        <v>6.7308472434864625E-2</v>
      </c>
      <c r="AF29" s="667">
        <v>6.7452066789932985E-2</v>
      </c>
      <c r="AG29" s="667">
        <v>6.7579828181477203E-2</v>
      </c>
      <c r="AH29" s="667">
        <v>6.7707118271255029E-2</v>
      </c>
      <c r="AI29" s="667">
        <v>6.7821646625493753E-2</v>
      </c>
      <c r="AJ29" s="667">
        <v>6.794435468015414E-2</v>
      </c>
      <c r="AK29" s="667">
        <v>6.8053166725964689E-2</v>
      </c>
      <c r="AL29" s="667">
        <v>6.8163731248204615E-2</v>
      </c>
      <c r="AM29" s="667">
        <v>6.8259288846971078E-2</v>
      </c>
      <c r="AN29" s="667">
        <v>6.832358187850536E-2</v>
      </c>
      <c r="AO29" s="667">
        <v>6.8360917471684476E-2</v>
      </c>
      <c r="AP29" s="667">
        <v>6.8407092527135727E-2</v>
      </c>
      <c r="AQ29" s="667">
        <v>6.8436414060989631E-2</v>
      </c>
      <c r="AR29" s="667">
        <v>6.8436723780079756E-2</v>
      </c>
      <c r="AS29" s="667">
        <v>6.8418660257394265E-2</v>
      </c>
      <c r="AT29" s="667">
        <v>6.8387169722497629E-2</v>
      </c>
      <c r="AU29" s="667">
        <v>6.8355565420259334E-2</v>
      </c>
    </row>
    <row r="30" spans="2:47" x14ac:dyDescent="0.2">
      <c r="B30" s="44" t="s">
        <v>826</v>
      </c>
      <c r="C30" s="667">
        <v>-1.6685041054258179E-2</v>
      </c>
      <c r="D30" s="667">
        <v>-1.7534865851117909E-2</v>
      </c>
      <c r="E30" s="667">
        <v>-1.6947082672204114E-2</v>
      </c>
      <c r="F30" s="667">
        <v>-1.5912888429386415E-2</v>
      </c>
      <c r="G30" s="667">
        <v>-1.4855009396586683E-2</v>
      </c>
      <c r="H30" s="667">
        <v>-1.404851730819355E-2</v>
      </c>
      <c r="I30" s="667">
        <v>-1.3405775418635316E-2</v>
      </c>
      <c r="J30" s="667">
        <v>-1.2380027442738306E-2</v>
      </c>
      <c r="K30" s="667">
        <v>-1.222843999207282E-2</v>
      </c>
      <c r="L30" s="667">
        <v>-1.1749779189895407E-2</v>
      </c>
      <c r="M30" s="667">
        <v>-1.1406124276538213E-2</v>
      </c>
      <c r="N30" s="667">
        <v>-1.1093940760746712E-2</v>
      </c>
      <c r="O30" s="667">
        <v>-1.099859965198946E-2</v>
      </c>
      <c r="P30" s="667">
        <v>-1.0908338294045E-2</v>
      </c>
      <c r="Q30" s="667">
        <v>-1.0361722944292454E-2</v>
      </c>
      <c r="R30" s="667">
        <v>-9.8979011477185325E-3</v>
      </c>
      <c r="S30" s="667">
        <v>-9.6850279904836661E-3</v>
      </c>
      <c r="T30" s="667">
        <v>-9.5363240804248045E-3</v>
      </c>
      <c r="U30" s="668">
        <v>-9.3492535456099063E-3</v>
      </c>
      <c r="V30" s="667">
        <v>-9.5670419190658912E-3</v>
      </c>
      <c r="W30" s="667">
        <v>-9.9491505554947096E-3</v>
      </c>
      <c r="X30" s="667">
        <v>-1.0366617278621523E-2</v>
      </c>
      <c r="Y30" s="667">
        <v>-1.0294979258557671E-2</v>
      </c>
      <c r="Z30" s="667">
        <v>-1.0796299294641695E-2</v>
      </c>
      <c r="AA30" s="667">
        <v>-1.1473218135007471E-2</v>
      </c>
      <c r="AB30" s="667">
        <v>-1.2219167208090853E-2</v>
      </c>
      <c r="AC30" s="667">
        <v>-1.2792210533664666E-2</v>
      </c>
      <c r="AD30" s="667">
        <v>-1.3771471072687683E-2</v>
      </c>
      <c r="AE30" s="667">
        <v>-1.4875109173041703E-2</v>
      </c>
      <c r="AF30" s="667">
        <v>-1.6010841055318789E-2</v>
      </c>
      <c r="AG30" s="667">
        <v>-1.6645562712705925E-2</v>
      </c>
      <c r="AH30" s="667">
        <v>-1.7466993772513748E-2</v>
      </c>
      <c r="AI30" s="667">
        <v>-1.8148018661803503E-2</v>
      </c>
      <c r="AJ30" s="667">
        <v>-1.8981751564275395E-2</v>
      </c>
      <c r="AK30" s="667">
        <v>-1.9817238948959412E-2</v>
      </c>
      <c r="AL30" s="667">
        <v>-2.0956651637022497E-2</v>
      </c>
      <c r="AM30" s="667">
        <v>-2.2188586447941014E-2</v>
      </c>
      <c r="AN30" s="667">
        <v>-2.329658953117196E-2</v>
      </c>
      <c r="AO30" s="667">
        <v>-2.4279416911544408E-2</v>
      </c>
      <c r="AP30" s="667">
        <v>-2.5161343969829025E-2</v>
      </c>
      <c r="AQ30" s="667">
        <v>-2.6289269400389226E-2</v>
      </c>
      <c r="AR30" s="667">
        <v>-2.7449795433910434E-2</v>
      </c>
      <c r="AS30" s="667">
        <v>-2.855437588354498E-2</v>
      </c>
      <c r="AT30" s="667">
        <v>-2.9533021119309069E-2</v>
      </c>
      <c r="AU30" s="667">
        <v>-3.0597270453135497E-2</v>
      </c>
    </row>
    <row r="31" spans="2:47" x14ac:dyDescent="0.2">
      <c r="B31" s="44" t="s">
        <v>823</v>
      </c>
      <c r="C31" s="666">
        <v>-2.642670296666344E-2</v>
      </c>
      <c r="D31" s="666">
        <v>-2.6516702774390624E-2</v>
      </c>
      <c r="E31" s="666">
        <v>-2.6281927216793517E-2</v>
      </c>
      <c r="F31" s="666">
        <v>-2.5390936751848857E-2</v>
      </c>
      <c r="G31" s="666">
        <v>-2.5721257528735116E-2</v>
      </c>
      <c r="H31" s="666">
        <v>-2.5630756416928968E-2</v>
      </c>
      <c r="I31" s="666">
        <v>-2.5769161632764048E-2</v>
      </c>
      <c r="J31" s="666">
        <v>-2.5839082841431556E-2</v>
      </c>
      <c r="K31" s="666">
        <v>-2.5664813566586564E-2</v>
      </c>
      <c r="L31" s="666">
        <v>-2.5272557862554376E-2</v>
      </c>
      <c r="M31" s="666">
        <v>-2.4107825465211286E-2</v>
      </c>
      <c r="N31" s="666">
        <v>-2.3756566856865315E-2</v>
      </c>
      <c r="O31" s="666">
        <v>-2.3085849909422647E-2</v>
      </c>
      <c r="P31" s="666">
        <v>-2.2596680020765453E-2</v>
      </c>
      <c r="Q31" s="666">
        <v>-2.2092607484344627E-2</v>
      </c>
      <c r="R31" s="666">
        <v>-2.1798794090149384E-2</v>
      </c>
      <c r="S31" s="666">
        <v>-2.1834913149595805E-2</v>
      </c>
      <c r="T31" s="666">
        <v>-2.1367763835771922E-2</v>
      </c>
      <c r="U31" s="666">
        <v>-2.1600395906785731E-2</v>
      </c>
      <c r="V31" s="666">
        <v>-2.1840043043750437E-2</v>
      </c>
      <c r="W31" s="666">
        <v>-2.2252634912474631E-2</v>
      </c>
      <c r="X31" s="666">
        <v>-2.2707935962958684E-2</v>
      </c>
      <c r="Y31" s="666">
        <v>-2.3231536316634896E-2</v>
      </c>
      <c r="Z31" s="666">
        <v>-2.3864003110882312E-2</v>
      </c>
      <c r="AA31" s="666">
        <v>-2.5085384314507742E-2</v>
      </c>
      <c r="AB31" s="666">
        <v>-2.5411587998778129E-2</v>
      </c>
      <c r="AC31" s="666">
        <v>-2.6322398401494855E-2</v>
      </c>
      <c r="AD31" s="666">
        <v>-2.7047133493400786E-2</v>
      </c>
      <c r="AE31" s="666">
        <v>-2.7918356428193028E-2</v>
      </c>
      <c r="AF31" s="666">
        <v>-2.8729260266653352E-2</v>
      </c>
      <c r="AG31" s="666">
        <v>-2.9549727533130538E-2</v>
      </c>
      <c r="AH31" s="666">
        <v>-3.0449965736863496E-2</v>
      </c>
      <c r="AI31" s="666">
        <v>-3.1462288003086321E-2</v>
      </c>
      <c r="AJ31" s="666">
        <v>-3.2797943338614834E-2</v>
      </c>
      <c r="AK31" s="666">
        <v>-3.3162585105493407E-2</v>
      </c>
      <c r="AL31" s="666">
        <v>-3.4391336554010117E-2</v>
      </c>
      <c r="AM31" s="666">
        <v>-3.5141743042764954E-2</v>
      </c>
      <c r="AN31" s="666">
        <v>-3.6268282586367523E-2</v>
      </c>
      <c r="AO31" s="666">
        <v>-3.7487287991121235E-2</v>
      </c>
      <c r="AP31" s="666">
        <v>-3.8826439770757726E-2</v>
      </c>
      <c r="AQ31" s="666">
        <v>-4.0304234510806433E-2</v>
      </c>
      <c r="AR31" s="666">
        <v>-4.1824954541305956E-2</v>
      </c>
      <c r="AS31" s="666">
        <v>-4.2091087934555849E-2</v>
      </c>
      <c r="AT31" s="666">
        <v>-4.323661857312007E-2</v>
      </c>
      <c r="AU31" s="666">
        <v>-4.3817473778722638E-2</v>
      </c>
    </row>
    <row r="32" spans="2:47" x14ac:dyDescent="0.2">
      <c r="B32" s="44"/>
      <c r="C32" s="666"/>
      <c r="D32" s="666"/>
      <c r="E32" s="666"/>
      <c r="F32" s="666"/>
      <c r="G32" s="666"/>
      <c r="H32" s="666"/>
      <c r="I32" s="666"/>
      <c r="J32" s="666"/>
      <c r="K32" s="666"/>
      <c r="L32" s="666"/>
      <c r="M32" s="666"/>
      <c r="N32" s="666"/>
      <c r="O32" s="666"/>
      <c r="P32" s="666"/>
      <c r="Q32" s="666"/>
      <c r="R32" s="666"/>
      <c r="S32" s="666"/>
      <c r="T32" s="666"/>
      <c r="U32" s="666"/>
      <c r="V32" s="666"/>
      <c r="W32" s="666"/>
      <c r="X32" s="666"/>
      <c r="Y32" s="666"/>
      <c r="Z32" s="666"/>
      <c r="AA32" s="666"/>
      <c r="AB32" s="666"/>
      <c r="AC32" s="666"/>
      <c r="AD32" s="666"/>
      <c r="AE32" s="666"/>
      <c r="AF32" s="666"/>
      <c r="AG32" s="666"/>
      <c r="AH32" s="666"/>
      <c r="AI32" s="666"/>
      <c r="AJ32" s="666"/>
      <c r="AK32" s="666"/>
      <c r="AL32" s="666"/>
      <c r="AM32" s="666"/>
      <c r="AN32" s="666"/>
      <c r="AO32" s="666"/>
      <c r="AP32" s="666"/>
      <c r="AQ32" s="666"/>
      <c r="AR32" s="666"/>
      <c r="AS32" s="666"/>
      <c r="AT32" s="666"/>
      <c r="AU32" s="666"/>
    </row>
    <row r="33" spans="2:50" x14ac:dyDescent="0.2">
      <c r="B33" s="44" t="s">
        <v>828</v>
      </c>
    </row>
    <row r="34" spans="2:50" s="44" customFormat="1" x14ac:dyDescent="0.2">
      <c r="B34" s="55"/>
      <c r="C34" s="55">
        <v>2013</v>
      </c>
      <c r="D34" s="55">
        <v>2014</v>
      </c>
      <c r="E34" s="55">
        <v>2015</v>
      </c>
      <c r="F34" s="55">
        <v>2016</v>
      </c>
      <c r="G34" s="55">
        <v>2017</v>
      </c>
      <c r="H34" s="55">
        <v>2018</v>
      </c>
      <c r="I34" s="55">
        <v>2019</v>
      </c>
      <c r="J34" s="55">
        <v>2020</v>
      </c>
      <c r="K34" s="55">
        <v>2021</v>
      </c>
      <c r="L34" s="55">
        <v>2022</v>
      </c>
      <c r="M34" s="55">
        <v>2023</v>
      </c>
      <c r="N34" s="55">
        <v>2024</v>
      </c>
      <c r="O34" s="55">
        <v>2025</v>
      </c>
      <c r="P34" s="55">
        <v>2026</v>
      </c>
      <c r="Q34" s="55">
        <v>2027</v>
      </c>
      <c r="R34" s="55">
        <v>2028</v>
      </c>
      <c r="S34" s="55">
        <v>2029</v>
      </c>
      <c r="T34" s="55">
        <v>2030</v>
      </c>
      <c r="U34" s="55">
        <v>2031</v>
      </c>
      <c r="V34" s="55">
        <v>2032</v>
      </c>
      <c r="W34" s="55">
        <v>2033</v>
      </c>
      <c r="X34" s="55">
        <v>2034</v>
      </c>
      <c r="Y34" s="55">
        <v>2035</v>
      </c>
      <c r="Z34" s="55">
        <v>2036</v>
      </c>
      <c r="AA34" s="55">
        <v>2037</v>
      </c>
      <c r="AB34" s="55">
        <v>2038</v>
      </c>
      <c r="AC34" s="55">
        <v>2039</v>
      </c>
      <c r="AD34" s="55">
        <v>2040</v>
      </c>
      <c r="AE34" s="55">
        <v>2041</v>
      </c>
      <c r="AF34" s="55">
        <v>2042</v>
      </c>
      <c r="AG34" s="55">
        <v>2043</v>
      </c>
      <c r="AH34" s="55">
        <v>2044</v>
      </c>
      <c r="AI34" s="55">
        <v>2045</v>
      </c>
      <c r="AJ34" s="55">
        <v>2046</v>
      </c>
      <c r="AK34" s="55">
        <v>2047</v>
      </c>
      <c r="AL34" s="55">
        <v>2048</v>
      </c>
      <c r="AM34" s="55">
        <v>2049</v>
      </c>
      <c r="AN34" s="55">
        <v>2050</v>
      </c>
      <c r="AO34" s="55">
        <v>2051</v>
      </c>
      <c r="AP34" s="55">
        <v>2052</v>
      </c>
      <c r="AQ34" s="55">
        <v>2053</v>
      </c>
      <c r="AR34" s="55">
        <v>2054</v>
      </c>
      <c r="AS34" s="55">
        <v>2055</v>
      </c>
      <c r="AT34" s="55">
        <v>2056</v>
      </c>
      <c r="AU34" s="55">
        <v>2057</v>
      </c>
      <c r="AV34" s="55">
        <v>2058</v>
      </c>
      <c r="AW34" s="55">
        <v>2059</v>
      </c>
      <c r="AX34" s="55">
        <v>2060</v>
      </c>
    </row>
    <row r="35" spans="2:50" ht="16.5" customHeight="1" x14ac:dyDescent="0.2">
      <c r="B35" s="44" t="s">
        <v>829</v>
      </c>
      <c r="C35" s="36">
        <v>1.4906579115731011</v>
      </c>
      <c r="D35" s="36">
        <v>2.5708553468352546</v>
      </c>
      <c r="E35" s="36">
        <v>3.8310846235940721</v>
      </c>
      <c r="F35" s="36">
        <v>3.2851495868252423</v>
      </c>
      <c r="G35" s="36">
        <v>3.0286210728434293</v>
      </c>
      <c r="H35" s="36">
        <v>3.5948021183181744</v>
      </c>
      <c r="I35" s="36">
        <v>2.5529034480697765</v>
      </c>
      <c r="J35" s="36">
        <v>2.4762455895946056</v>
      </c>
      <c r="K35" s="36">
        <v>2.5920307227492501</v>
      </c>
      <c r="L35" s="36">
        <v>2.8630266966422013</v>
      </c>
      <c r="M35" s="36">
        <v>2.8898185203148685</v>
      </c>
      <c r="N35" s="36">
        <v>2.9233807872740325</v>
      </c>
      <c r="O35" s="36">
        <v>2.9256135816534856</v>
      </c>
      <c r="P35" s="36">
        <v>2.9436017336164522</v>
      </c>
      <c r="Q35" s="36">
        <v>2.9382465862146145</v>
      </c>
      <c r="R35" s="36">
        <v>2.9228904298593528</v>
      </c>
      <c r="S35" s="36">
        <v>2.8909104537476846</v>
      </c>
      <c r="T35" s="36">
        <v>2.8443676238187852</v>
      </c>
      <c r="U35" s="36">
        <v>2.7643357090561058</v>
      </c>
      <c r="V35" s="36">
        <v>2.6328718328863472</v>
      </c>
      <c r="W35" s="36">
        <v>2.483558474346645</v>
      </c>
      <c r="X35" s="36">
        <v>2.3414626923317789</v>
      </c>
      <c r="Y35" s="36">
        <v>2.1849258273755598</v>
      </c>
      <c r="Z35" s="36">
        <v>2.0270279694983531</v>
      </c>
      <c r="AA35" s="36">
        <v>1.9758678345968574</v>
      </c>
      <c r="AB35" s="36">
        <v>1.9287510506634167</v>
      </c>
      <c r="AC35" s="36">
        <v>1.8810272509055581</v>
      </c>
      <c r="AD35" s="36">
        <v>1.7608537923124818</v>
      </c>
      <c r="AE35" s="36">
        <v>1.6497452092690166</v>
      </c>
      <c r="AF35" s="36">
        <v>1.5400017215451292</v>
      </c>
      <c r="AG35" s="36">
        <v>1.4278829645272233</v>
      </c>
      <c r="AH35" s="36">
        <v>1.3160075258151227</v>
      </c>
      <c r="AI35" s="36">
        <v>1.2079541309699446</v>
      </c>
      <c r="AJ35" s="36">
        <v>1.198335536550416</v>
      </c>
      <c r="AK35" s="36">
        <v>1.1914676357276068</v>
      </c>
      <c r="AL35" s="36">
        <v>1.1875321366166678</v>
      </c>
      <c r="AM35" s="36">
        <v>1.1862852146104212</v>
      </c>
      <c r="AN35" s="36">
        <v>1.1856960624191664</v>
      </c>
      <c r="AO35" s="36">
        <v>1.1166405933951695</v>
      </c>
      <c r="AP35" s="36">
        <v>1.1093401332041384</v>
      </c>
      <c r="AQ35" s="36">
        <v>1.1150565942029294</v>
      </c>
      <c r="AR35" s="36">
        <v>1.1317082227006261</v>
      </c>
      <c r="AS35" s="36">
        <v>1.1493637655310562</v>
      </c>
      <c r="AT35" s="36">
        <v>1.1717730778941489</v>
      </c>
      <c r="AU35" s="36">
        <v>1.1919308956218926</v>
      </c>
      <c r="AV35" s="36">
        <v>1.2173513796400093</v>
      </c>
      <c r="AW35" s="36">
        <v>1.2327042987439216</v>
      </c>
      <c r="AX35" s="36">
        <v>1.2499353669144524</v>
      </c>
    </row>
    <row r="36" spans="2:50" x14ac:dyDescent="0.2">
      <c r="B36" s="44" t="s">
        <v>830</v>
      </c>
      <c r="C36" s="36">
        <v>0.94082151124590396</v>
      </c>
      <c r="D36" s="36">
        <v>2.1851989809477335</v>
      </c>
      <c r="E36" s="36">
        <v>3.0507288432415125</v>
      </c>
      <c r="F36" s="36">
        <v>3.437666145205065</v>
      </c>
      <c r="G36" s="36">
        <v>3.4326912772188578</v>
      </c>
      <c r="H36" s="36">
        <v>3.5491247690438987</v>
      </c>
      <c r="I36" s="36">
        <v>2.542368539573725</v>
      </c>
      <c r="J36" s="36">
        <v>2.5939547112274308</v>
      </c>
      <c r="K36" s="36">
        <v>2.5932707834853908</v>
      </c>
      <c r="L36" s="36">
        <v>2.5698606108765176</v>
      </c>
      <c r="M36" s="36">
        <v>2.6161516721099121</v>
      </c>
      <c r="N36" s="36">
        <v>2.9782504481963312</v>
      </c>
      <c r="O36" s="36">
        <v>2.9777419231921529</v>
      </c>
      <c r="P36" s="36">
        <v>2.9079113269540802</v>
      </c>
      <c r="Q36" s="36">
        <v>2.8269563373706674</v>
      </c>
      <c r="R36" s="36">
        <v>2.7458098535096584</v>
      </c>
      <c r="S36" s="36">
        <v>2.6561201057878039</v>
      </c>
      <c r="T36" s="36">
        <v>2.5113100209708565</v>
      </c>
      <c r="U36" s="36">
        <v>2.2931548910622235</v>
      </c>
      <c r="V36" s="36">
        <v>2.0345921596699807</v>
      </c>
      <c r="W36" s="36">
        <v>1.768420048292231</v>
      </c>
      <c r="X36" s="36">
        <v>1.5088556659301813</v>
      </c>
      <c r="Y36" s="36">
        <v>1.3202569197861844</v>
      </c>
      <c r="Z36" s="36">
        <v>1.2561654921773211</v>
      </c>
      <c r="AA36" s="36">
        <v>1.2010520643930409</v>
      </c>
      <c r="AB36" s="36">
        <v>1.149461656635907</v>
      </c>
      <c r="AC36" s="36">
        <v>1.1131833983252313</v>
      </c>
      <c r="AD36" s="36">
        <v>0.69003059587092275</v>
      </c>
      <c r="AE36" s="36">
        <v>0.66468855183146136</v>
      </c>
      <c r="AF36" s="36">
        <v>0.64503979797117506</v>
      </c>
      <c r="AG36" s="36">
        <v>0.63230416467594397</v>
      </c>
      <c r="AH36" s="36">
        <v>0.61862195923993313</v>
      </c>
      <c r="AI36" s="36">
        <v>0.60663377391880302</v>
      </c>
      <c r="AJ36" s="36">
        <v>0.57809410137199624</v>
      </c>
      <c r="AK36" s="36">
        <v>0.55731566287891887</v>
      </c>
      <c r="AL36" s="36">
        <v>0.54649550950644499</v>
      </c>
      <c r="AM36" s="36">
        <v>0.5430908878410392</v>
      </c>
      <c r="AN36" s="36">
        <v>0.5446825307117491</v>
      </c>
      <c r="AO36" s="36">
        <v>0.54737554422944612</v>
      </c>
      <c r="AP36" s="36">
        <v>0.55191941904928443</v>
      </c>
      <c r="AQ36" s="36">
        <v>0.56105909284358968</v>
      </c>
      <c r="AR36" s="36">
        <v>0.5768774868075186</v>
      </c>
      <c r="AS36" s="36">
        <v>0.60013685656097548</v>
      </c>
      <c r="AT36" s="36">
        <v>0.63173299057776577</v>
      </c>
      <c r="AU36" s="36">
        <v>0.66557551585112029</v>
      </c>
      <c r="AV36" s="36">
        <v>0.69561002911703906</v>
      </c>
      <c r="AW36" s="36">
        <v>0.72361230325767401</v>
      </c>
      <c r="AX36" s="36">
        <v>0.75101153987157354</v>
      </c>
    </row>
  </sheetData>
  <mergeCells count="2">
    <mergeCell ref="B5:G6"/>
    <mergeCell ref="I6:P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B5:AB27"/>
  <sheetViews>
    <sheetView showGridLines="0" zoomScaleNormal="100" workbookViewId="0">
      <selection activeCell="B6" sqref="B6"/>
    </sheetView>
  </sheetViews>
  <sheetFormatPr defaultRowHeight="12.75" x14ac:dyDescent="0.2"/>
  <cols>
    <col min="1" max="14" width="9.140625" style="35"/>
    <col min="15" max="15" width="29.28515625" style="35" bestFit="1" customWidth="1"/>
    <col min="16" max="16" width="7.7109375" style="35" bestFit="1" customWidth="1"/>
    <col min="17" max="17" width="9.42578125" style="35" bestFit="1" customWidth="1"/>
    <col min="18" max="16384" width="9.140625" style="35"/>
  </cols>
  <sheetData>
    <row r="5" spans="2:28" x14ac:dyDescent="0.2">
      <c r="B5" s="854" t="s">
        <v>1074</v>
      </c>
      <c r="C5" s="854"/>
      <c r="D5" s="854"/>
      <c r="E5" s="854"/>
      <c r="F5" s="854"/>
      <c r="G5" s="854"/>
    </row>
    <row r="7" spans="2:28" x14ac:dyDescent="0.2">
      <c r="Z7" s="123"/>
      <c r="AA7" s="123"/>
      <c r="AB7" s="123"/>
    </row>
    <row r="8" spans="2:28" x14ac:dyDescent="0.2">
      <c r="O8" s="674"/>
      <c r="P8" s="674" t="s">
        <v>670</v>
      </c>
      <c r="Q8" s="674" t="s">
        <v>671</v>
      </c>
      <c r="Z8" s="123"/>
      <c r="AA8" s="671"/>
      <c r="AB8" s="671"/>
    </row>
    <row r="9" spans="2:28" x14ac:dyDescent="0.2">
      <c r="O9" s="122" t="s">
        <v>672</v>
      </c>
      <c r="P9" s="672">
        <v>5.6060843594908788E-2</v>
      </c>
      <c r="Q9" s="672">
        <v>0</v>
      </c>
      <c r="Z9" s="123"/>
      <c r="AA9" s="671"/>
      <c r="AB9" s="671"/>
    </row>
    <row r="10" spans="2:28" x14ac:dyDescent="0.2">
      <c r="O10" s="123" t="s">
        <v>673</v>
      </c>
      <c r="P10" s="671">
        <v>2.6705679277863621E-2</v>
      </c>
      <c r="Q10" s="671">
        <v>2.5607089023347582E-3</v>
      </c>
      <c r="Z10" s="123"/>
      <c r="AA10" s="671"/>
      <c r="AB10" s="671"/>
    </row>
    <row r="11" spans="2:28" x14ac:dyDescent="0.2">
      <c r="O11" s="123" t="s">
        <v>674</v>
      </c>
      <c r="P11" s="671">
        <v>1.5332122944806117E-2</v>
      </c>
      <c r="Q11" s="671">
        <v>1.3474530544629605E-2</v>
      </c>
      <c r="Z11" s="123"/>
      <c r="AA11" s="671"/>
      <c r="AB11" s="671"/>
    </row>
    <row r="12" spans="2:28" x14ac:dyDescent="0.2">
      <c r="O12" s="123" t="s">
        <v>675</v>
      </c>
      <c r="P12" s="671">
        <v>2.665924509444232E-2</v>
      </c>
      <c r="Q12" s="671">
        <v>0</v>
      </c>
      <c r="Z12" s="123"/>
      <c r="AA12" s="671"/>
      <c r="AB12" s="671"/>
    </row>
    <row r="13" spans="2:28" x14ac:dyDescent="0.2">
      <c r="O13" s="123" t="s">
        <v>676</v>
      </c>
      <c r="P13" s="671">
        <v>1.5462171333796683E-2</v>
      </c>
      <c r="Q13" s="671">
        <v>2.1288073678608827E-3</v>
      </c>
      <c r="Z13" s="123"/>
      <c r="AA13" s="671"/>
      <c r="AB13" s="671"/>
    </row>
    <row r="14" spans="2:28" x14ac:dyDescent="0.2">
      <c r="O14" s="123" t="s">
        <v>677</v>
      </c>
      <c r="P14" s="671">
        <v>1.7919400779693135E-4</v>
      </c>
      <c r="Q14" s="671">
        <v>1.2612512808985852E-2</v>
      </c>
      <c r="Z14" s="123"/>
      <c r="AA14" s="671"/>
      <c r="AB14" s="671"/>
    </row>
    <row r="15" spans="2:28" x14ac:dyDescent="0.2">
      <c r="O15" s="123" t="s">
        <v>678</v>
      </c>
      <c r="P15" s="671">
        <v>6.7991179105650931E-5</v>
      </c>
      <c r="Q15" s="671">
        <v>1.2422123575548023E-2</v>
      </c>
      <c r="Z15" s="123"/>
      <c r="AA15" s="671"/>
      <c r="AB15" s="671"/>
    </row>
    <row r="16" spans="2:28" x14ac:dyDescent="0.2">
      <c r="O16" s="123" t="s">
        <v>679</v>
      </c>
      <c r="P16" s="671">
        <v>9.8778258157805384E-3</v>
      </c>
      <c r="Q16" s="671">
        <v>0</v>
      </c>
      <c r="Z16" s="123"/>
      <c r="AA16" s="671"/>
      <c r="AB16" s="671"/>
    </row>
    <row r="17" spans="2:28" x14ac:dyDescent="0.2">
      <c r="O17" s="123" t="s">
        <v>680</v>
      </c>
      <c r="P17" s="671">
        <v>5.9466907439413045E-3</v>
      </c>
      <c r="Q17" s="671">
        <v>0</v>
      </c>
      <c r="Z17" s="123"/>
      <c r="AA17" s="671"/>
      <c r="AB17" s="671"/>
    </row>
    <row r="18" spans="2:28" x14ac:dyDescent="0.2">
      <c r="O18" s="123" t="s">
        <v>681</v>
      </c>
      <c r="P18" s="671">
        <v>1.9742177266376297E-3</v>
      </c>
      <c r="Q18" s="671">
        <v>3.1243777424122638E-3</v>
      </c>
      <c r="Z18" s="123"/>
      <c r="AA18" s="671"/>
      <c r="AB18" s="671"/>
    </row>
    <row r="19" spans="2:28" x14ac:dyDescent="0.2">
      <c r="O19" s="123" t="s">
        <v>682</v>
      </c>
      <c r="P19" s="671">
        <v>4.087907393319627E-4</v>
      </c>
      <c r="Q19" s="671">
        <v>4.2390539468033115E-3</v>
      </c>
      <c r="Z19" s="123"/>
      <c r="AA19" s="671"/>
      <c r="AB19" s="671"/>
    </row>
    <row r="20" spans="2:28" x14ac:dyDescent="0.2">
      <c r="O20" s="123" t="s">
        <v>683</v>
      </c>
      <c r="P20" s="671">
        <v>1.4825598985864324E-4</v>
      </c>
      <c r="Q20" s="671">
        <v>3.1339777513003427E-3</v>
      </c>
      <c r="Z20" s="123"/>
      <c r="AA20" s="671"/>
      <c r="AB20" s="671"/>
    </row>
    <row r="21" spans="2:28" x14ac:dyDescent="0.2">
      <c r="O21" s="123" t="s">
        <v>684</v>
      </c>
      <c r="P21" s="671">
        <v>2.6728531622395234E-5</v>
      </c>
      <c r="Q21" s="671">
        <v>2.8432192849899493E-3</v>
      </c>
      <c r="Z21" s="123"/>
      <c r="AA21" s="671"/>
      <c r="AB21" s="671"/>
    </row>
    <row r="22" spans="2:28" x14ac:dyDescent="0.2">
      <c r="O22" s="123" t="s">
        <v>685</v>
      </c>
      <c r="P22" s="671">
        <v>9.3116768787926109E-5</v>
      </c>
      <c r="Q22" s="671">
        <v>1.9196547427628875E-3</v>
      </c>
      <c r="Z22" s="123"/>
      <c r="AA22" s="671"/>
      <c r="AB22" s="671"/>
    </row>
    <row r="23" spans="2:28" x14ac:dyDescent="0.2">
      <c r="O23" s="123" t="s">
        <v>686</v>
      </c>
      <c r="P23" s="671">
        <v>5.8757257157673994E-5</v>
      </c>
      <c r="Q23" s="671">
        <v>1.336272629099726E-3</v>
      </c>
    </row>
    <row r="24" spans="2:28" x14ac:dyDescent="0.2">
      <c r="O24" s="491"/>
      <c r="P24" s="491"/>
      <c r="Q24" s="491"/>
    </row>
    <row r="27" spans="2:28" x14ac:dyDescent="0.2">
      <c r="B27" s="673" t="s">
        <v>687</v>
      </c>
      <c r="K27" s="673" t="s">
        <v>3</v>
      </c>
    </row>
  </sheetData>
  <mergeCells count="1">
    <mergeCell ref="B5:G5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B4:I10"/>
  <sheetViews>
    <sheetView showGridLines="0" workbookViewId="0">
      <selection activeCell="B54" sqref="B54"/>
    </sheetView>
  </sheetViews>
  <sheetFormatPr defaultRowHeight="12.75" x14ac:dyDescent="0.2"/>
  <cols>
    <col min="1" max="1" width="9.140625" style="35"/>
    <col min="2" max="2" width="81" style="35" customWidth="1"/>
    <col min="3" max="7" width="7.85546875" style="35" customWidth="1"/>
    <col min="8" max="8" width="9.28515625" style="35" customWidth="1"/>
    <col min="9" max="9" width="9.42578125" style="35" customWidth="1"/>
    <col min="10" max="16384" width="9.140625" style="35"/>
  </cols>
  <sheetData>
    <row r="4" spans="2:9" ht="13.5" thickBot="1" x14ac:dyDescent="0.25">
      <c r="B4" s="360" t="s">
        <v>688</v>
      </c>
    </row>
    <row r="5" spans="2:9" x14ac:dyDescent="0.2">
      <c r="B5" s="862"/>
      <c r="C5" s="864">
        <v>2017</v>
      </c>
      <c r="D5" s="864" t="s">
        <v>689</v>
      </c>
      <c r="E5" s="864">
        <v>2018</v>
      </c>
      <c r="F5" s="864">
        <v>2019</v>
      </c>
      <c r="G5" s="859">
        <v>2020</v>
      </c>
      <c r="H5" s="859" t="s">
        <v>690</v>
      </c>
      <c r="I5" s="859"/>
    </row>
    <row r="6" spans="2:9" ht="13.5" thickBot="1" x14ac:dyDescent="0.25">
      <c r="B6" s="863"/>
      <c r="C6" s="865"/>
      <c r="D6" s="865"/>
      <c r="E6" s="865"/>
      <c r="F6" s="865"/>
      <c r="G6" s="866"/>
      <c r="H6" s="675" t="s">
        <v>1</v>
      </c>
      <c r="I6" s="294" t="s">
        <v>0</v>
      </c>
    </row>
    <row r="7" spans="2:9" x14ac:dyDescent="0.2">
      <c r="B7" s="642" t="s">
        <v>1053</v>
      </c>
      <c r="C7" s="120">
        <v>143</v>
      </c>
      <c r="D7" s="676">
        <v>34</v>
      </c>
      <c r="E7" s="120">
        <v>159</v>
      </c>
      <c r="F7" s="120">
        <v>165</v>
      </c>
      <c r="G7" s="120">
        <v>193</v>
      </c>
      <c r="H7" s="676">
        <v>268</v>
      </c>
      <c r="I7" s="60">
        <v>0.33</v>
      </c>
    </row>
    <row r="8" spans="2:9" x14ac:dyDescent="0.2">
      <c r="B8" s="59" t="s">
        <v>1054</v>
      </c>
      <c r="C8" s="120">
        <v>31</v>
      </c>
      <c r="D8" s="676">
        <v>-7</v>
      </c>
      <c r="E8" s="120">
        <v>31</v>
      </c>
      <c r="F8" s="120">
        <v>31</v>
      </c>
      <c r="G8" s="120">
        <v>31</v>
      </c>
      <c r="H8" s="676">
        <v>95</v>
      </c>
      <c r="I8" s="60">
        <v>0.12</v>
      </c>
    </row>
    <row r="9" spans="2:9" ht="13.5" thickBot="1" x14ac:dyDescent="0.25">
      <c r="B9" s="677" t="s">
        <v>1055</v>
      </c>
      <c r="C9" s="121" t="s">
        <v>2</v>
      </c>
      <c r="D9" s="675" t="s">
        <v>2</v>
      </c>
      <c r="E9" s="121">
        <v>0</v>
      </c>
      <c r="F9" s="121">
        <v>65</v>
      </c>
      <c r="G9" s="121">
        <v>65</v>
      </c>
      <c r="H9" s="675">
        <v>130</v>
      </c>
      <c r="I9" s="294">
        <v>0.16</v>
      </c>
    </row>
    <row r="10" spans="2:9" x14ac:dyDescent="0.2">
      <c r="B10" s="860" t="s">
        <v>691</v>
      </c>
      <c r="C10" s="860"/>
      <c r="D10" s="860"/>
      <c r="E10" s="860"/>
      <c r="F10" s="861" t="s">
        <v>3</v>
      </c>
      <c r="G10" s="861"/>
      <c r="H10" s="861"/>
      <c r="I10" s="861"/>
    </row>
  </sheetData>
  <mergeCells count="9">
    <mergeCell ref="H5:I5"/>
    <mergeCell ref="B10:E10"/>
    <mergeCell ref="F10:I10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B4:D20"/>
  <sheetViews>
    <sheetView showGridLines="0" workbookViewId="0">
      <selection activeCell="D17" sqref="D17"/>
    </sheetView>
  </sheetViews>
  <sheetFormatPr defaultColWidth="9.140625" defaultRowHeight="12.75" x14ac:dyDescent="0.2"/>
  <cols>
    <col min="1" max="1" width="9.140625" style="215"/>
    <col min="2" max="2" width="38.5703125" style="215" customWidth="1"/>
    <col min="3" max="3" width="12" style="215" customWidth="1"/>
    <col min="4" max="4" width="32.42578125" style="215" customWidth="1"/>
    <col min="5" max="5" width="6.5703125" style="215" customWidth="1"/>
    <col min="6" max="6" width="11.5703125" style="215" customWidth="1"/>
    <col min="7" max="16384" width="9.140625" style="215"/>
  </cols>
  <sheetData>
    <row r="4" spans="2:4" ht="13.5" thickBot="1" x14ac:dyDescent="0.25">
      <c r="B4" s="678" t="s">
        <v>692</v>
      </c>
    </row>
    <row r="5" spans="2:4" x14ac:dyDescent="0.2">
      <c r="B5" s="679"/>
      <c r="C5" s="867" t="s">
        <v>693</v>
      </c>
      <c r="D5" s="867"/>
    </row>
    <row r="6" spans="2:4" ht="13.5" thickBot="1" x14ac:dyDescent="0.25">
      <c r="B6" s="28"/>
      <c r="C6" s="680" t="s">
        <v>80</v>
      </c>
      <c r="D6" s="680" t="s">
        <v>0</v>
      </c>
    </row>
    <row r="7" spans="2:4" ht="16.5" customHeight="1" x14ac:dyDescent="0.2">
      <c r="B7" s="29" t="s">
        <v>694</v>
      </c>
      <c r="C7" s="681">
        <v>9.6999999999999993</v>
      </c>
      <c r="D7" s="681">
        <v>11.4</v>
      </c>
    </row>
    <row r="8" spans="2:4" ht="16.5" customHeight="1" x14ac:dyDescent="0.2">
      <c r="B8" s="75" t="s">
        <v>695</v>
      </c>
      <c r="C8" s="681">
        <v>22.8</v>
      </c>
      <c r="D8" s="681">
        <v>27</v>
      </c>
    </row>
    <row r="9" spans="2:4" ht="16.5" customHeight="1" thickBot="1" x14ac:dyDescent="0.25">
      <c r="B9" s="677" t="s">
        <v>696</v>
      </c>
      <c r="C9" s="680">
        <v>32.5</v>
      </c>
      <c r="D9" s="680">
        <v>38.4</v>
      </c>
    </row>
    <row r="10" spans="2:4" ht="16.5" customHeight="1" x14ac:dyDescent="0.2">
      <c r="B10" s="868" t="s">
        <v>3</v>
      </c>
      <c r="C10" s="868"/>
      <c r="D10" s="868"/>
    </row>
    <row r="11" spans="2:4" ht="16.5" customHeight="1" x14ac:dyDescent="0.2"/>
    <row r="12" spans="2:4" ht="16.5" customHeight="1" x14ac:dyDescent="0.2"/>
    <row r="13" spans="2:4" ht="16.5" customHeight="1" x14ac:dyDescent="0.2"/>
    <row r="14" spans="2:4" ht="16.5" customHeight="1" x14ac:dyDescent="0.2"/>
    <row r="15" spans="2:4" ht="16.5" customHeight="1" x14ac:dyDescent="0.2"/>
    <row r="16" spans="2:4" ht="16.5" customHeight="1" x14ac:dyDescent="0.2"/>
    <row r="17" ht="16.5" customHeight="1" x14ac:dyDescent="0.2"/>
    <row r="18" ht="16.5" customHeight="1" x14ac:dyDescent="0.2"/>
    <row r="19" ht="16.5" customHeight="1" x14ac:dyDescent="0.2"/>
    <row r="20" ht="16.5" customHeight="1" x14ac:dyDescent="0.2"/>
  </sheetData>
  <mergeCells count="2">
    <mergeCell ref="C5:D5"/>
    <mergeCell ref="B10:D1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B4:T44"/>
  <sheetViews>
    <sheetView showGridLines="0" workbookViewId="0"/>
  </sheetViews>
  <sheetFormatPr defaultColWidth="9.140625" defaultRowHeight="12.75" x14ac:dyDescent="0.2"/>
  <cols>
    <col min="1" max="1" width="9.140625" style="35"/>
    <col min="2" max="2" width="72.85546875" style="35" customWidth="1"/>
    <col min="3" max="3" width="73.5703125" style="35" customWidth="1"/>
    <col min="4" max="4" width="13.140625" style="35" bestFit="1" customWidth="1"/>
    <col min="5" max="5" width="21.42578125" style="35" bestFit="1" customWidth="1"/>
    <col min="6" max="9" width="12" style="35" bestFit="1" customWidth="1"/>
    <col min="10" max="20" width="12" style="35" customWidth="1"/>
    <col min="21" max="16384" width="9.140625" style="35"/>
  </cols>
  <sheetData>
    <row r="4" spans="2:20" x14ac:dyDescent="0.2">
      <c r="B4" s="869" t="s">
        <v>1075</v>
      </c>
      <c r="C4" s="869"/>
    </row>
    <row r="5" spans="2:20" x14ac:dyDescent="0.2">
      <c r="B5" s="682" t="s">
        <v>4</v>
      </c>
      <c r="C5" s="682" t="s">
        <v>697</v>
      </c>
    </row>
    <row r="6" spans="2:20" x14ac:dyDescent="0.2">
      <c r="B6" s="124"/>
      <c r="C6" s="79"/>
      <c r="E6" s="683"/>
      <c r="F6" s="683">
        <v>2006</v>
      </c>
      <c r="G6" s="683">
        <v>2007</v>
      </c>
      <c r="H6" s="683">
        <v>2008</v>
      </c>
      <c r="I6" s="683">
        <v>2009</v>
      </c>
      <c r="J6" s="683">
        <v>2010</v>
      </c>
      <c r="K6" s="683">
        <v>2011</v>
      </c>
      <c r="L6" s="683">
        <v>2012</v>
      </c>
      <c r="M6" s="683">
        <v>2013</v>
      </c>
      <c r="N6" s="683">
        <v>2014</v>
      </c>
      <c r="O6" s="683">
        <v>2015</v>
      </c>
      <c r="P6" s="683">
        <v>2016</v>
      </c>
      <c r="Q6" s="683">
        <v>2017</v>
      </c>
      <c r="R6" s="683">
        <v>2018</v>
      </c>
      <c r="S6" s="683">
        <v>2019</v>
      </c>
      <c r="T6" s="683">
        <v>2020</v>
      </c>
    </row>
    <row r="7" spans="2:20" x14ac:dyDescent="0.2">
      <c r="B7" s="215"/>
      <c r="E7" s="684" t="s">
        <v>698</v>
      </c>
      <c r="F7" s="685">
        <v>5</v>
      </c>
      <c r="G7" s="685">
        <v>4.9000000000000004</v>
      </c>
      <c r="H7" s="685">
        <v>5</v>
      </c>
      <c r="I7" s="685">
        <v>5.3</v>
      </c>
      <c r="J7" s="685">
        <v>5.3</v>
      </c>
      <c r="K7" s="685">
        <v>5.0999999999999996</v>
      </c>
      <c r="L7" s="685">
        <v>5</v>
      </c>
      <c r="M7" s="686">
        <v>5</v>
      </c>
      <c r="N7" s="685">
        <v>5</v>
      </c>
      <c r="O7" s="685">
        <v>4.9000000000000004</v>
      </c>
      <c r="P7" s="687"/>
      <c r="Q7" s="687"/>
      <c r="R7" s="687"/>
      <c r="S7" s="687"/>
      <c r="T7" s="687"/>
    </row>
    <row r="8" spans="2:20" x14ac:dyDescent="0.2">
      <c r="E8" s="684" t="s">
        <v>247</v>
      </c>
      <c r="F8" s="685">
        <v>3.9</v>
      </c>
      <c r="G8" s="685">
        <v>3.5</v>
      </c>
      <c r="H8" s="685">
        <v>3.5</v>
      </c>
      <c r="I8" s="685">
        <v>4.2</v>
      </c>
      <c r="J8" s="685">
        <v>4.2</v>
      </c>
      <c r="K8" s="685">
        <v>4.0999999999999996</v>
      </c>
      <c r="L8" s="685">
        <v>4.0999999999999996</v>
      </c>
      <c r="M8" s="685">
        <v>4</v>
      </c>
      <c r="N8" s="685">
        <v>4.0999999999999996</v>
      </c>
      <c r="O8" s="685">
        <v>4.2</v>
      </c>
      <c r="P8" s="688">
        <v>3.9485784287417869</v>
      </c>
      <c r="Q8" s="689">
        <v>3.9877732541530033</v>
      </c>
      <c r="R8" s="689">
        <v>3.9161046278818201</v>
      </c>
      <c r="S8" s="689">
        <v>4.2369741389582414</v>
      </c>
      <c r="T8" s="689">
        <v>4.0480515328353057</v>
      </c>
    </row>
    <row r="9" spans="2:20" x14ac:dyDescent="0.2">
      <c r="E9" s="690" t="s">
        <v>172</v>
      </c>
      <c r="F9" s="691">
        <v>5.5666666666666673</v>
      </c>
      <c r="G9" s="691">
        <v>5.3</v>
      </c>
      <c r="H9" s="691">
        <v>5.1999999999999993</v>
      </c>
      <c r="I9" s="691">
        <v>5.2666666666666666</v>
      </c>
      <c r="J9" s="691">
        <v>5.3666666666666671</v>
      </c>
      <c r="K9" s="691">
        <v>5.2</v>
      </c>
      <c r="L9" s="691">
        <v>5.0333333333333341</v>
      </c>
      <c r="M9" s="691">
        <v>4.9999999999999991</v>
      </c>
      <c r="N9" s="691">
        <v>5.1666666666666661</v>
      </c>
      <c r="O9" s="691">
        <v>5.1000000000000005</v>
      </c>
      <c r="P9" s="692"/>
      <c r="Q9" s="692"/>
      <c r="R9" s="692"/>
      <c r="S9" s="692"/>
      <c r="T9" s="692"/>
    </row>
    <row r="11" spans="2:20" x14ac:dyDescent="0.2">
      <c r="E11" s="683"/>
      <c r="F11" s="693">
        <v>2006</v>
      </c>
      <c r="G11" s="693">
        <v>2007</v>
      </c>
      <c r="H11" s="693">
        <v>2008</v>
      </c>
      <c r="I11" s="693">
        <v>2009</v>
      </c>
      <c r="J11" s="693">
        <v>2010</v>
      </c>
      <c r="K11" s="693">
        <v>2011</v>
      </c>
      <c r="L11" s="693">
        <v>2012</v>
      </c>
      <c r="M11" s="693">
        <v>2013</v>
      </c>
      <c r="N11" s="693">
        <v>2014</v>
      </c>
      <c r="O11" s="693">
        <v>2015</v>
      </c>
      <c r="P11" s="693">
        <v>2016</v>
      </c>
      <c r="Q11" s="693">
        <v>2017</v>
      </c>
      <c r="R11" s="693">
        <v>2018</v>
      </c>
      <c r="S11" s="693">
        <v>2019</v>
      </c>
      <c r="T11" s="693">
        <v>2020</v>
      </c>
    </row>
    <row r="12" spans="2:20" x14ac:dyDescent="0.2">
      <c r="E12" s="694" t="s">
        <v>698</v>
      </c>
      <c r="F12" s="695">
        <v>11</v>
      </c>
      <c r="G12" s="695">
        <v>10.9</v>
      </c>
      <c r="H12" s="695">
        <v>10.7</v>
      </c>
      <c r="I12" s="695">
        <v>10.5</v>
      </c>
      <c r="J12" s="695">
        <v>10.6</v>
      </c>
      <c r="K12" s="695">
        <v>10.5</v>
      </c>
      <c r="L12" s="695">
        <v>10.3</v>
      </c>
      <c r="M12" s="695">
        <v>10.199999999999999</v>
      </c>
      <c r="N12" s="695">
        <v>10.3</v>
      </c>
      <c r="O12" s="695">
        <v>10.3</v>
      </c>
      <c r="P12" s="687"/>
      <c r="Q12" s="687"/>
      <c r="R12" s="687"/>
      <c r="S12" s="687"/>
      <c r="T12" s="687"/>
    </row>
    <row r="13" spans="2:20" x14ac:dyDescent="0.2">
      <c r="E13" s="694" t="s">
        <v>247</v>
      </c>
      <c r="F13" s="695">
        <v>10</v>
      </c>
      <c r="G13" s="695">
        <v>9.6999999999999993</v>
      </c>
      <c r="H13" s="695">
        <v>9.5</v>
      </c>
      <c r="I13" s="695">
        <v>9.5</v>
      </c>
      <c r="J13" s="695">
        <v>9.9</v>
      </c>
      <c r="K13" s="695">
        <v>10.1</v>
      </c>
      <c r="L13" s="695">
        <v>10</v>
      </c>
      <c r="M13" s="695">
        <v>9.5</v>
      </c>
      <c r="N13" s="695">
        <v>9.8000000000000007</v>
      </c>
      <c r="O13" s="695">
        <v>9.3000000000000007</v>
      </c>
      <c r="P13" s="696">
        <v>9.7447492457143436</v>
      </c>
      <c r="Q13" s="696">
        <v>9.7691440911536098</v>
      </c>
      <c r="R13" s="696">
        <v>9.9636747253693727</v>
      </c>
      <c r="S13" s="696">
        <v>10.796916379992892</v>
      </c>
      <c r="T13" s="696">
        <v>10.492329223052373</v>
      </c>
    </row>
    <row r="14" spans="2:20" x14ac:dyDescent="0.2">
      <c r="E14" s="692" t="s">
        <v>172</v>
      </c>
      <c r="F14" s="691">
        <v>12.266666666666666</v>
      </c>
      <c r="G14" s="691">
        <v>11.966666666666667</v>
      </c>
      <c r="H14" s="691">
        <v>11.766666666666666</v>
      </c>
      <c r="I14" s="691">
        <v>11.4</v>
      </c>
      <c r="J14" s="691">
        <v>11.700000000000001</v>
      </c>
      <c r="K14" s="691">
        <v>11.466666666666667</v>
      </c>
      <c r="L14" s="691">
        <v>11.200000000000001</v>
      </c>
      <c r="M14" s="691">
        <v>11.233333333333334</v>
      </c>
      <c r="N14" s="691">
        <v>11.666666666666666</v>
      </c>
      <c r="O14" s="691">
        <v>11.566666666666668</v>
      </c>
      <c r="P14" s="692"/>
      <c r="Q14" s="692"/>
      <c r="R14" s="692"/>
      <c r="S14" s="692"/>
      <c r="T14" s="692"/>
    </row>
    <row r="16" spans="2:20" x14ac:dyDescent="0.2">
      <c r="E16" s="391" t="s">
        <v>699</v>
      </c>
      <c r="F16" s="391">
        <v>2003</v>
      </c>
      <c r="G16" s="391">
        <v>2006</v>
      </c>
      <c r="H16" s="391">
        <v>2009</v>
      </c>
      <c r="I16" s="391">
        <v>2012</v>
      </c>
      <c r="J16" s="391">
        <v>2015</v>
      </c>
    </row>
    <row r="17" spans="2:10" x14ac:dyDescent="0.2">
      <c r="E17" s="35" t="s">
        <v>247</v>
      </c>
      <c r="F17" s="36">
        <v>483.67124999999999</v>
      </c>
      <c r="G17" s="36">
        <v>482.29646666666667</v>
      </c>
      <c r="H17" s="36">
        <v>488.13089999999994</v>
      </c>
      <c r="I17" s="36">
        <v>471.86830000000003</v>
      </c>
      <c r="J17" s="36">
        <v>462.83976666666666</v>
      </c>
    </row>
    <row r="18" spans="2:10" x14ac:dyDescent="0.2">
      <c r="E18" s="35" t="s">
        <v>172</v>
      </c>
      <c r="F18" s="36">
        <v>493.95391666666671</v>
      </c>
      <c r="G18" s="36">
        <v>498.17260000000005</v>
      </c>
      <c r="H18" s="36">
        <v>495.75990000000002</v>
      </c>
      <c r="I18" s="36">
        <v>502.38436666666666</v>
      </c>
      <c r="J18" s="36">
        <v>489.67876666666666</v>
      </c>
    </row>
    <row r="19" spans="2:10" x14ac:dyDescent="0.2">
      <c r="E19" s="50" t="s">
        <v>700</v>
      </c>
      <c r="F19" s="390">
        <v>496.46605</v>
      </c>
      <c r="G19" s="390">
        <v>493.44149999999996</v>
      </c>
      <c r="H19" s="390">
        <v>496.75953333333331</v>
      </c>
      <c r="I19" s="390">
        <v>497.0281333333333</v>
      </c>
      <c r="J19" s="390">
        <v>491.94969999999995</v>
      </c>
    </row>
    <row r="20" spans="2:10" ht="16.5" customHeight="1" x14ac:dyDescent="0.2"/>
    <row r="21" spans="2:10" x14ac:dyDescent="0.2">
      <c r="E21" s="697"/>
      <c r="F21" s="698" t="s">
        <v>701</v>
      </c>
      <c r="G21" s="698" t="s">
        <v>702</v>
      </c>
      <c r="H21" s="698" t="s">
        <v>703</v>
      </c>
      <c r="I21" s="698" t="s">
        <v>704</v>
      </c>
    </row>
    <row r="22" spans="2:10" x14ac:dyDescent="0.2">
      <c r="E22" s="97" t="s">
        <v>705</v>
      </c>
      <c r="F22" s="699">
        <v>0.91605480299362996</v>
      </c>
      <c r="G22" s="699">
        <v>0.78981860319997832</v>
      </c>
      <c r="H22" s="699">
        <v>0.79085147598975458</v>
      </c>
      <c r="I22" s="699">
        <v>0.82809229973912835</v>
      </c>
    </row>
    <row r="23" spans="2:10" x14ac:dyDescent="0.2">
      <c r="B23" s="700" t="s">
        <v>706</v>
      </c>
      <c r="C23" s="700" t="s">
        <v>706</v>
      </c>
      <c r="E23" s="701" t="s">
        <v>247</v>
      </c>
      <c r="F23" s="702">
        <v>0.5791712264903921</v>
      </c>
      <c r="G23" s="702">
        <v>0.54175724340054165</v>
      </c>
      <c r="H23" s="702">
        <v>0.63329113956653638</v>
      </c>
      <c r="I23" s="702">
        <v>0.64320283946996715</v>
      </c>
    </row>
    <row r="25" spans="2:10" ht="16.5" customHeight="1" x14ac:dyDescent="0.2">
      <c r="B25" s="703" t="s">
        <v>1076</v>
      </c>
      <c r="C25" s="869" t="s">
        <v>1077</v>
      </c>
      <c r="D25" s="703"/>
    </row>
    <row r="26" spans="2:10" x14ac:dyDescent="0.2">
      <c r="C26" s="869"/>
      <c r="D26" s="703"/>
    </row>
    <row r="44" spans="2:3" x14ac:dyDescent="0.2">
      <c r="B44" s="700" t="s">
        <v>707</v>
      </c>
      <c r="C44" s="700" t="s">
        <v>708</v>
      </c>
    </row>
  </sheetData>
  <mergeCells count="2">
    <mergeCell ref="B4:C4"/>
    <mergeCell ref="C25:C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7"/>
  <dimension ref="B2:ER150"/>
  <sheetViews>
    <sheetView showGridLines="0" zoomScaleNormal="100" workbookViewId="0">
      <selection activeCell="I16" sqref="I16"/>
    </sheetView>
  </sheetViews>
  <sheetFormatPr defaultColWidth="8.85546875" defaultRowHeight="12.75" x14ac:dyDescent="0.2"/>
  <cols>
    <col min="1" max="1" width="11.85546875" style="35" bestFit="1" customWidth="1"/>
    <col min="2" max="3" width="11.85546875" style="35" customWidth="1"/>
    <col min="4" max="4" width="9.42578125" style="35" customWidth="1"/>
    <col min="5" max="5" width="14.140625" style="35" customWidth="1"/>
    <col min="6" max="6" width="11.28515625" style="35" customWidth="1"/>
    <col min="7" max="8" width="8.85546875" style="35"/>
    <col min="9" max="9" width="16.42578125" style="35" customWidth="1"/>
    <col min="10" max="10" width="13.28515625" style="35" bestFit="1" customWidth="1"/>
    <col min="11" max="11" width="12.7109375" style="35" customWidth="1"/>
    <col min="12" max="12" width="13.140625" style="35" customWidth="1"/>
    <col min="13" max="14" width="14.140625" style="35" bestFit="1" customWidth="1"/>
    <col min="15" max="16" width="10.140625" style="35" customWidth="1"/>
    <col min="17" max="42" width="8.85546875" style="35" customWidth="1"/>
    <col min="43" max="44" width="9.42578125" style="35" bestFit="1" customWidth="1"/>
    <col min="45" max="45" width="9" style="35" bestFit="1" customWidth="1"/>
    <col min="46" max="50" width="9.42578125" style="35" bestFit="1" customWidth="1"/>
    <col min="51" max="53" width="10.5703125" style="35" bestFit="1" customWidth="1"/>
    <col min="54" max="54" width="9.42578125" style="35" bestFit="1" customWidth="1"/>
    <col min="55" max="57" width="10.5703125" style="35" bestFit="1" customWidth="1"/>
    <col min="58" max="58" width="9.42578125" style="35" bestFit="1" customWidth="1"/>
    <col min="59" max="61" width="10.5703125" style="35" bestFit="1" customWidth="1"/>
    <col min="62" max="63" width="9" style="35" bestFit="1" customWidth="1"/>
    <col min="64" max="66" width="9.42578125" style="35" bestFit="1" customWidth="1"/>
    <col min="67" max="67" width="9" style="35" bestFit="1" customWidth="1"/>
    <col min="68" max="70" width="9.42578125" style="35" bestFit="1" customWidth="1"/>
    <col min="71" max="71" width="9" style="35" bestFit="1" customWidth="1"/>
    <col min="72" max="74" width="9.42578125" style="35" bestFit="1" customWidth="1"/>
    <col min="75" max="76" width="9" style="35" bestFit="1" customWidth="1"/>
    <col min="77" max="79" width="9.42578125" style="35" bestFit="1" customWidth="1"/>
    <col min="80" max="80" width="9" style="35" bestFit="1" customWidth="1"/>
    <col min="81" max="83" width="9.42578125" style="35" bestFit="1" customWidth="1"/>
    <col min="84" max="84" width="9" style="35" bestFit="1" customWidth="1"/>
    <col min="85" max="87" width="9.42578125" style="35" bestFit="1" customWidth="1"/>
    <col min="88" max="89" width="9" style="35" bestFit="1" customWidth="1"/>
    <col min="90" max="92" width="9.42578125" style="35" bestFit="1" customWidth="1"/>
    <col min="93" max="93" width="9" style="35" bestFit="1" customWidth="1"/>
    <col min="94" max="96" width="9.42578125" style="35" bestFit="1" customWidth="1"/>
    <col min="97" max="98" width="9" style="35" bestFit="1" customWidth="1"/>
    <col min="99" max="102" width="9.42578125" style="35" bestFit="1" customWidth="1"/>
    <col min="103" max="105" width="10.5703125" style="35" bestFit="1" customWidth="1"/>
    <col min="106" max="106" width="9.42578125" style="35" bestFit="1" customWidth="1"/>
    <col min="107" max="109" width="10.5703125" style="35" bestFit="1" customWidth="1"/>
    <col min="110" max="111" width="9.42578125" style="35" bestFit="1" customWidth="1"/>
    <col min="112" max="114" width="10.5703125" style="35" bestFit="1" customWidth="1"/>
    <col min="115" max="115" width="9" style="35" bestFit="1" customWidth="1"/>
    <col min="116" max="118" width="9.42578125" style="35" bestFit="1" customWidth="1"/>
    <col min="119" max="119" width="9" style="35" bestFit="1" customWidth="1"/>
    <col min="120" max="122" width="9.42578125" style="35" bestFit="1" customWidth="1"/>
    <col min="123" max="123" width="9" style="35" bestFit="1" customWidth="1"/>
    <col min="124" max="127" width="9.42578125" style="35" bestFit="1" customWidth="1"/>
    <col min="128" max="128" width="9" style="35" bestFit="1" customWidth="1"/>
    <col min="129" max="131" width="9.42578125" style="35" bestFit="1" customWidth="1"/>
    <col min="132" max="132" width="9" style="35" bestFit="1" customWidth="1"/>
    <col min="133" max="135" width="9.42578125" style="35" bestFit="1" customWidth="1"/>
    <col min="136" max="137" width="9" style="35" bestFit="1" customWidth="1"/>
    <col min="138" max="140" width="9.42578125" style="35" bestFit="1" customWidth="1"/>
    <col min="141" max="141" width="9" style="35" bestFit="1" customWidth="1"/>
    <col min="142" max="144" width="9.42578125" style="35" bestFit="1" customWidth="1"/>
    <col min="145" max="145" width="9" style="35" bestFit="1" customWidth="1"/>
    <col min="146" max="148" width="9.42578125" style="35" bestFit="1" customWidth="1"/>
    <col min="149" max="16384" width="8.85546875" style="35"/>
  </cols>
  <sheetData>
    <row r="2" spans="2:148" ht="13.5" thickBot="1" x14ac:dyDescent="0.25">
      <c r="B2" s="117"/>
    </row>
    <row r="4" spans="2:148" ht="13.5" thickBot="1" x14ac:dyDescent="0.25">
      <c r="B4" s="204" t="s">
        <v>372</v>
      </c>
      <c r="I4" s="205" t="s">
        <v>268</v>
      </c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</row>
    <row r="6" spans="2:148" x14ac:dyDescent="0.2">
      <c r="H6" s="207"/>
      <c r="I6" s="44" t="s">
        <v>272</v>
      </c>
    </row>
    <row r="7" spans="2:148" x14ac:dyDescent="0.2">
      <c r="H7" s="207"/>
      <c r="I7" s="212" t="s">
        <v>173</v>
      </c>
      <c r="J7" s="213">
        <v>42006</v>
      </c>
      <c r="K7" s="213">
        <v>42013</v>
      </c>
      <c r="L7" s="213">
        <v>42020</v>
      </c>
      <c r="M7" s="213">
        <v>42027</v>
      </c>
      <c r="N7" s="213">
        <v>42034</v>
      </c>
      <c r="O7" s="213">
        <v>42041</v>
      </c>
      <c r="P7" s="213">
        <v>42048</v>
      </c>
      <c r="Q7" s="213">
        <v>42055</v>
      </c>
      <c r="R7" s="213">
        <v>42062</v>
      </c>
      <c r="S7" s="213">
        <v>42069</v>
      </c>
      <c r="T7" s="213">
        <v>42076</v>
      </c>
      <c r="U7" s="213">
        <v>42083</v>
      </c>
      <c r="V7" s="213">
        <v>42090</v>
      </c>
      <c r="W7" s="213">
        <v>42097</v>
      </c>
      <c r="X7" s="213">
        <v>42104</v>
      </c>
      <c r="Y7" s="213">
        <v>42111</v>
      </c>
      <c r="Z7" s="213">
        <v>42118</v>
      </c>
      <c r="AA7" s="213">
        <v>42125</v>
      </c>
      <c r="AB7" s="213">
        <v>42132</v>
      </c>
      <c r="AC7" s="213">
        <v>42139</v>
      </c>
      <c r="AD7" s="213">
        <v>42146</v>
      </c>
      <c r="AE7" s="213">
        <v>42153</v>
      </c>
      <c r="AF7" s="213">
        <v>42160</v>
      </c>
      <c r="AG7" s="213">
        <v>42167</v>
      </c>
      <c r="AH7" s="213">
        <v>42174</v>
      </c>
      <c r="AI7" s="213">
        <v>42181</v>
      </c>
      <c r="AJ7" s="213">
        <v>42188</v>
      </c>
      <c r="AK7" s="213">
        <v>42195</v>
      </c>
      <c r="AL7" s="213">
        <v>42202</v>
      </c>
      <c r="AM7" s="213">
        <v>42209</v>
      </c>
      <c r="AN7" s="213">
        <v>42216</v>
      </c>
      <c r="AO7" s="213">
        <v>42223</v>
      </c>
      <c r="AP7" s="213">
        <v>42230</v>
      </c>
      <c r="AQ7" s="213">
        <v>42237</v>
      </c>
      <c r="AR7" s="213">
        <v>42244</v>
      </c>
      <c r="AS7" s="213">
        <v>42251</v>
      </c>
      <c r="AT7" s="213">
        <v>42258</v>
      </c>
      <c r="AU7" s="213">
        <v>42265</v>
      </c>
      <c r="AV7" s="213">
        <v>42272</v>
      </c>
      <c r="AW7" s="213">
        <v>42279</v>
      </c>
      <c r="AX7" s="213">
        <v>42286</v>
      </c>
      <c r="AY7" s="213">
        <v>42293</v>
      </c>
      <c r="AZ7" s="213">
        <v>42300</v>
      </c>
      <c r="BA7" s="213">
        <v>42307</v>
      </c>
      <c r="BB7" s="213">
        <v>42314</v>
      </c>
      <c r="BC7" s="213">
        <v>42321</v>
      </c>
      <c r="BD7" s="213">
        <v>42328</v>
      </c>
      <c r="BE7" s="213">
        <v>42335</v>
      </c>
      <c r="BF7" s="213">
        <v>42342</v>
      </c>
      <c r="BG7" s="213">
        <v>42349</v>
      </c>
      <c r="BH7" s="213">
        <v>42356</v>
      </c>
      <c r="BI7" s="213">
        <v>42363</v>
      </c>
      <c r="BJ7" s="213">
        <v>42370</v>
      </c>
      <c r="BK7" s="213">
        <v>42377</v>
      </c>
      <c r="BL7" s="213">
        <v>42384</v>
      </c>
      <c r="BM7" s="213">
        <v>42391</v>
      </c>
      <c r="BN7" s="213">
        <v>42398</v>
      </c>
      <c r="BO7" s="213">
        <v>42405</v>
      </c>
      <c r="BP7" s="213">
        <v>42412</v>
      </c>
      <c r="BQ7" s="213">
        <v>42419</v>
      </c>
      <c r="BR7" s="213">
        <v>42426</v>
      </c>
      <c r="BS7" s="213">
        <v>42433</v>
      </c>
      <c r="BT7" s="213">
        <v>42440</v>
      </c>
      <c r="BU7" s="213">
        <v>42447</v>
      </c>
      <c r="BV7" s="213">
        <v>42454</v>
      </c>
      <c r="BW7" s="213">
        <v>42461</v>
      </c>
      <c r="BX7" s="213">
        <v>42468</v>
      </c>
      <c r="BY7" s="213">
        <v>42475</v>
      </c>
      <c r="BZ7" s="213">
        <v>42482</v>
      </c>
      <c r="CA7" s="213">
        <v>42489</v>
      </c>
      <c r="CB7" s="213">
        <v>42496</v>
      </c>
      <c r="CC7" s="213">
        <v>42503</v>
      </c>
      <c r="CD7" s="213">
        <v>42510</v>
      </c>
      <c r="CE7" s="213">
        <v>42517</v>
      </c>
      <c r="CF7" s="213">
        <v>42524</v>
      </c>
      <c r="CG7" s="213">
        <v>42531</v>
      </c>
      <c r="CH7" s="213">
        <v>42538</v>
      </c>
      <c r="CI7" s="213">
        <v>42545</v>
      </c>
      <c r="CJ7" s="213">
        <v>42552</v>
      </c>
      <c r="CK7" s="213">
        <v>42559</v>
      </c>
      <c r="CL7" s="213">
        <v>42566</v>
      </c>
      <c r="CM7" s="213">
        <v>42573</v>
      </c>
      <c r="CN7" s="213">
        <v>42580</v>
      </c>
      <c r="CO7" s="213">
        <v>42587</v>
      </c>
      <c r="CP7" s="213">
        <v>42594</v>
      </c>
      <c r="CQ7" s="213">
        <v>42601</v>
      </c>
      <c r="CR7" s="213">
        <v>42608</v>
      </c>
      <c r="CS7" s="213">
        <v>42615</v>
      </c>
      <c r="CT7" s="213">
        <v>42622</v>
      </c>
      <c r="CU7" s="213">
        <v>42629</v>
      </c>
      <c r="CV7" s="213">
        <v>42636</v>
      </c>
      <c r="CW7" s="213">
        <v>42643</v>
      </c>
      <c r="CX7" s="213">
        <v>42650</v>
      </c>
      <c r="CY7" s="213">
        <v>42657</v>
      </c>
      <c r="CZ7" s="213">
        <v>42664</v>
      </c>
      <c r="DA7" s="213">
        <v>42671</v>
      </c>
      <c r="DB7" s="213">
        <v>42678</v>
      </c>
      <c r="DC7" s="213">
        <v>42685</v>
      </c>
      <c r="DD7" s="213">
        <v>42692</v>
      </c>
      <c r="DE7" s="213">
        <v>42699</v>
      </c>
      <c r="DF7" s="213">
        <v>42706</v>
      </c>
      <c r="DG7" s="213">
        <v>42713</v>
      </c>
      <c r="DH7" s="213">
        <v>42720</v>
      </c>
      <c r="DI7" s="213">
        <v>42727</v>
      </c>
      <c r="DJ7" s="213">
        <v>42734</v>
      </c>
      <c r="DK7" s="213">
        <v>42741</v>
      </c>
      <c r="DL7" s="213">
        <v>42748</v>
      </c>
      <c r="DM7" s="213">
        <v>42755</v>
      </c>
      <c r="DN7" s="213">
        <v>42762</v>
      </c>
      <c r="DO7" s="213">
        <v>42769</v>
      </c>
      <c r="DP7" s="213">
        <v>42776</v>
      </c>
      <c r="DQ7" s="213">
        <v>42783</v>
      </c>
      <c r="DR7" s="213">
        <v>42790</v>
      </c>
      <c r="DS7" s="213">
        <v>42797</v>
      </c>
      <c r="DT7" s="213">
        <v>42804</v>
      </c>
      <c r="DU7" s="213">
        <v>42811</v>
      </c>
      <c r="DV7" s="213">
        <v>42818</v>
      </c>
      <c r="DW7" s="213">
        <v>42825</v>
      </c>
      <c r="DX7" s="213">
        <v>42832</v>
      </c>
      <c r="DY7" s="213">
        <v>42839</v>
      </c>
      <c r="DZ7" s="213">
        <v>42846</v>
      </c>
      <c r="EA7" s="213">
        <v>42853</v>
      </c>
      <c r="EB7" s="213">
        <v>42860</v>
      </c>
      <c r="EC7" s="213">
        <v>42867</v>
      </c>
      <c r="ED7" s="213">
        <v>42874</v>
      </c>
      <c r="EE7" s="213">
        <v>42881</v>
      </c>
      <c r="EF7" s="213">
        <v>42888</v>
      </c>
      <c r="EG7" s="213">
        <v>42895</v>
      </c>
      <c r="EH7" s="213">
        <v>42902</v>
      </c>
      <c r="EI7" s="213">
        <v>42909</v>
      </c>
      <c r="EJ7" s="213">
        <v>42916</v>
      </c>
      <c r="EK7" s="213">
        <v>42923</v>
      </c>
      <c r="EL7" s="213">
        <v>42930</v>
      </c>
      <c r="EM7" s="213">
        <v>42937</v>
      </c>
      <c r="EN7" s="213">
        <v>42944</v>
      </c>
      <c r="EO7" s="213">
        <v>42951</v>
      </c>
      <c r="EP7" s="213">
        <v>42958</v>
      </c>
      <c r="EQ7" s="213">
        <v>42965</v>
      </c>
      <c r="ER7" s="213">
        <v>42969</v>
      </c>
    </row>
    <row r="8" spans="2:148" x14ac:dyDescent="0.2">
      <c r="I8" s="214" t="s">
        <v>375</v>
      </c>
      <c r="J8" s="36">
        <v>144.63</v>
      </c>
      <c r="K8" s="36">
        <v>140.32</v>
      </c>
      <c r="L8" s="36">
        <v>135.94999999999999</v>
      </c>
      <c r="M8" s="36">
        <v>131.94999999999999</v>
      </c>
      <c r="N8" s="36">
        <v>132.65</v>
      </c>
      <c r="O8" s="36">
        <v>134.79</v>
      </c>
      <c r="P8" s="36">
        <v>135.37</v>
      </c>
      <c r="Q8" s="36">
        <v>135.51</v>
      </c>
      <c r="R8" s="36">
        <v>133.94</v>
      </c>
      <c r="S8" s="36">
        <v>131</v>
      </c>
      <c r="T8" s="36">
        <v>127.42</v>
      </c>
      <c r="U8" s="36">
        <v>129.9</v>
      </c>
      <c r="V8" s="36">
        <v>129.72999999999999</v>
      </c>
      <c r="W8" s="36">
        <v>130.54</v>
      </c>
      <c r="X8" s="36">
        <v>127.49</v>
      </c>
      <c r="Y8" s="36">
        <v>128.49</v>
      </c>
      <c r="Z8" s="36">
        <v>129.38</v>
      </c>
      <c r="AA8" s="36">
        <v>134.59</v>
      </c>
      <c r="AB8" s="36">
        <v>134.18</v>
      </c>
      <c r="AC8" s="36">
        <v>136.54</v>
      </c>
      <c r="AD8" s="36">
        <v>133.84</v>
      </c>
      <c r="AE8" s="36">
        <v>136.35</v>
      </c>
      <c r="AF8" s="36">
        <v>139.61000000000001</v>
      </c>
      <c r="AG8" s="36">
        <v>139.02000000000001</v>
      </c>
      <c r="AH8" s="36">
        <v>139.28</v>
      </c>
      <c r="AI8" s="36">
        <v>138.31</v>
      </c>
      <c r="AJ8" s="36">
        <v>136.43</v>
      </c>
      <c r="AK8" s="36">
        <v>136.91999999999999</v>
      </c>
      <c r="AL8" s="36">
        <v>134.38</v>
      </c>
      <c r="AM8" s="36">
        <v>135.97999999999999</v>
      </c>
      <c r="AN8" s="36">
        <v>136.08000000000001</v>
      </c>
      <c r="AO8" s="36">
        <v>136.24</v>
      </c>
      <c r="AP8" s="36">
        <v>138.1</v>
      </c>
      <c r="AQ8" s="36">
        <v>138.93</v>
      </c>
      <c r="AR8" s="36">
        <v>136.12</v>
      </c>
      <c r="AS8" s="36">
        <v>132.68</v>
      </c>
      <c r="AT8" s="36">
        <v>136.72</v>
      </c>
      <c r="AU8" s="36">
        <v>135.51</v>
      </c>
      <c r="AV8" s="36">
        <v>135.03</v>
      </c>
      <c r="AW8" s="36">
        <v>134.46</v>
      </c>
      <c r="AX8" s="36">
        <v>136.61000000000001</v>
      </c>
      <c r="AY8" s="36">
        <v>135.58000000000001</v>
      </c>
      <c r="AZ8" s="36">
        <v>133.84</v>
      </c>
      <c r="BA8" s="36">
        <v>132.75</v>
      </c>
      <c r="BB8" s="36">
        <v>132.25</v>
      </c>
      <c r="BC8" s="36">
        <v>132.09</v>
      </c>
      <c r="BD8" s="36">
        <v>130.77000000000001</v>
      </c>
      <c r="BE8" s="36">
        <v>130.09</v>
      </c>
      <c r="BF8" s="36">
        <v>133.96</v>
      </c>
      <c r="BG8" s="36">
        <v>132.93</v>
      </c>
      <c r="BH8" s="36">
        <v>131.66999999999999</v>
      </c>
      <c r="BI8" s="36">
        <v>131.96</v>
      </c>
      <c r="BJ8" s="36">
        <v>131.1</v>
      </c>
      <c r="BK8" s="36">
        <v>128.12</v>
      </c>
      <c r="BL8" s="36">
        <v>127.71</v>
      </c>
      <c r="BM8" s="36">
        <v>128.26</v>
      </c>
      <c r="BN8" s="36">
        <v>131.21</v>
      </c>
      <c r="BO8" s="36">
        <v>130.41</v>
      </c>
      <c r="BP8" s="36">
        <v>127.46</v>
      </c>
      <c r="BQ8" s="36">
        <v>125.31</v>
      </c>
      <c r="BR8" s="36">
        <v>124.63</v>
      </c>
      <c r="BS8" s="36">
        <v>125.18</v>
      </c>
      <c r="BT8" s="36">
        <v>127</v>
      </c>
      <c r="BU8" s="36">
        <v>125.72</v>
      </c>
      <c r="BV8" s="36">
        <v>126.28</v>
      </c>
      <c r="BW8" s="36">
        <v>127.21</v>
      </c>
      <c r="BX8" s="36">
        <v>123.19</v>
      </c>
      <c r="BY8" s="36">
        <v>122.72</v>
      </c>
      <c r="BZ8" s="36">
        <v>125.5</v>
      </c>
      <c r="CA8" s="36">
        <v>121.94</v>
      </c>
      <c r="CB8" s="36">
        <v>122.17</v>
      </c>
      <c r="CC8" s="36">
        <v>122.85</v>
      </c>
      <c r="CD8" s="36">
        <v>123.63</v>
      </c>
      <c r="CE8" s="36">
        <v>122.61</v>
      </c>
      <c r="CF8" s="36">
        <v>121.09</v>
      </c>
      <c r="CG8" s="36">
        <v>120.38</v>
      </c>
      <c r="CH8" s="36">
        <v>117.47</v>
      </c>
      <c r="CI8" s="36">
        <v>113.65</v>
      </c>
      <c r="CJ8" s="36">
        <v>114.16</v>
      </c>
      <c r="CK8" s="36">
        <v>111.11</v>
      </c>
      <c r="CL8" s="36">
        <v>115.69</v>
      </c>
      <c r="CM8" s="36">
        <v>116.51</v>
      </c>
      <c r="CN8" s="36">
        <v>114.06</v>
      </c>
      <c r="CO8" s="36">
        <v>112.87</v>
      </c>
      <c r="CP8" s="36">
        <v>113.06</v>
      </c>
      <c r="CQ8" s="36">
        <v>113.52</v>
      </c>
      <c r="CR8" s="36">
        <v>114</v>
      </c>
      <c r="CS8" s="36">
        <v>115.96</v>
      </c>
      <c r="CT8" s="36">
        <v>115.35</v>
      </c>
      <c r="CU8" s="36">
        <v>114.1</v>
      </c>
      <c r="CV8" s="36">
        <v>113.37</v>
      </c>
      <c r="CW8" s="36">
        <v>113.92</v>
      </c>
      <c r="CX8" s="36">
        <v>115.39</v>
      </c>
      <c r="CY8" s="36">
        <v>114.31</v>
      </c>
      <c r="CZ8" s="36">
        <v>112.95</v>
      </c>
      <c r="DA8" s="36">
        <v>115.06</v>
      </c>
      <c r="DB8" s="36">
        <v>114.87</v>
      </c>
      <c r="DC8" s="36">
        <v>115.76</v>
      </c>
      <c r="DD8" s="36">
        <v>117.43</v>
      </c>
      <c r="DE8" s="36">
        <v>119.82</v>
      </c>
      <c r="DF8" s="36">
        <v>121.08</v>
      </c>
      <c r="DG8" s="36">
        <v>121.76</v>
      </c>
      <c r="DH8" s="36">
        <v>123.22</v>
      </c>
      <c r="DI8" s="36">
        <v>122.66</v>
      </c>
      <c r="DJ8" s="36">
        <v>122.97</v>
      </c>
      <c r="DK8" s="36">
        <v>123.25</v>
      </c>
      <c r="DL8" s="36">
        <v>121.87</v>
      </c>
      <c r="DM8" s="36">
        <v>122.69</v>
      </c>
      <c r="DN8" s="36">
        <v>123.13</v>
      </c>
      <c r="DO8" s="36">
        <v>121.44</v>
      </c>
      <c r="DP8" s="36">
        <v>120.48</v>
      </c>
      <c r="DQ8" s="36">
        <v>119.81</v>
      </c>
      <c r="DR8" s="36">
        <v>118.44</v>
      </c>
      <c r="DS8" s="36">
        <v>121.13</v>
      </c>
      <c r="DT8" s="36">
        <v>122.53</v>
      </c>
      <c r="DU8" s="36">
        <v>121.03</v>
      </c>
      <c r="DV8" s="36">
        <v>120.22</v>
      </c>
      <c r="DW8" s="36">
        <v>118.67</v>
      </c>
      <c r="DX8" s="36">
        <v>117.65</v>
      </c>
      <c r="DY8" s="36">
        <v>115.36</v>
      </c>
      <c r="DZ8" s="36">
        <v>116.94</v>
      </c>
      <c r="EA8" s="36">
        <v>121.53</v>
      </c>
      <c r="EB8" s="36">
        <v>123.93</v>
      </c>
      <c r="EC8" s="36">
        <v>123.89</v>
      </c>
      <c r="ED8" s="36">
        <v>124.69</v>
      </c>
      <c r="EE8" s="36">
        <v>124.5</v>
      </c>
      <c r="EF8" s="36">
        <v>124.58</v>
      </c>
      <c r="EG8" s="36">
        <v>123.51</v>
      </c>
      <c r="EH8" s="36">
        <v>124.15</v>
      </c>
      <c r="EI8" s="36">
        <v>124.5</v>
      </c>
      <c r="EJ8" s="36">
        <v>128.4</v>
      </c>
      <c r="EK8" s="36">
        <v>129.91999999999999</v>
      </c>
      <c r="EL8" s="36">
        <v>129.07</v>
      </c>
      <c r="EM8" s="36">
        <v>129.61000000000001</v>
      </c>
      <c r="EN8" s="36">
        <v>130.03</v>
      </c>
      <c r="EO8" s="36">
        <v>130.31</v>
      </c>
      <c r="EP8" s="36">
        <v>129.07</v>
      </c>
      <c r="EQ8" s="36">
        <v>128.4</v>
      </c>
      <c r="ER8" s="36">
        <v>128.55000000000001</v>
      </c>
    </row>
    <row r="9" spans="2:148" x14ac:dyDescent="0.2">
      <c r="H9" s="207"/>
      <c r="I9" s="214" t="s">
        <v>370</v>
      </c>
      <c r="J9" s="36">
        <v>0.78302000000000005</v>
      </c>
      <c r="K9" s="36">
        <v>0.78110000000000002</v>
      </c>
      <c r="L9" s="36">
        <v>0.76361999999999997</v>
      </c>
      <c r="M9" s="36">
        <v>0.74765999999999999</v>
      </c>
      <c r="N9" s="36">
        <v>0.74955000000000005</v>
      </c>
      <c r="O9" s="36">
        <v>0.74231000000000003</v>
      </c>
      <c r="P9" s="36">
        <v>0.73985999999999996</v>
      </c>
      <c r="Q9" s="36">
        <v>0.73895999999999995</v>
      </c>
      <c r="R9" s="36">
        <v>0.72536</v>
      </c>
      <c r="S9" s="36">
        <v>0.72085999999999995</v>
      </c>
      <c r="T9" s="36">
        <v>0.71189000000000002</v>
      </c>
      <c r="U9" s="36">
        <v>0.72358999999999996</v>
      </c>
      <c r="V9" s="36">
        <v>0.73209999999999997</v>
      </c>
      <c r="W9" s="36">
        <v>0.73545000000000005</v>
      </c>
      <c r="X9" s="36">
        <v>0.72457000000000005</v>
      </c>
      <c r="Y9" s="36">
        <v>0.72214999999999996</v>
      </c>
      <c r="Z9" s="36">
        <v>0.71599999999999997</v>
      </c>
      <c r="AA9" s="36">
        <v>0.73929</v>
      </c>
      <c r="AB9" s="36">
        <v>0.72511999999999999</v>
      </c>
      <c r="AC9" s="36">
        <v>0.72789999999999999</v>
      </c>
      <c r="AD9" s="36">
        <v>0.71111000000000002</v>
      </c>
      <c r="AE9" s="36">
        <v>0.71862999999999999</v>
      </c>
      <c r="AF9" s="36">
        <v>0.72780999999999996</v>
      </c>
      <c r="AG9" s="36">
        <v>0.72404999999999997</v>
      </c>
      <c r="AH9" s="36">
        <v>0.71482999999999997</v>
      </c>
      <c r="AI9" s="36">
        <v>0.70923999999999998</v>
      </c>
      <c r="AJ9" s="36">
        <v>0.71382000000000001</v>
      </c>
      <c r="AK9" s="36">
        <v>0.71924999999999994</v>
      </c>
      <c r="AL9" s="36">
        <v>0.69445999999999997</v>
      </c>
      <c r="AM9" s="36">
        <v>0.70804999999999996</v>
      </c>
      <c r="AN9" s="36">
        <v>0.70309999999999995</v>
      </c>
      <c r="AO9" s="36">
        <v>0.70762999999999998</v>
      </c>
      <c r="AP9" s="36">
        <v>0.71033000000000002</v>
      </c>
      <c r="AQ9" s="36">
        <v>0.72545000000000004</v>
      </c>
      <c r="AR9" s="36">
        <v>0.72677999999999998</v>
      </c>
      <c r="AS9" s="36">
        <v>0.73460999999999999</v>
      </c>
      <c r="AT9" s="36">
        <v>0.73497999999999997</v>
      </c>
      <c r="AU9" s="36">
        <v>0.72707999999999995</v>
      </c>
      <c r="AV9" s="36">
        <v>0.73799000000000003</v>
      </c>
      <c r="AW9" s="36">
        <v>0.73821000000000003</v>
      </c>
      <c r="AX9" s="36">
        <v>0.74158999999999997</v>
      </c>
      <c r="AY9" s="36">
        <v>0.73509999999999998</v>
      </c>
      <c r="AZ9" s="36">
        <v>0.71943999999999997</v>
      </c>
      <c r="BA9" s="36">
        <v>0.71328000000000003</v>
      </c>
      <c r="BB9" s="36">
        <v>0.71369000000000005</v>
      </c>
      <c r="BC9" s="36">
        <v>0.70659000000000005</v>
      </c>
      <c r="BD9" s="36">
        <v>0.70091999999999999</v>
      </c>
      <c r="BE9" s="36">
        <v>0.70464000000000004</v>
      </c>
      <c r="BF9" s="36">
        <v>0.71986000000000006</v>
      </c>
      <c r="BG9" s="36">
        <v>0.72243000000000002</v>
      </c>
      <c r="BH9" s="36">
        <v>0.72946</v>
      </c>
      <c r="BI9" s="36">
        <v>0.73299999999999998</v>
      </c>
      <c r="BJ9" s="36">
        <v>0.73750000000000004</v>
      </c>
      <c r="BK9" s="36">
        <v>0.75261999999999996</v>
      </c>
      <c r="BL9" s="36">
        <v>0.76561000000000001</v>
      </c>
      <c r="BM9" s="36">
        <v>0.75707999999999998</v>
      </c>
      <c r="BN9" s="36">
        <v>0.76082000000000005</v>
      </c>
      <c r="BO9" s="36">
        <v>0.76895000000000002</v>
      </c>
      <c r="BP9" s="36">
        <v>0.77615000000000001</v>
      </c>
      <c r="BQ9" s="36">
        <v>0.77285999999999999</v>
      </c>
      <c r="BR9" s="36">
        <v>0.78817000000000004</v>
      </c>
      <c r="BS9" s="36">
        <v>0.77319000000000004</v>
      </c>
      <c r="BT9" s="36">
        <v>0.77531000000000005</v>
      </c>
      <c r="BU9" s="36">
        <v>0.77836000000000005</v>
      </c>
      <c r="BV9" s="36">
        <v>0.79049000000000003</v>
      </c>
      <c r="BW9" s="36">
        <v>0.80078000000000005</v>
      </c>
      <c r="BX9" s="36">
        <v>0.80674000000000001</v>
      </c>
      <c r="BY9" s="36">
        <v>0.79440999999999995</v>
      </c>
      <c r="BZ9" s="36">
        <v>0.77876999999999996</v>
      </c>
      <c r="CA9" s="36">
        <v>0.78364999999999996</v>
      </c>
      <c r="CB9" s="36">
        <v>0.79059000000000001</v>
      </c>
      <c r="CC9" s="36">
        <v>0.78739999999999999</v>
      </c>
      <c r="CD9" s="36">
        <v>0.77358000000000005</v>
      </c>
      <c r="CE9" s="36">
        <v>0.76015999999999995</v>
      </c>
      <c r="CF9" s="36">
        <v>0.78290999999999999</v>
      </c>
      <c r="CG9" s="36">
        <v>0.78903999999999996</v>
      </c>
      <c r="CH9" s="36">
        <v>0.78535999999999995</v>
      </c>
      <c r="CI9" s="36">
        <v>0.81274000000000002</v>
      </c>
      <c r="CJ9" s="36">
        <v>0.83869000000000005</v>
      </c>
      <c r="CK9" s="36">
        <v>0.85245000000000004</v>
      </c>
      <c r="CL9" s="36">
        <v>0.83660999999999996</v>
      </c>
      <c r="CM9" s="36">
        <v>0.83720000000000006</v>
      </c>
      <c r="CN9" s="36">
        <v>0.84462000000000004</v>
      </c>
      <c r="CO9" s="36">
        <v>0.84835000000000005</v>
      </c>
      <c r="CP9" s="36">
        <v>0.86399999999999999</v>
      </c>
      <c r="CQ9" s="36">
        <v>0.86648000000000003</v>
      </c>
      <c r="CR9" s="36">
        <v>0.85246</v>
      </c>
      <c r="CS9" s="36">
        <v>0.83931</v>
      </c>
      <c r="CT9" s="36">
        <v>0.84667999999999999</v>
      </c>
      <c r="CU9" s="36">
        <v>0.85790999999999995</v>
      </c>
      <c r="CV9" s="36">
        <v>0.86592999999999998</v>
      </c>
      <c r="CW9" s="36">
        <v>0.86607999999999996</v>
      </c>
      <c r="CX9" s="36">
        <v>0.90005000000000002</v>
      </c>
      <c r="CY9" s="36">
        <v>0.90036000000000005</v>
      </c>
      <c r="CZ9" s="36">
        <v>0.89002000000000003</v>
      </c>
      <c r="DA9" s="36">
        <v>0.90042999999999995</v>
      </c>
      <c r="DB9" s="36">
        <v>0.89000999999999997</v>
      </c>
      <c r="DC9" s="36">
        <v>0.86246</v>
      </c>
      <c r="DD9" s="36">
        <v>0.85780000000000001</v>
      </c>
      <c r="DE9" s="36">
        <v>0.84965999999999997</v>
      </c>
      <c r="DF9" s="36">
        <v>0.83894999999999997</v>
      </c>
      <c r="DG9" s="36">
        <v>0.83880999999999994</v>
      </c>
      <c r="DH9" s="36">
        <v>0.83738000000000001</v>
      </c>
      <c r="DI9" s="36">
        <v>0.85170999999999997</v>
      </c>
      <c r="DJ9" s="36">
        <v>0.85351999999999995</v>
      </c>
      <c r="DK9" s="36">
        <v>0.85734999999999995</v>
      </c>
      <c r="DL9" s="36">
        <v>0.87165000000000004</v>
      </c>
      <c r="DM9" s="36">
        <v>0.86516999999999999</v>
      </c>
      <c r="DN9" s="36">
        <v>0.85258999999999996</v>
      </c>
      <c r="DO9" s="36">
        <v>0.86399999999999999</v>
      </c>
      <c r="DP9" s="36">
        <v>0.85126000000000002</v>
      </c>
      <c r="DQ9" s="36">
        <v>0.85609000000000002</v>
      </c>
      <c r="DR9" s="36">
        <v>0.84769000000000005</v>
      </c>
      <c r="DS9" s="36">
        <v>0.86317999999999995</v>
      </c>
      <c r="DT9" s="36">
        <v>0.87760000000000005</v>
      </c>
      <c r="DU9" s="36">
        <v>0.86624999999999996</v>
      </c>
      <c r="DV9" s="36">
        <v>0.86565000000000003</v>
      </c>
      <c r="DW9" s="36">
        <v>0.84852000000000005</v>
      </c>
      <c r="DX9" s="36">
        <v>0.85553000000000001</v>
      </c>
      <c r="DY9" s="36">
        <v>0.84784000000000004</v>
      </c>
      <c r="DZ9" s="36">
        <v>0.83782999999999996</v>
      </c>
      <c r="EA9" s="36">
        <v>0.84133999999999998</v>
      </c>
      <c r="EB9" s="36">
        <v>0.84733000000000003</v>
      </c>
      <c r="EC9" s="36">
        <v>0.84762999999999999</v>
      </c>
      <c r="ED9" s="36">
        <v>0.85963000000000001</v>
      </c>
      <c r="EE9" s="36">
        <v>0.87309999999999999</v>
      </c>
      <c r="EF9" s="36">
        <v>0.87558000000000002</v>
      </c>
      <c r="EG9" s="36">
        <v>0.87817999999999996</v>
      </c>
      <c r="EH9" s="36">
        <v>0.87595000000000001</v>
      </c>
      <c r="EI9" s="36">
        <v>0.87990000000000002</v>
      </c>
      <c r="EJ9" s="36">
        <v>0.87709999999999999</v>
      </c>
      <c r="EK9" s="36">
        <v>0.88461000000000001</v>
      </c>
      <c r="EL9" s="36">
        <v>0.87539999999999996</v>
      </c>
      <c r="EM9" s="36">
        <v>0.89739000000000002</v>
      </c>
      <c r="EN9" s="36">
        <v>0.89464999999999995</v>
      </c>
      <c r="EO9" s="36">
        <v>0.90269999999999995</v>
      </c>
      <c r="EP9" s="36">
        <v>0.90849000000000002</v>
      </c>
      <c r="EQ9" s="36">
        <v>0.91347999999999996</v>
      </c>
      <c r="ER9" s="36">
        <v>0.91627000000000003</v>
      </c>
    </row>
    <row r="10" spans="2:148" x14ac:dyDescent="0.2">
      <c r="H10" s="207"/>
      <c r="I10" s="214" t="s">
        <v>371</v>
      </c>
      <c r="J10" s="36">
        <v>1.2001999999999999</v>
      </c>
      <c r="K10" s="36">
        <v>1.1841999999999999</v>
      </c>
      <c r="L10" s="36">
        <v>1.1567000000000001</v>
      </c>
      <c r="M10" s="36">
        <v>1.1204000000000001</v>
      </c>
      <c r="N10" s="36">
        <v>1.1291</v>
      </c>
      <c r="O10" s="36">
        <v>1.1315999999999999</v>
      </c>
      <c r="P10" s="36">
        <v>1.1394</v>
      </c>
      <c r="Q10" s="36">
        <v>1.1381000000000001</v>
      </c>
      <c r="R10" s="36">
        <v>1.1195999999999999</v>
      </c>
      <c r="S10" s="36">
        <v>1.0844</v>
      </c>
      <c r="T10" s="36">
        <v>1.0496000000000001</v>
      </c>
      <c r="U10" s="36">
        <v>1.0821000000000001</v>
      </c>
      <c r="V10" s="36">
        <v>1.0889</v>
      </c>
      <c r="W10" s="36">
        <v>1.0969</v>
      </c>
      <c r="X10" s="36">
        <v>1.0604</v>
      </c>
      <c r="Y10" s="36">
        <v>1.0806</v>
      </c>
      <c r="Z10" s="36">
        <v>1.0872999999999999</v>
      </c>
      <c r="AA10" s="36">
        <v>1.1198999999999999</v>
      </c>
      <c r="AB10" s="36">
        <v>1.1198999999999999</v>
      </c>
      <c r="AC10" s="36">
        <v>1.1451</v>
      </c>
      <c r="AD10" s="36">
        <v>1.1012999999999999</v>
      </c>
      <c r="AE10" s="36">
        <v>1.0986</v>
      </c>
      <c r="AF10" s="36">
        <v>1.1113999999999999</v>
      </c>
      <c r="AG10" s="36">
        <v>1.1266</v>
      </c>
      <c r="AH10" s="36">
        <v>1.1352</v>
      </c>
      <c r="AI10" s="36">
        <v>1.1167</v>
      </c>
      <c r="AJ10" s="36">
        <v>1.1113999999999999</v>
      </c>
      <c r="AK10" s="36">
        <v>1.1162000000000001</v>
      </c>
      <c r="AL10" s="36">
        <v>1.083</v>
      </c>
      <c r="AM10" s="36">
        <v>1.0984</v>
      </c>
      <c r="AN10" s="36">
        <v>1.0984</v>
      </c>
      <c r="AO10" s="36">
        <v>1.0967</v>
      </c>
      <c r="AP10" s="36">
        <v>1.1109</v>
      </c>
      <c r="AQ10" s="36">
        <v>1.1386000000000001</v>
      </c>
      <c r="AR10" s="36">
        <v>1.1185</v>
      </c>
      <c r="AS10" s="36">
        <v>1.1149</v>
      </c>
      <c r="AT10" s="36">
        <v>1.1337999999999999</v>
      </c>
      <c r="AU10" s="36">
        <v>1.1297999999999999</v>
      </c>
      <c r="AV10" s="36">
        <v>1.1194999999999999</v>
      </c>
      <c r="AW10" s="36">
        <v>1.1215999999999999</v>
      </c>
      <c r="AX10" s="36">
        <v>1.1357999999999999</v>
      </c>
      <c r="AY10" s="36">
        <v>1.1348</v>
      </c>
      <c r="AZ10" s="36">
        <v>1.1017999999999999</v>
      </c>
      <c r="BA10" s="36">
        <v>1.1006</v>
      </c>
      <c r="BB10" s="36">
        <v>1.0741000000000001</v>
      </c>
      <c r="BC10" s="36">
        <v>1.0772999999999999</v>
      </c>
      <c r="BD10" s="36">
        <v>1.0646</v>
      </c>
      <c r="BE10" s="36">
        <v>1.0592999999999999</v>
      </c>
      <c r="BF10" s="36">
        <v>1.0881000000000001</v>
      </c>
      <c r="BG10" s="36">
        <v>1.0986</v>
      </c>
      <c r="BH10" s="36">
        <v>1.0868</v>
      </c>
      <c r="BI10" s="36">
        <v>1.0960000000000001</v>
      </c>
      <c r="BJ10" s="36">
        <v>1.0855999999999999</v>
      </c>
      <c r="BK10" s="36">
        <v>1.0922000000000001</v>
      </c>
      <c r="BL10" s="36">
        <v>1.0915999999999999</v>
      </c>
      <c r="BM10" s="36">
        <v>1.0796000000000001</v>
      </c>
      <c r="BN10" s="36">
        <v>1.0831</v>
      </c>
      <c r="BO10" s="36">
        <v>1.1157999999999999</v>
      </c>
      <c r="BP10" s="36">
        <v>1.1255999999999999</v>
      </c>
      <c r="BQ10" s="36">
        <v>1.113</v>
      </c>
      <c r="BR10" s="36">
        <v>1.0933999999999999</v>
      </c>
      <c r="BS10" s="36">
        <v>1.1005</v>
      </c>
      <c r="BT10" s="36">
        <v>1.1155999999999999</v>
      </c>
      <c r="BU10" s="36">
        <v>1.127</v>
      </c>
      <c r="BV10" s="36">
        <v>1.1167</v>
      </c>
      <c r="BW10" s="36">
        <v>1.1391</v>
      </c>
      <c r="BX10" s="36">
        <v>1.1398999999999999</v>
      </c>
      <c r="BY10" s="36">
        <v>1.1284000000000001</v>
      </c>
      <c r="BZ10" s="36">
        <v>1.1222000000000001</v>
      </c>
      <c r="CA10" s="36">
        <v>1.1451</v>
      </c>
      <c r="CB10" s="36">
        <v>1.1404000000000001</v>
      </c>
      <c r="CC10" s="36">
        <v>1.1309</v>
      </c>
      <c r="CD10" s="36">
        <v>1.1224000000000001</v>
      </c>
      <c r="CE10" s="36">
        <v>1.1114999999999999</v>
      </c>
      <c r="CF10" s="36">
        <v>1.1367</v>
      </c>
      <c r="CG10" s="36">
        <v>1.1251</v>
      </c>
      <c r="CH10" s="36">
        <v>1.1276999999999999</v>
      </c>
      <c r="CI10" s="36">
        <v>1.1116999999999999</v>
      </c>
      <c r="CJ10" s="36">
        <v>1.1135999999999999</v>
      </c>
      <c r="CK10" s="36">
        <v>1.1051</v>
      </c>
      <c r="CL10" s="36">
        <v>1.1034999999999999</v>
      </c>
      <c r="CM10" s="36">
        <v>1.0976999999999999</v>
      </c>
      <c r="CN10" s="36">
        <v>1.1173999999999999</v>
      </c>
      <c r="CO10" s="36">
        <v>1.1086</v>
      </c>
      <c r="CP10" s="36">
        <v>1.1162000000000001</v>
      </c>
      <c r="CQ10" s="36">
        <v>1.1325000000000001</v>
      </c>
      <c r="CR10" s="36">
        <v>1.1197999999999999</v>
      </c>
      <c r="CS10" s="36">
        <v>1.1155999999999999</v>
      </c>
      <c r="CT10" s="36">
        <v>1.1233</v>
      </c>
      <c r="CU10" s="36">
        <v>1.1154999999999999</v>
      </c>
      <c r="CV10" s="36">
        <v>1.1226</v>
      </c>
      <c r="CW10" s="36">
        <v>1.1234999999999999</v>
      </c>
      <c r="CX10" s="36">
        <v>1.1201000000000001</v>
      </c>
      <c r="CY10" s="36">
        <v>1.0972</v>
      </c>
      <c r="CZ10" s="36">
        <v>1.0884</v>
      </c>
      <c r="DA10" s="36">
        <v>1.0985</v>
      </c>
      <c r="DB10" s="36">
        <v>1.1141000000000001</v>
      </c>
      <c r="DC10" s="36">
        <v>1.0854999999999999</v>
      </c>
      <c r="DD10" s="36">
        <v>1.0588</v>
      </c>
      <c r="DE10" s="36">
        <v>1.0589</v>
      </c>
      <c r="DF10" s="36">
        <v>1.0664</v>
      </c>
      <c r="DG10" s="36">
        <v>1.0561</v>
      </c>
      <c r="DH10" s="36">
        <v>1.0450999999999999</v>
      </c>
      <c r="DI10" s="36">
        <v>1.0456000000000001</v>
      </c>
      <c r="DJ10" s="36">
        <v>1.0517000000000001</v>
      </c>
      <c r="DK10" s="36">
        <v>1.0531999999999999</v>
      </c>
      <c r="DL10" s="36">
        <v>1.0643</v>
      </c>
      <c r="DM10" s="36">
        <v>1.0703</v>
      </c>
      <c r="DN10" s="36">
        <v>1.0699000000000001</v>
      </c>
      <c r="DO10" s="36">
        <v>1.0783</v>
      </c>
      <c r="DP10" s="36">
        <v>1.0643</v>
      </c>
      <c r="DQ10" s="36">
        <v>1.0616000000000001</v>
      </c>
      <c r="DR10" s="36">
        <v>1.0563</v>
      </c>
      <c r="DS10" s="36">
        <v>1.0622</v>
      </c>
      <c r="DT10" s="36">
        <v>1.0672999999999999</v>
      </c>
      <c r="DU10" s="36">
        <v>1.0738000000000001</v>
      </c>
      <c r="DV10" s="36">
        <v>1.0798000000000001</v>
      </c>
      <c r="DW10" s="36">
        <v>1.0651999999999999</v>
      </c>
      <c r="DX10" s="36">
        <v>1.0590999999999999</v>
      </c>
      <c r="DY10" s="36">
        <v>1.0618000000000001</v>
      </c>
      <c r="DZ10" s="36">
        <v>1.0728</v>
      </c>
      <c r="EA10" s="36">
        <v>1.0894999999999999</v>
      </c>
      <c r="EB10" s="36">
        <v>1.0998000000000001</v>
      </c>
      <c r="EC10" s="36">
        <v>1.0931</v>
      </c>
      <c r="ED10" s="36">
        <v>1.1206</v>
      </c>
      <c r="EE10" s="36">
        <v>1.1183000000000001</v>
      </c>
      <c r="EF10" s="36">
        <v>1.1278999999999999</v>
      </c>
      <c r="EG10" s="36">
        <v>1.1194999999999999</v>
      </c>
      <c r="EH10" s="36">
        <v>1.1197999999999999</v>
      </c>
      <c r="EI10" s="36">
        <v>1.1194</v>
      </c>
      <c r="EJ10" s="36">
        <v>1.1426000000000001</v>
      </c>
      <c r="EK10" s="36">
        <v>1.1400999999999999</v>
      </c>
      <c r="EL10" s="36">
        <v>1.147</v>
      </c>
      <c r="EM10" s="36">
        <v>1.1662999999999999</v>
      </c>
      <c r="EN10" s="36">
        <v>1.1751</v>
      </c>
      <c r="EO10" s="36">
        <v>1.1773</v>
      </c>
      <c r="EP10" s="36">
        <v>1.1820999999999999</v>
      </c>
      <c r="EQ10" s="36">
        <v>1.1760999999999999</v>
      </c>
      <c r="ER10" s="36">
        <v>1.1761999999999999</v>
      </c>
    </row>
    <row r="11" spans="2:148" x14ac:dyDescent="0.2">
      <c r="H11" s="207"/>
      <c r="I11" s="214"/>
    </row>
    <row r="12" spans="2:148" x14ac:dyDescent="0.2">
      <c r="H12" s="207"/>
      <c r="I12" s="214"/>
    </row>
    <row r="13" spans="2:148" x14ac:dyDescent="0.2">
      <c r="H13" s="207"/>
    </row>
    <row r="14" spans="2:148" x14ac:dyDescent="0.2">
      <c r="H14" s="207"/>
    </row>
    <row r="15" spans="2:148" x14ac:dyDescent="0.2">
      <c r="H15" s="207"/>
      <c r="O15" s="215"/>
      <c r="P15" s="215"/>
      <c r="Q15" s="215"/>
      <c r="R15" s="215"/>
      <c r="S15" s="215"/>
      <c r="T15" s="215"/>
      <c r="U15" s="215"/>
      <c r="V15" s="215"/>
    </row>
    <row r="16" spans="2:148" x14ac:dyDescent="0.2">
      <c r="H16" s="207"/>
      <c r="I16" s="44" t="s">
        <v>273</v>
      </c>
      <c r="O16" s="215"/>
      <c r="P16" s="215"/>
      <c r="Q16" s="215"/>
      <c r="R16" s="215"/>
      <c r="S16" s="215"/>
      <c r="T16" s="215"/>
      <c r="U16" s="215"/>
      <c r="V16" s="215"/>
    </row>
    <row r="17" spans="2:22" x14ac:dyDescent="0.2">
      <c r="H17" s="207"/>
      <c r="O17" s="215"/>
      <c r="P17" s="215"/>
      <c r="Q17" s="215"/>
      <c r="R17" s="215"/>
      <c r="S17" s="215"/>
      <c r="T17" s="215"/>
      <c r="U17" s="215"/>
      <c r="V17" s="215"/>
    </row>
    <row r="18" spans="2:22" x14ac:dyDescent="0.2">
      <c r="H18" s="207"/>
      <c r="I18" s="55" t="s">
        <v>173</v>
      </c>
      <c r="J18" s="55" t="s">
        <v>374</v>
      </c>
      <c r="K18" s="55" t="s">
        <v>376</v>
      </c>
      <c r="L18" s="55" t="s">
        <v>377</v>
      </c>
      <c r="M18" s="55" t="s">
        <v>378</v>
      </c>
      <c r="N18" s="55" t="s">
        <v>379</v>
      </c>
      <c r="O18" s="215"/>
      <c r="P18" s="208"/>
      <c r="Q18" s="208"/>
      <c r="R18" s="208"/>
      <c r="S18" s="208"/>
      <c r="T18" s="208"/>
      <c r="U18" s="208"/>
      <c r="V18" s="215"/>
    </row>
    <row r="19" spans="2:22" x14ac:dyDescent="0.2">
      <c r="H19" s="207"/>
      <c r="I19" s="216">
        <v>40209</v>
      </c>
      <c r="J19" s="35">
        <v>71.459999999999994</v>
      </c>
      <c r="O19" s="215"/>
      <c r="P19" s="215"/>
      <c r="Q19" s="215"/>
      <c r="R19" s="215"/>
      <c r="S19" s="215"/>
      <c r="T19" s="215"/>
      <c r="U19" s="215"/>
      <c r="V19" s="215"/>
    </row>
    <row r="20" spans="2:22" x14ac:dyDescent="0.2">
      <c r="H20" s="207"/>
      <c r="I20" s="216">
        <v>40235</v>
      </c>
      <c r="J20" s="35">
        <v>77.59</v>
      </c>
      <c r="O20" s="215"/>
      <c r="P20" s="215"/>
      <c r="Q20" s="215"/>
      <c r="R20" s="215"/>
      <c r="S20" s="215"/>
      <c r="T20" s="215"/>
      <c r="U20" s="215"/>
      <c r="V20" s="215"/>
    </row>
    <row r="21" spans="2:22" x14ac:dyDescent="0.2">
      <c r="B21" s="44" t="s">
        <v>210</v>
      </c>
      <c r="H21" s="207"/>
      <c r="I21" s="216">
        <v>40268</v>
      </c>
      <c r="J21" s="35">
        <v>82.7</v>
      </c>
      <c r="O21" s="215"/>
      <c r="P21" s="215"/>
      <c r="Q21" s="215"/>
      <c r="R21" s="215"/>
      <c r="S21" s="215"/>
      <c r="T21" s="215"/>
      <c r="U21" s="215"/>
      <c r="V21" s="215"/>
    </row>
    <row r="22" spans="2:22" x14ac:dyDescent="0.2">
      <c r="H22" s="207"/>
      <c r="I22" s="216">
        <v>40298</v>
      </c>
      <c r="J22" s="35">
        <v>87.44</v>
      </c>
      <c r="O22" s="215"/>
      <c r="P22" s="215"/>
      <c r="Q22" s="215"/>
      <c r="R22" s="215"/>
      <c r="S22" s="215"/>
      <c r="T22" s="215"/>
      <c r="U22" s="215"/>
      <c r="V22" s="215"/>
    </row>
    <row r="23" spans="2:22" x14ac:dyDescent="0.2">
      <c r="B23" s="204" t="s">
        <v>373</v>
      </c>
      <c r="H23" s="207"/>
      <c r="I23" s="216">
        <v>40329</v>
      </c>
      <c r="J23" s="35">
        <v>74.650000000000006</v>
      </c>
      <c r="O23" s="215"/>
      <c r="P23" s="215"/>
      <c r="Q23" s="215"/>
      <c r="R23" s="215"/>
      <c r="S23" s="215"/>
      <c r="T23" s="215"/>
      <c r="U23" s="215"/>
      <c r="V23" s="215"/>
    </row>
    <row r="24" spans="2:22" x14ac:dyDescent="0.2">
      <c r="I24" s="216">
        <v>40359</v>
      </c>
      <c r="J24" s="35">
        <v>75.010000000000005</v>
      </c>
      <c r="O24" s="215"/>
      <c r="P24" s="215"/>
      <c r="Q24" s="215"/>
      <c r="R24" s="215"/>
      <c r="S24" s="215"/>
      <c r="T24" s="215"/>
      <c r="U24" s="215"/>
      <c r="V24" s="215"/>
    </row>
    <row r="25" spans="2:22" x14ac:dyDescent="0.2">
      <c r="I25" s="216">
        <v>40389</v>
      </c>
      <c r="J25" s="35">
        <v>78.180000000000007</v>
      </c>
      <c r="O25" s="215"/>
      <c r="P25" s="215"/>
      <c r="Q25" s="215"/>
      <c r="R25" s="215"/>
      <c r="S25" s="215"/>
      <c r="T25" s="215"/>
      <c r="U25" s="215"/>
      <c r="V25" s="215"/>
    </row>
    <row r="26" spans="2:22" x14ac:dyDescent="0.2">
      <c r="I26" s="216">
        <v>40421</v>
      </c>
      <c r="J26" s="35">
        <v>74.64</v>
      </c>
      <c r="O26" s="215"/>
      <c r="P26" s="215"/>
      <c r="Q26" s="215"/>
      <c r="R26" s="215"/>
      <c r="S26" s="215"/>
      <c r="T26" s="215"/>
      <c r="U26" s="215"/>
      <c r="V26" s="215"/>
    </row>
    <row r="27" spans="2:22" x14ac:dyDescent="0.2">
      <c r="I27" s="216">
        <v>40451</v>
      </c>
      <c r="J27" s="35">
        <v>82.31</v>
      </c>
    </row>
    <row r="28" spans="2:22" x14ac:dyDescent="0.2">
      <c r="I28" s="216">
        <v>40480</v>
      </c>
      <c r="J28" s="35">
        <v>83.15</v>
      </c>
    </row>
    <row r="29" spans="2:22" x14ac:dyDescent="0.2">
      <c r="I29" s="216">
        <v>40512</v>
      </c>
      <c r="J29" s="35">
        <v>85.92</v>
      </c>
    </row>
    <row r="30" spans="2:22" x14ac:dyDescent="0.2">
      <c r="I30" s="216">
        <v>40543</v>
      </c>
      <c r="J30" s="35">
        <v>94.75</v>
      </c>
    </row>
    <row r="31" spans="2:22" x14ac:dyDescent="0.2">
      <c r="I31" s="216">
        <v>40574</v>
      </c>
      <c r="J31" s="35">
        <v>101.01</v>
      </c>
    </row>
    <row r="32" spans="2:22" x14ac:dyDescent="0.2">
      <c r="I32" s="216">
        <v>40602</v>
      </c>
      <c r="J32" s="35">
        <v>111.8</v>
      </c>
    </row>
    <row r="33" spans="9:10" x14ac:dyDescent="0.2">
      <c r="I33" s="216">
        <v>40633</v>
      </c>
      <c r="J33" s="35">
        <v>117.36</v>
      </c>
    </row>
    <row r="34" spans="9:10" x14ac:dyDescent="0.2">
      <c r="I34" s="216">
        <v>40662</v>
      </c>
      <c r="J34" s="35">
        <v>125.89</v>
      </c>
    </row>
    <row r="35" spans="9:10" x14ac:dyDescent="0.2">
      <c r="I35" s="216">
        <v>40694</v>
      </c>
      <c r="J35" s="35">
        <v>116.73</v>
      </c>
    </row>
    <row r="36" spans="9:10" x14ac:dyDescent="0.2">
      <c r="I36" s="216">
        <v>40724</v>
      </c>
      <c r="J36" s="35">
        <v>112.48</v>
      </c>
    </row>
    <row r="37" spans="9:10" x14ac:dyDescent="0.2">
      <c r="I37" s="216">
        <v>40753</v>
      </c>
      <c r="J37" s="35">
        <v>116.74</v>
      </c>
    </row>
    <row r="38" spans="9:10" x14ac:dyDescent="0.2">
      <c r="I38" s="216">
        <v>40786</v>
      </c>
      <c r="J38" s="35">
        <v>114.85</v>
      </c>
    </row>
    <row r="39" spans="9:10" x14ac:dyDescent="0.2">
      <c r="I39" s="216">
        <v>40816</v>
      </c>
      <c r="J39" s="35">
        <v>102.76</v>
      </c>
    </row>
    <row r="40" spans="9:10" x14ac:dyDescent="0.2">
      <c r="I40" s="216">
        <v>40847</v>
      </c>
      <c r="J40" s="35">
        <v>109.56</v>
      </c>
    </row>
    <row r="41" spans="9:10" x14ac:dyDescent="0.2">
      <c r="I41" s="216">
        <v>40877</v>
      </c>
      <c r="J41" s="35">
        <v>110.52</v>
      </c>
    </row>
    <row r="42" spans="9:10" x14ac:dyDescent="0.2">
      <c r="I42" s="216">
        <v>40907</v>
      </c>
      <c r="J42" s="35">
        <v>107.38</v>
      </c>
    </row>
    <row r="43" spans="9:10" x14ac:dyDescent="0.2">
      <c r="I43" s="216">
        <v>40939</v>
      </c>
      <c r="J43" s="35">
        <v>110.98</v>
      </c>
    </row>
    <row r="44" spans="9:10" x14ac:dyDescent="0.2">
      <c r="I44" s="216">
        <v>40968</v>
      </c>
      <c r="J44" s="35">
        <v>122.66</v>
      </c>
    </row>
    <row r="45" spans="9:10" x14ac:dyDescent="0.2">
      <c r="I45" s="216">
        <v>40998</v>
      </c>
      <c r="J45" s="35">
        <v>122.88</v>
      </c>
    </row>
    <row r="46" spans="9:10" x14ac:dyDescent="0.2">
      <c r="I46" s="216">
        <v>41029</v>
      </c>
      <c r="J46" s="35">
        <v>119.47</v>
      </c>
    </row>
    <row r="47" spans="9:10" x14ac:dyDescent="0.2">
      <c r="I47" s="216">
        <v>41060</v>
      </c>
      <c r="J47" s="35">
        <v>101.87</v>
      </c>
    </row>
    <row r="48" spans="9:10" x14ac:dyDescent="0.2">
      <c r="I48" s="216">
        <v>41089</v>
      </c>
      <c r="J48" s="35">
        <v>97.8</v>
      </c>
    </row>
    <row r="49" spans="9:10" x14ac:dyDescent="0.2">
      <c r="I49" s="216">
        <v>41121</v>
      </c>
      <c r="J49" s="35">
        <v>104.92</v>
      </c>
    </row>
    <row r="50" spans="9:10" x14ac:dyDescent="0.2">
      <c r="I50" s="216">
        <v>41152</v>
      </c>
      <c r="J50" s="35">
        <v>114.57</v>
      </c>
    </row>
    <row r="51" spans="9:10" x14ac:dyDescent="0.2">
      <c r="I51" s="216">
        <v>41180</v>
      </c>
      <c r="J51" s="35">
        <v>112.39</v>
      </c>
    </row>
    <row r="52" spans="9:10" x14ac:dyDescent="0.2">
      <c r="I52" s="216">
        <v>41213</v>
      </c>
      <c r="J52" s="35">
        <v>108.7</v>
      </c>
    </row>
    <row r="53" spans="9:10" x14ac:dyDescent="0.2">
      <c r="I53" s="216">
        <v>41243</v>
      </c>
      <c r="J53" s="35">
        <v>111.23</v>
      </c>
    </row>
    <row r="54" spans="9:10" x14ac:dyDescent="0.2">
      <c r="I54" s="216">
        <v>41274</v>
      </c>
      <c r="J54" s="35">
        <v>111.11</v>
      </c>
    </row>
    <row r="55" spans="9:10" x14ac:dyDescent="0.2">
      <c r="I55" s="216">
        <v>41305</v>
      </c>
      <c r="J55" s="35">
        <v>115.55</v>
      </c>
    </row>
    <row r="56" spans="9:10" x14ac:dyDescent="0.2">
      <c r="I56" s="216">
        <v>41333</v>
      </c>
      <c r="J56" s="35">
        <v>111.38</v>
      </c>
    </row>
    <row r="57" spans="9:10" x14ac:dyDescent="0.2">
      <c r="I57" s="216">
        <v>41362</v>
      </c>
      <c r="J57" s="35">
        <v>110.02</v>
      </c>
    </row>
    <row r="58" spans="9:10" x14ac:dyDescent="0.2">
      <c r="I58" s="216">
        <v>41394</v>
      </c>
      <c r="J58" s="35">
        <v>102.37</v>
      </c>
    </row>
    <row r="59" spans="9:10" x14ac:dyDescent="0.2">
      <c r="I59" s="216">
        <v>41425</v>
      </c>
      <c r="J59" s="35">
        <v>100.39</v>
      </c>
    </row>
    <row r="60" spans="9:10" x14ac:dyDescent="0.2">
      <c r="I60" s="216">
        <v>41453</v>
      </c>
      <c r="J60" s="35">
        <v>102.16</v>
      </c>
    </row>
    <row r="61" spans="9:10" x14ac:dyDescent="0.2">
      <c r="I61" s="216">
        <v>41486</v>
      </c>
      <c r="J61" s="35">
        <v>107.7</v>
      </c>
    </row>
    <row r="62" spans="9:10" x14ac:dyDescent="0.2">
      <c r="I62" s="216">
        <v>41516</v>
      </c>
      <c r="J62" s="35">
        <v>114.01</v>
      </c>
    </row>
    <row r="63" spans="9:10" x14ac:dyDescent="0.2">
      <c r="I63" s="216">
        <v>41547</v>
      </c>
      <c r="J63" s="35">
        <v>108.37</v>
      </c>
    </row>
    <row r="64" spans="9:10" x14ac:dyDescent="0.2">
      <c r="I64" s="216">
        <v>41578</v>
      </c>
      <c r="J64" s="35">
        <v>108.84</v>
      </c>
    </row>
    <row r="65" spans="9:10" x14ac:dyDescent="0.2">
      <c r="I65" s="216">
        <v>41607</v>
      </c>
      <c r="J65" s="35">
        <v>109.69</v>
      </c>
    </row>
    <row r="66" spans="9:10" x14ac:dyDescent="0.2">
      <c r="I66" s="216">
        <v>41639</v>
      </c>
      <c r="J66" s="35">
        <v>110.8</v>
      </c>
    </row>
    <row r="67" spans="9:10" x14ac:dyDescent="0.2">
      <c r="I67" s="216">
        <v>41670</v>
      </c>
      <c r="J67" s="35">
        <v>106.4</v>
      </c>
    </row>
    <row r="68" spans="9:10" x14ac:dyDescent="0.2">
      <c r="I68" s="216">
        <v>41698</v>
      </c>
      <c r="J68" s="35">
        <v>109.07</v>
      </c>
    </row>
    <row r="69" spans="9:10" x14ac:dyDescent="0.2">
      <c r="I69" s="216">
        <v>41729</v>
      </c>
      <c r="J69" s="35">
        <v>107.76</v>
      </c>
    </row>
    <row r="70" spans="9:10" x14ac:dyDescent="0.2">
      <c r="I70" s="216">
        <v>41759</v>
      </c>
      <c r="J70" s="35">
        <v>108.07</v>
      </c>
    </row>
    <row r="71" spans="9:10" x14ac:dyDescent="0.2">
      <c r="I71" s="216">
        <v>41789</v>
      </c>
      <c r="J71" s="35">
        <v>109.41</v>
      </c>
    </row>
    <row r="72" spans="9:10" x14ac:dyDescent="0.2">
      <c r="I72" s="216">
        <v>41820</v>
      </c>
      <c r="J72" s="35">
        <v>112.36</v>
      </c>
    </row>
    <row r="73" spans="9:10" x14ac:dyDescent="0.2">
      <c r="I73" s="216">
        <v>41851</v>
      </c>
      <c r="J73" s="35">
        <v>106.02</v>
      </c>
    </row>
    <row r="74" spans="9:10" x14ac:dyDescent="0.2">
      <c r="I74" s="216">
        <v>41880</v>
      </c>
      <c r="J74" s="35">
        <v>103.19</v>
      </c>
    </row>
    <row r="75" spans="9:10" x14ac:dyDescent="0.2">
      <c r="I75" s="216">
        <v>41912</v>
      </c>
      <c r="J75" s="35">
        <v>94.67</v>
      </c>
    </row>
    <row r="76" spans="9:10" x14ac:dyDescent="0.2">
      <c r="I76" s="216">
        <v>41943</v>
      </c>
      <c r="J76" s="35">
        <v>85.86</v>
      </c>
    </row>
    <row r="77" spans="9:10" x14ac:dyDescent="0.2">
      <c r="I77" s="216">
        <v>41971</v>
      </c>
      <c r="J77" s="35">
        <v>70.150000000000006</v>
      </c>
    </row>
    <row r="78" spans="9:10" x14ac:dyDescent="0.2">
      <c r="I78" s="216">
        <v>42004</v>
      </c>
      <c r="J78" s="35">
        <v>57.33</v>
      </c>
    </row>
    <row r="79" spans="9:10" x14ac:dyDescent="0.2">
      <c r="I79" s="216">
        <v>42034</v>
      </c>
      <c r="J79" s="35">
        <v>52.99</v>
      </c>
    </row>
    <row r="80" spans="9:10" x14ac:dyDescent="0.2">
      <c r="I80" s="216">
        <v>42062</v>
      </c>
      <c r="J80" s="35">
        <v>62.58</v>
      </c>
    </row>
    <row r="81" spans="9:10" x14ac:dyDescent="0.2">
      <c r="I81" s="216">
        <v>42094</v>
      </c>
      <c r="J81" s="35">
        <v>55.11</v>
      </c>
    </row>
    <row r="82" spans="9:10" x14ac:dyDescent="0.2">
      <c r="I82" s="216">
        <v>42124</v>
      </c>
      <c r="J82" s="35">
        <v>66.78</v>
      </c>
    </row>
    <row r="83" spans="9:10" x14ac:dyDescent="0.2">
      <c r="I83" s="216">
        <v>42153</v>
      </c>
      <c r="J83" s="35">
        <v>65.56</v>
      </c>
    </row>
    <row r="84" spans="9:10" x14ac:dyDescent="0.2">
      <c r="I84" s="216">
        <v>42185</v>
      </c>
      <c r="J84" s="35">
        <v>63.59</v>
      </c>
    </row>
    <row r="85" spans="9:10" x14ac:dyDescent="0.2">
      <c r="I85" s="216">
        <v>42216</v>
      </c>
      <c r="J85" s="35">
        <v>52.21</v>
      </c>
    </row>
    <row r="86" spans="9:10" x14ac:dyDescent="0.2">
      <c r="I86" s="216">
        <v>42247</v>
      </c>
      <c r="J86" s="35">
        <v>54.15</v>
      </c>
    </row>
    <row r="87" spans="9:10" x14ac:dyDescent="0.2">
      <c r="I87" s="216">
        <v>42277</v>
      </c>
      <c r="J87" s="35">
        <v>48.37</v>
      </c>
    </row>
    <row r="88" spans="9:10" x14ac:dyDescent="0.2">
      <c r="I88" s="216">
        <v>42307</v>
      </c>
      <c r="J88" s="35">
        <v>49.56</v>
      </c>
    </row>
    <row r="89" spans="9:10" x14ac:dyDescent="0.2">
      <c r="I89" s="216">
        <v>42338</v>
      </c>
      <c r="J89" s="35">
        <v>44.61</v>
      </c>
    </row>
    <row r="90" spans="9:10" x14ac:dyDescent="0.2">
      <c r="I90" s="216">
        <v>42369</v>
      </c>
      <c r="J90" s="35">
        <v>37.28</v>
      </c>
    </row>
    <row r="91" spans="9:10" x14ac:dyDescent="0.2">
      <c r="I91" s="216">
        <v>42398</v>
      </c>
      <c r="J91" s="35">
        <v>34.74</v>
      </c>
    </row>
    <row r="92" spans="9:10" x14ac:dyDescent="0.2">
      <c r="I92" s="216">
        <v>42429</v>
      </c>
      <c r="J92" s="35">
        <v>35.97</v>
      </c>
    </row>
    <row r="93" spans="9:10" x14ac:dyDescent="0.2">
      <c r="I93" s="216">
        <v>42460</v>
      </c>
      <c r="J93" s="35">
        <v>39.6</v>
      </c>
    </row>
    <row r="94" spans="9:10" x14ac:dyDescent="0.2">
      <c r="I94" s="216">
        <v>42489</v>
      </c>
      <c r="J94" s="35">
        <v>48.13</v>
      </c>
    </row>
    <row r="95" spans="9:10" x14ac:dyDescent="0.2">
      <c r="I95" s="216">
        <v>42521</v>
      </c>
      <c r="J95" s="35">
        <v>49.69</v>
      </c>
    </row>
    <row r="96" spans="9:10" x14ac:dyDescent="0.2">
      <c r="I96" s="216">
        <v>42551</v>
      </c>
      <c r="J96" s="35">
        <v>49.68</v>
      </c>
    </row>
    <row r="97" spans="9:14" x14ac:dyDescent="0.2">
      <c r="I97" s="216">
        <v>42580</v>
      </c>
      <c r="J97" s="35">
        <v>42.46</v>
      </c>
    </row>
    <row r="98" spans="9:14" x14ac:dyDescent="0.2">
      <c r="I98" s="216">
        <v>42613</v>
      </c>
      <c r="J98" s="35">
        <v>47.04</v>
      </c>
    </row>
    <row r="99" spans="9:14" x14ac:dyDescent="0.2">
      <c r="I99" s="216">
        <v>42643</v>
      </c>
      <c r="J99" s="35">
        <v>49.06</v>
      </c>
    </row>
    <row r="100" spans="9:14" x14ac:dyDescent="0.2">
      <c r="I100" s="216">
        <v>42674</v>
      </c>
      <c r="J100" s="35">
        <v>48.3</v>
      </c>
      <c r="K100" s="35">
        <v>47.04</v>
      </c>
    </row>
    <row r="101" spans="9:14" x14ac:dyDescent="0.2">
      <c r="I101" s="216">
        <v>42704</v>
      </c>
      <c r="J101" s="35">
        <v>50.47</v>
      </c>
      <c r="K101" s="35">
        <v>46.89</v>
      </c>
    </row>
    <row r="102" spans="9:14" x14ac:dyDescent="0.2">
      <c r="I102" s="216">
        <v>42734</v>
      </c>
      <c r="J102" s="35">
        <v>56.82</v>
      </c>
      <c r="K102" s="35">
        <v>47.27</v>
      </c>
    </row>
    <row r="103" spans="9:14" x14ac:dyDescent="0.2">
      <c r="I103" s="216">
        <v>42766</v>
      </c>
      <c r="J103" s="35">
        <v>55.7</v>
      </c>
      <c r="K103" s="35">
        <v>47.68</v>
      </c>
    </row>
    <row r="104" spans="9:14" x14ac:dyDescent="0.2">
      <c r="I104" s="216">
        <v>42794</v>
      </c>
      <c r="J104" s="35">
        <v>55.59</v>
      </c>
      <c r="K104" s="35">
        <v>48.09</v>
      </c>
      <c r="L104" s="35">
        <v>53.84</v>
      </c>
    </row>
    <row r="105" spans="9:14" x14ac:dyDescent="0.2">
      <c r="I105" s="216">
        <v>42825</v>
      </c>
      <c r="J105" s="35">
        <v>52.83</v>
      </c>
      <c r="K105" s="35">
        <v>48.51</v>
      </c>
      <c r="L105" s="35">
        <v>54.43</v>
      </c>
    </row>
    <row r="106" spans="9:14" x14ac:dyDescent="0.2">
      <c r="I106" s="216">
        <v>42853</v>
      </c>
      <c r="J106" s="35">
        <v>51.73</v>
      </c>
      <c r="K106" s="35">
        <v>48.88</v>
      </c>
      <c r="L106" s="35">
        <v>54.95</v>
      </c>
    </row>
    <row r="107" spans="9:14" x14ac:dyDescent="0.2">
      <c r="I107" s="216">
        <v>42886</v>
      </c>
      <c r="J107" s="35">
        <v>50.31</v>
      </c>
      <c r="K107" s="35">
        <v>49.22</v>
      </c>
      <c r="L107" s="35">
        <v>55.38</v>
      </c>
      <c r="M107" s="35">
        <v>51.21</v>
      </c>
    </row>
    <row r="108" spans="9:14" x14ac:dyDescent="0.2">
      <c r="I108" s="216">
        <v>42916</v>
      </c>
      <c r="J108" s="35">
        <v>47.92</v>
      </c>
      <c r="K108" s="35">
        <v>49.52</v>
      </c>
      <c r="L108" s="35">
        <v>55.69</v>
      </c>
      <c r="M108" s="35">
        <v>50.74</v>
      </c>
    </row>
    <row r="109" spans="9:14" x14ac:dyDescent="0.2">
      <c r="I109" s="216">
        <v>42947</v>
      </c>
      <c r="J109" s="35">
        <v>52.65</v>
      </c>
      <c r="K109" s="35">
        <v>49.81</v>
      </c>
      <c r="L109" s="35">
        <v>55.89</v>
      </c>
      <c r="M109" s="35">
        <v>51.17</v>
      </c>
    </row>
    <row r="110" spans="9:14" x14ac:dyDescent="0.2">
      <c r="I110" s="216">
        <v>42978</v>
      </c>
      <c r="J110" s="210">
        <v>51.823333333333331</v>
      </c>
      <c r="K110" s="35">
        <v>50.07</v>
      </c>
      <c r="L110" s="35">
        <v>55.99</v>
      </c>
      <c r="M110" s="35">
        <v>51.47</v>
      </c>
    </row>
    <row r="111" spans="9:14" x14ac:dyDescent="0.2">
      <c r="I111" s="216">
        <v>43008</v>
      </c>
      <c r="J111" s="210">
        <v>50.996666666666663</v>
      </c>
      <c r="K111" s="35">
        <v>50.3</v>
      </c>
      <c r="L111" s="35">
        <v>56.04</v>
      </c>
      <c r="M111" s="35">
        <v>51.69</v>
      </c>
    </row>
    <row r="112" spans="9:14" x14ac:dyDescent="0.2">
      <c r="I112" s="216">
        <v>43038</v>
      </c>
      <c r="J112" s="35">
        <v>50.17</v>
      </c>
      <c r="K112" s="35">
        <v>50.53</v>
      </c>
      <c r="L112" s="35">
        <v>56.06</v>
      </c>
      <c r="M112" s="35">
        <v>51.86</v>
      </c>
      <c r="N112" s="35">
        <v>50.17</v>
      </c>
    </row>
    <row r="113" spans="9:14" x14ac:dyDescent="0.2">
      <c r="I113" s="216">
        <v>43069</v>
      </c>
      <c r="K113" s="35">
        <v>50.74</v>
      </c>
      <c r="L113" s="35">
        <v>56.06</v>
      </c>
      <c r="M113" s="35">
        <v>52.01</v>
      </c>
      <c r="N113" s="35">
        <v>50</v>
      </c>
    </row>
    <row r="114" spans="9:14" x14ac:dyDescent="0.2">
      <c r="I114" s="216">
        <v>43100</v>
      </c>
      <c r="K114" s="35">
        <v>50.93</v>
      </c>
      <c r="L114" s="35">
        <v>56.05</v>
      </c>
      <c r="M114" s="35">
        <v>52.12</v>
      </c>
      <c r="N114" s="35">
        <v>49.97</v>
      </c>
    </row>
    <row r="115" spans="9:14" x14ac:dyDescent="0.2">
      <c r="I115" s="216">
        <v>43130</v>
      </c>
      <c r="K115" s="35">
        <v>51.15</v>
      </c>
      <c r="L115" s="35">
        <v>56.03</v>
      </c>
      <c r="M115" s="35">
        <v>52.2</v>
      </c>
      <c r="N115" s="35">
        <v>50.02</v>
      </c>
    </row>
    <row r="116" spans="9:14" x14ac:dyDescent="0.2">
      <c r="I116" s="216">
        <v>43158</v>
      </c>
      <c r="K116" s="35">
        <v>51.38</v>
      </c>
      <c r="L116" s="35">
        <v>56.03</v>
      </c>
      <c r="M116" s="35">
        <v>52.21</v>
      </c>
      <c r="N116" s="35">
        <v>50.1</v>
      </c>
    </row>
    <row r="117" spans="9:14" x14ac:dyDescent="0.2">
      <c r="I117" s="216">
        <v>43190</v>
      </c>
      <c r="K117" s="35">
        <v>51.61</v>
      </c>
      <c r="L117" s="35">
        <v>56.02</v>
      </c>
      <c r="M117" s="35">
        <v>52.19</v>
      </c>
      <c r="N117" s="35">
        <v>50.19</v>
      </c>
    </row>
    <row r="118" spans="9:14" x14ac:dyDescent="0.2">
      <c r="I118" s="216">
        <v>43220</v>
      </c>
      <c r="K118" s="35">
        <v>51.84</v>
      </c>
      <c r="L118" s="35">
        <v>55.99</v>
      </c>
      <c r="M118" s="35">
        <v>52.16</v>
      </c>
      <c r="N118" s="35">
        <v>50.29</v>
      </c>
    </row>
    <row r="119" spans="9:14" x14ac:dyDescent="0.2">
      <c r="I119" s="216">
        <v>43249</v>
      </c>
      <c r="K119" s="35">
        <v>52.08</v>
      </c>
      <c r="L119" s="35">
        <v>55.96</v>
      </c>
      <c r="M119" s="35">
        <v>52.11</v>
      </c>
      <c r="N119" s="35">
        <v>50.4</v>
      </c>
    </row>
    <row r="120" spans="9:14" x14ac:dyDescent="0.2">
      <c r="I120" s="216">
        <v>43281</v>
      </c>
      <c r="K120" s="35">
        <v>52.32</v>
      </c>
      <c r="L120" s="35">
        <v>55.94</v>
      </c>
      <c r="M120" s="35">
        <v>52.05</v>
      </c>
      <c r="N120" s="35">
        <v>50.5</v>
      </c>
    </row>
    <row r="121" spans="9:14" x14ac:dyDescent="0.2">
      <c r="I121" s="216">
        <v>43312</v>
      </c>
      <c r="K121" s="35">
        <v>52.56</v>
      </c>
      <c r="L121" s="35">
        <v>55.92</v>
      </c>
      <c r="M121" s="35">
        <v>52.02</v>
      </c>
      <c r="N121" s="35">
        <v>50.61</v>
      </c>
    </row>
    <row r="122" spans="9:14" x14ac:dyDescent="0.2">
      <c r="I122" s="216">
        <v>43343</v>
      </c>
      <c r="K122" s="35">
        <v>52.74</v>
      </c>
      <c r="L122" s="35">
        <v>55.89</v>
      </c>
      <c r="M122" s="35">
        <v>51.99</v>
      </c>
      <c r="N122" s="35">
        <v>50.69</v>
      </c>
    </row>
    <row r="123" spans="9:14" x14ac:dyDescent="0.2">
      <c r="I123" s="216">
        <v>43373</v>
      </c>
      <c r="K123" s="35">
        <v>52.92</v>
      </c>
      <c r="L123" s="35">
        <v>55.85</v>
      </c>
      <c r="M123" s="35">
        <v>51.95</v>
      </c>
      <c r="N123" s="35">
        <v>50.74</v>
      </c>
    </row>
    <row r="124" spans="9:14" x14ac:dyDescent="0.2">
      <c r="I124" s="216">
        <v>43403</v>
      </c>
      <c r="K124" s="35">
        <v>53.09</v>
      </c>
      <c r="L124" s="35">
        <v>55.79</v>
      </c>
      <c r="M124" s="35">
        <v>51.89</v>
      </c>
      <c r="N124" s="35">
        <v>50.79</v>
      </c>
    </row>
    <row r="125" spans="9:14" x14ac:dyDescent="0.2">
      <c r="I125" s="216">
        <v>43434</v>
      </c>
      <c r="K125" s="35">
        <v>53.24</v>
      </c>
      <c r="L125" s="35">
        <v>55.75</v>
      </c>
      <c r="M125" s="35">
        <v>51.85</v>
      </c>
      <c r="N125" s="35">
        <v>50.83</v>
      </c>
    </row>
    <row r="126" spans="9:14" x14ac:dyDescent="0.2">
      <c r="I126" s="216">
        <v>43465</v>
      </c>
      <c r="K126" s="35">
        <v>53.38</v>
      </c>
      <c r="L126" s="35">
        <v>55.76</v>
      </c>
      <c r="M126" s="35">
        <v>51.82</v>
      </c>
      <c r="N126" s="35">
        <v>50.85</v>
      </c>
    </row>
    <row r="127" spans="9:14" x14ac:dyDescent="0.2">
      <c r="I127" s="216">
        <v>43495</v>
      </c>
      <c r="K127" s="35">
        <v>53.57</v>
      </c>
      <c r="L127" s="35">
        <v>55.78</v>
      </c>
      <c r="M127" s="35">
        <v>51.82</v>
      </c>
      <c r="N127" s="35">
        <v>50.92</v>
      </c>
    </row>
    <row r="128" spans="9:14" x14ac:dyDescent="0.2">
      <c r="I128" s="216">
        <v>43523</v>
      </c>
      <c r="K128" s="35">
        <v>53.76</v>
      </c>
      <c r="L128" s="35">
        <v>55.8</v>
      </c>
      <c r="M128" s="35">
        <v>51.82</v>
      </c>
      <c r="N128" s="35">
        <v>51</v>
      </c>
    </row>
    <row r="129" spans="9:14" x14ac:dyDescent="0.2">
      <c r="I129" s="216">
        <v>43555</v>
      </c>
      <c r="K129" s="35">
        <v>53.95</v>
      </c>
      <c r="L129" s="35">
        <v>55.82</v>
      </c>
      <c r="M129" s="35">
        <v>51.84</v>
      </c>
      <c r="N129" s="35">
        <v>51.08</v>
      </c>
    </row>
    <row r="130" spans="9:14" x14ac:dyDescent="0.2">
      <c r="I130" s="216">
        <v>43585</v>
      </c>
      <c r="K130" s="35">
        <v>54.16</v>
      </c>
      <c r="L130" s="35">
        <v>55.84</v>
      </c>
      <c r="M130" s="35">
        <v>51.87</v>
      </c>
      <c r="N130" s="35">
        <v>51.19</v>
      </c>
    </row>
    <row r="131" spans="9:14" x14ac:dyDescent="0.2">
      <c r="I131" s="216">
        <v>43614</v>
      </c>
      <c r="K131" s="35">
        <v>54.37</v>
      </c>
      <c r="L131" s="35">
        <v>55.87</v>
      </c>
      <c r="M131" s="35">
        <v>51.86</v>
      </c>
      <c r="N131" s="35">
        <v>51.26</v>
      </c>
    </row>
    <row r="132" spans="9:14" x14ac:dyDescent="0.2">
      <c r="I132" s="216">
        <v>43646</v>
      </c>
      <c r="K132" s="35">
        <v>54.59</v>
      </c>
      <c r="L132" s="35">
        <v>55.86</v>
      </c>
      <c r="M132" s="35">
        <v>51.83</v>
      </c>
      <c r="N132" s="35">
        <v>51.3</v>
      </c>
    </row>
    <row r="133" spans="9:14" x14ac:dyDescent="0.2">
      <c r="I133" s="216">
        <v>43677</v>
      </c>
      <c r="K133" s="35">
        <v>54.72</v>
      </c>
      <c r="L133" s="35">
        <v>55.86</v>
      </c>
      <c r="M133" s="35">
        <v>51.83</v>
      </c>
      <c r="N133" s="35">
        <v>51.42</v>
      </c>
    </row>
    <row r="134" spans="9:14" x14ac:dyDescent="0.2">
      <c r="I134" s="216">
        <v>43708</v>
      </c>
      <c r="K134" s="35">
        <v>54.85</v>
      </c>
      <c r="L134" s="35">
        <v>55.86</v>
      </c>
      <c r="M134" s="35">
        <v>51.82</v>
      </c>
      <c r="N134" s="35">
        <v>51.51</v>
      </c>
    </row>
    <row r="135" spans="9:14" x14ac:dyDescent="0.2">
      <c r="I135" s="216">
        <v>43738</v>
      </c>
      <c r="K135" s="35">
        <v>54.98</v>
      </c>
      <c r="L135" s="35">
        <v>55.87</v>
      </c>
      <c r="M135" s="35">
        <v>51.83</v>
      </c>
      <c r="N135" s="35">
        <v>51.6</v>
      </c>
    </row>
    <row r="136" spans="9:14" x14ac:dyDescent="0.2">
      <c r="I136" s="216">
        <v>43768</v>
      </c>
      <c r="K136" s="35">
        <v>55.11</v>
      </c>
      <c r="L136" s="35">
        <v>55.87</v>
      </c>
      <c r="M136" s="35">
        <v>51.82</v>
      </c>
      <c r="N136" s="35">
        <v>51.67</v>
      </c>
    </row>
    <row r="137" spans="9:14" x14ac:dyDescent="0.2">
      <c r="I137" s="216">
        <v>43799</v>
      </c>
      <c r="K137" s="35">
        <v>55.23</v>
      </c>
      <c r="L137" s="35">
        <v>55.87</v>
      </c>
      <c r="M137" s="35">
        <v>51.84</v>
      </c>
      <c r="N137" s="35">
        <v>51.69</v>
      </c>
    </row>
    <row r="138" spans="9:14" x14ac:dyDescent="0.2">
      <c r="I138" s="216">
        <v>43830</v>
      </c>
      <c r="K138" s="35">
        <v>55.35</v>
      </c>
      <c r="L138" s="35">
        <v>55.93</v>
      </c>
      <c r="M138" s="35">
        <v>51.85</v>
      </c>
      <c r="N138" s="35">
        <v>51.73</v>
      </c>
    </row>
    <row r="139" spans="9:14" x14ac:dyDescent="0.2">
      <c r="I139" s="216">
        <v>43860</v>
      </c>
      <c r="L139" s="35">
        <v>55.93</v>
      </c>
      <c r="M139" s="35">
        <v>51.91</v>
      </c>
      <c r="N139" s="35">
        <v>51.84</v>
      </c>
    </row>
    <row r="140" spans="9:14" x14ac:dyDescent="0.2">
      <c r="I140" s="216">
        <v>43888</v>
      </c>
      <c r="L140" s="35">
        <v>56</v>
      </c>
      <c r="M140" s="35">
        <v>51.98</v>
      </c>
      <c r="N140" s="35">
        <v>51.94</v>
      </c>
    </row>
    <row r="141" spans="9:14" x14ac:dyDescent="0.2">
      <c r="I141" s="216">
        <v>43921</v>
      </c>
      <c r="L141" s="35">
        <v>56.06</v>
      </c>
      <c r="M141" s="35">
        <v>52.05</v>
      </c>
      <c r="N141" s="35">
        <v>52.04</v>
      </c>
    </row>
    <row r="142" spans="9:14" x14ac:dyDescent="0.2">
      <c r="I142" s="216">
        <v>43951</v>
      </c>
      <c r="L142" s="35">
        <v>56.12</v>
      </c>
      <c r="M142" s="35">
        <v>52.1</v>
      </c>
      <c r="N142" s="35">
        <v>52.15</v>
      </c>
    </row>
    <row r="143" spans="9:14" x14ac:dyDescent="0.2">
      <c r="I143" s="216">
        <v>43980</v>
      </c>
      <c r="L143" s="35">
        <v>56.17</v>
      </c>
      <c r="M143" s="35">
        <v>52.15</v>
      </c>
      <c r="N143" s="35">
        <v>52.23</v>
      </c>
    </row>
    <row r="144" spans="9:14" x14ac:dyDescent="0.2">
      <c r="I144" s="216">
        <v>44012</v>
      </c>
      <c r="L144" s="35">
        <v>56.23</v>
      </c>
      <c r="M144" s="35">
        <v>52.19</v>
      </c>
      <c r="N144" s="35">
        <v>52.32</v>
      </c>
    </row>
    <row r="145" spans="9:14" x14ac:dyDescent="0.2">
      <c r="I145" s="216">
        <v>44043</v>
      </c>
      <c r="L145" s="35">
        <v>56.28</v>
      </c>
      <c r="M145" s="35">
        <v>52.25</v>
      </c>
      <c r="N145" s="35">
        <v>52.43</v>
      </c>
    </row>
    <row r="146" spans="9:14" x14ac:dyDescent="0.2">
      <c r="I146" s="216">
        <v>44074</v>
      </c>
      <c r="L146" s="35">
        <v>56.33</v>
      </c>
      <c r="M146" s="35">
        <v>52.3</v>
      </c>
      <c r="N146" s="35">
        <v>52.5</v>
      </c>
    </row>
    <row r="147" spans="9:14" x14ac:dyDescent="0.2">
      <c r="I147" s="216">
        <v>44104</v>
      </c>
      <c r="L147" s="35">
        <v>56.37</v>
      </c>
      <c r="M147" s="35">
        <v>52.36</v>
      </c>
      <c r="N147" s="35">
        <v>52.58</v>
      </c>
    </row>
    <row r="148" spans="9:14" x14ac:dyDescent="0.2">
      <c r="I148" s="216">
        <v>44134</v>
      </c>
      <c r="L148" s="35">
        <v>56.42</v>
      </c>
      <c r="M148" s="35">
        <v>52.4</v>
      </c>
      <c r="N148" s="35">
        <v>52.64</v>
      </c>
    </row>
    <row r="149" spans="9:14" x14ac:dyDescent="0.2">
      <c r="I149" s="216">
        <v>44165</v>
      </c>
      <c r="L149" s="35">
        <v>56.46</v>
      </c>
      <c r="M149" s="35">
        <v>52.44</v>
      </c>
      <c r="N149" s="35">
        <v>52.68</v>
      </c>
    </row>
    <row r="150" spans="9:14" x14ac:dyDescent="0.2">
      <c r="I150" s="216">
        <v>44196</v>
      </c>
      <c r="L150" s="35">
        <v>56.5</v>
      </c>
      <c r="M150" s="35">
        <v>52.48</v>
      </c>
      <c r="N150" s="35">
        <v>52.74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B4:F9"/>
  <sheetViews>
    <sheetView showGridLines="0" workbookViewId="0">
      <selection activeCell="G16" sqref="G16"/>
    </sheetView>
  </sheetViews>
  <sheetFormatPr defaultRowHeight="12.75" x14ac:dyDescent="0.2"/>
  <cols>
    <col min="1" max="1" width="9.140625" style="35"/>
    <col min="2" max="2" width="47.85546875" style="35" customWidth="1"/>
    <col min="3" max="4" width="9.7109375" style="35" customWidth="1"/>
    <col min="5" max="5" width="10.140625" style="35" customWidth="1"/>
    <col min="6" max="6" width="14.5703125" style="35" customWidth="1"/>
    <col min="7" max="16384" width="9.140625" style="35"/>
  </cols>
  <sheetData>
    <row r="4" spans="2:6" ht="13.5" thickBot="1" x14ac:dyDescent="0.25">
      <c r="B4" s="360" t="s">
        <v>709</v>
      </c>
    </row>
    <row r="5" spans="2:6" ht="28.5" thickBot="1" x14ac:dyDescent="0.25">
      <c r="B5" s="704"/>
      <c r="C5" s="705">
        <v>2018</v>
      </c>
      <c r="D5" s="705">
        <v>2019</v>
      </c>
      <c r="E5" s="705">
        <v>2020</v>
      </c>
      <c r="F5" s="705" t="s">
        <v>1056</v>
      </c>
    </row>
    <row r="6" spans="2:6" x14ac:dyDescent="0.2">
      <c r="B6" s="67" t="s">
        <v>710</v>
      </c>
      <c r="C6" s="676">
        <v>1</v>
      </c>
      <c r="D6" s="676">
        <v>3</v>
      </c>
      <c r="E6" s="676">
        <v>8</v>
      </c>
      <c r="F6" s="676">
        <v>14</v>
      </c>
    </row>
    <row r="7" spans="2:6" x14ac:dyDescent="0.2">
      <c r="B7" s="67" t="s">
        <v>711</v>
      </c>
      <c r="C7" s="676">
        <v>0</v>
      </c>
      <c r="D7" s="676">
        <v>5</v>
      </c>
      <c r="E7" s="676">
        <v>10</v>
      </c>
      <c r="F7" s="676">
        <v>46</v>
      </c>
    </row>
    <row r="8" spans="2:6" ht="26.25" thickBot="1" x14ac:dyDescent="0.25">
      <c r="B8" s="706" t="s">
        <v>712</v>
      </c>
      <c r="C8" s="675">
        <v>2</v>
      </c>
      <c r="D8" s="675">
        <v>7</v>
      </c>
      <c r="E8" s="675">
        <v>12</v>
      </c>
      <c r="F8" s="675">
        <v>28</v>
      </c>
    </row>
    <row r="9" spans="2:6" x14ac:dyDescent="0.2">
      <c r="B9" s="125" t="s">
        <v>713</v>
      </c>
      <c r="C9" s="60"/>
      <c r="D9" s="60"/>
      <c r="E9" s="60"/>
      <c r="F9" s="126" t="s">
        <v>3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B4:M51"/>
  <sheetViews>
    <sheetView showGridLines="0" zoomScaleNormal="100" workbookViewId="0">
      <selection activeCell="B28" sqref="B28"/>
    </sheetView>
  </sheetViews>
  <sheetFormatPr defaultRowHeight="12.75" x14ac:dyDescent="0.2"/>
  <cols>
    <col min="1" max="1" width="9.140625" style="35"/>
    <col min="2" max="2" width="13.140625" style="35" customWidth="1"/>
    <col min="3" max="3" width="22.140625" style="35" customWidth="1"/>
    <col min="4" max="4" width="43.42578125" style="35" customWidth="1"/>
    <col min="5" max="9" width="9.140625" style="35"/>
    <col min="10" max="10" width="47.42578125" style="35" bestFit="1" customWidth="1"/>
    <col min="11" max="12" width="14.7109375" style="35" customWidth="1"/>
    <col min="13" max="13" width="14.7109375" style="35" bestFit="1" customWidth="1"/>
    <col min="14" max="16384" width="9.140625" style="35"/>
  </cols>
  <sheetData>
    <row r="4" spans="2:13" x14ac:dyDescent="0.2">
      <c r="B4" s="127" t="s">
        <v>1078</v>
      </c>
    </row>
    <row r="7" spans="2:13" x14ac:dyDescent="0.2">
      <c r="J7" s="55"/>
      <c r="K7" s="226" t="s">
        <v>538</v>
      </c>
      <c r="L7" s="226" t="s">
        <v>172</v>
      </c>
      <c r="M7" s="226" t="s">
        <v>714</v>
      </c>
    </row>
    <row r="8" spans="2:13" x14ac:dyDescent="0.2">
      <c r="J8" s="35" t="s">
        <v>715</v>
      </c>
      <c r="K8" s="707">
        <v>0.34167916827305628</v>
      </c>
      <c r="L8" s="707">
        <v>0.37713210358839305</v>
      </c>
      <c r="M8" s="707">
        <v>0.64947929324888909</v>
      </c>
    </row>
    <row r="9" spans="2:13" x14ac:dyDescent="0.2">
      <c r="J9" s="35" t="s">
        <v>716</v>
      </c>
      <c r="K9" s="707">
        <v>0.29999999999999993</v>
      </c>
      <c r="L9" s="707">
        <v>0.1929824561403507</v>
      </c>
      <c r="M9" s="707">
        <v>0.50676691729323298</v>
      </c>
    </row>
    <row r="10" spans="2:13" x14ac:dyDescent="0.2">
      <c r="J10" s="35" t="s">
        <v>717</v>
      </c>
      <c r="K10" s="707">
        <v>0.4</v>
      </c>
      <c r="L10" s="707">
        <v>0.5</v>
      </c>
      <c r="M10" s="707">
        <v>0.4</v>
      </c>
    </row>
    <row r="11" spans="2:13" x14ac:dyDescent="0.2">
      <c r="J11" s="35" t="s">
        <v>718</v>
      </c>
      <c r="K11" s="235">
        <v>0.1</v>
      </c>
      <c r="L11" s="235">
        <v>0.5</v>
      </c>
      <c r="M11" s="235">
        <v>0.5</v>
      </c>
    </row>
    <row r="12" spans="2:13" x14ac:dyDescent="0.2">
      <c r="J12" s="50" t="s">
        <v>719</v>
      </c>
      <c r="K12" s="708">
        <v>0.6</v>
      </c>
      <c r="L12" s="708">
        <v>0.4</v>
      </c>
      <c r="M12" s="708">
        <v>0.6</v>
      </c>
    </row>
    <row r="24" spans="2:12" x14ac:dyDescent="0.2">
      <c r="B24" s="673" t="s">
        <v>720</v>
      </c>
      <c r="D24" s="700" t="s">
        <v>721</v>
      </c>
    </row>
    <row r="25" spans="2:12" x14ac:dyDescent="0.2">
      <c r="B25" s="673"/>
      <c r="D25" s="700"/>
    </row>
    <row r="27" spans="2:12" x14ac:dyDescent="0.2">
      <c r="B27" s="127" t="s">
        <v>1079</v>
      </c>
    </row>
    <row r="28" spans="2:12" x14ac:dyDescent="0.2">
      <c r="J28" s="709"/>
      <c r="K28" s="710" t="s">
        <v>722</v>
      </c>
      <c r="L28" s="710" t="s">
        <v>723</v>
      </c>
    </row>
    <row r="29" spans="2:12" x14ac:dyDescent="0.2">
      <c r="J29" s="711" t="s">
        <v>724</v>
      </c>
      <c r="K29" s="712">
        <v>0.12018237697841677</v>
      </c>
      <c r="L29" s="713">
        <v>333.87447741</v>
      </c>
    </row>
    <row r="30" spans="2:12" x14ac:dyDescent="0.2">
      <c r="J30" s="711" t="s">
        <v>725</v>
      </c>
      <c r="K30" s="712">
        <v>0.1489120335512161</v>
      </c>
      <c r="L30" s="713">
        <v>413.68733613000001</v>
      </c>
    </row>
    <row r="31" spans="2:12" x14ac:dyDescent="0.2">
      <c r="J31" s="711" t="s">
        <v>726</v>
      </c>
      <c r="K31" s="712">
        <v>0.43475992174967665</v>
      </c>
      <c r="L31" s="713">
        <v>1207.7914027199997</v>
      </c>
    </row>
    <row r="32" spans="2:12" x14ac:dyDescent="0.2">
      <c r="J32" s="711" t="s">
        <v>727</v>
      </c>
      <c r="K32" s="712">
        <v>0.12378604480874149</v>
      </c>
      <c r="L32" s="713">
        <v>343.88570154999996</v>
      </c>
    </row>
    <row r="33" spans="10:12" x14ac:dyDescent="0.2">
      <c r="J33" s="711" t="s">
        <v>728</v>
      </c>
      <c r="K33" s="712">
        <v>4.1669991153842532E-2</v>
      </c>
      <c r="L33" s="713">
        <v>115.76195171000001</v>
      </c>
    </row>
    <row r="34" spans="10:12" x14ac:dyDescent="0.2">
      <c r="J34" s="714" t="s">
        <v>729</v>
      </c>
      <c r="K34" s="715">
        <v>0.13068963175810633</v>
      </c>
      <c r="L34" s="713">
        <v>363.06431610999999</v>
      </c>
    </row>
    <row r="35" spans="10:12" x14ac:dyDescent="0.2">
      <c r="J35" s="716" t="s">
        <v>480</v>
      </c>
      <c r="K35" s="717">
        <v>1</v>
      </c>
      <c r="L35" s="718">
        <v>2778.0651856300001</v>
      </c>
    </row>
    <row r="51" spans="4:4" x14ac:dyDescent="0.2">
      <c r="D51" s="700" t="s">
        <v>730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B4:O36"/>
  <sheetViews>
    <sheetView showGridLines="0" workbookViewId="0">
      <selection activeCell="B20" sqref="B20"/>
    </sheetView>
  </sheetViews>
  <sheetFormatPr defaultRowHeight="12.75" x14ac:dyDescent="0.2"/>
  <cols>
    <col min="1" max="1" width="9.140625" style="35"/>
    <col min="2" max="2" width="89.7109375" style="35" customWidth="1"/>
    <col min="3" max="3" width="9.140625" style="35"/>
    <col min="4" max="4" width="30.28515625" style="35" bestFit="1" customWidth="1"/>
    <col min="5" max="8" width="9.5703125" style="35" bestFit="1" customWidth="1"/>
    <col min="9" max="15" width="9.5703125" style="35" customWidth="1"/>
    <col min="16" max="16384" width="9.140625" style="35"/>
  </cols>
  <sheetData>
    <row r="4" spans="2:8" x14ac:dyDescent="0.2">
      <c r="B4" s="128" t="s">
        <v>1080</v>
      </c>
    </row>
    <row r="5" spans="2:8" x14ac:dyDescent="0.2">
      <c r="B5" s="127"/>
    </row>
    <row r="9" spans="2:8" x14ac:dyDescent="0.2">
      <c r="D9" s="209"/>
      <c r="E9" s="209" t="s">
        <v>731</v>
      </c>
      <c r="F9" s="209" t="s">
        <v>732</v>
      </c>
      <c r="G9" s="209" t="s">
        <v>733</v>
      </c>
      <c r="H9" s="209" t="s">
        <v>734</v>
      </c>
    </row>
    <row r="10" spans="2:8" x14ac:dyDescent="0.2">
      <c r="D10" s="214" t="s">
        <v>735</v>
      </c>
      <c r="E10" s="719">
        <v>0.10162345678563071</v>
      </c>
      <c r="F10" s="719">
        <v>6.577187505916568E-2</v>
      </c>
      <c r="G10" s="719">
        <v>0.12906366229862412</v>
      </c>
      <c r="H10" s="719">
        <v>4.7814083673681902E-2</v>
      </c>
    </row>
    <row r="11" spans="2:8" x14ac:dyDescent="0.2">
      <c r="D11" s="291" t="s">
        <v>736</v>
      </c>
      <c r="E11" s="720">
        <v>6.8111626097088762E-2</v>
      </c>
      <c r="F11" s="720">
        <v>3.1789442855384792E-2</v>
      </c>
      <c r="G11" s="720">
        <v>0.13143387447291902</v>
      </c>
      <c r="H11" s="720">
        <v>6.8285687611261234E-2</v>
      </c>
    </row>
    <row r="17" spans="2:15" x14ac:dyDescent="0.2">
      <c r="B17" s="700" t="s">
        <v>737</v>
      </c>
    </row>
    <row r="19" spans="2:15" x14ac:dyDescent="0.2">
      <c r="B19" s="128" t="s">
        <v>1081</v>
      </c>
    </row>
    <row r="24" spans="2:15" x14ac:dyDescent="0.2">
      <c r="D24" s="721"/>
      <c r="E24" s="722"/>
      <c r="F24" s="723">
        <v>2006</v>
      </c>
      <c r="G24" s="723">
        <v>2007</v>
      </c>
      <c r="H24" s="723">
        <v>2008</v>
      </c>
      <c r="I24" s="723">
        <v>2009</v>
      </c>
      <c r="J24" s="723">
        <v>2010</v>
      </c>
      <c r="K24" s="723">
        <v>2011</v>
      </c>
      <c r="L24" s="723">
        <v>2012</v>
      </c>
      <c r="M24" s="723">
        <v>2013</v>
      </c>
      <c r="N24" s="723">
        <v>2014</v>
      </c>
      <c r="O24" s="723">
        <v>2015</v>
      </c>
    </row>
    <row r="25" spans="2:15" ht="16.5" customHeight="1" x14ac:dyDescent="0.2">
      <c r="D25" s="870" t="s">
        <v>738</v>
      </c>
      <c r="E25" s="724" t="s">
        <v>251</v>
      </c>
      <c r="F25" s="725">
        <v>1.7</v>
      </c>
      <c r="G25" s="725">
        <v>1.7</v>
      </c>
      <c r="H25" s="725">
        <v>1.7</v>
      </c>
      <c r="I25" s="725">
        <v>1.8</v>
      </c>
      <c r="J25" s="725">
        <v>1.7</v>
      </c>
      <c r="K25" s="725">
        <v>1.7</v>
      </c>
      <c r="L25" s="725">
        <v>1.7</v>
      </c>
      <c r="M25" s="725">
        <v>1.7</v>
      </c>
      <c r="N25" s="725">
        <v>1.7</v>
      </c>
      <c r="O25" s="725">
        <v>1.7</v>
      </c>
    </row>
    <row r="26" spans="2:15" x14ac:dyDescent="0.2">
      <c r="D26" s="871"/>
      <c r="E26" s="724" t="s">
        <v>172</v>
      </c>
      <c r="F26" s="725">
        <v>1.8333333333333333</v>
      </c>
      <c r="G26" s="725">
        <v>1.6666666666666667</v>
      </c>
      <c r="H26" s="725">
        <v>1.7</v>
      </c>
      <c r="I26" s="725">
        <v>1.4333333333333336</v>
      </c>
      <c r="J26" s="725">
        <v>1.7</v>
      </c>
      <c r="K26" s="725">
        <v>2</v>
      </c>
      <c r="L26" s="725">
        <v>1.9333333333333336</v>
      </c>
      <c r="M26" s="725">
        <v>1.9333333333333333</v>
      </c>
      <c r="N26" s="725">
        <v>2.1333333333333333</v>
      </c>
      <c r="O26" s="725">
        <v>2.1999999999999997</v>
      </c>
    </row>
    <row r="27" spans="2:15" x14ac:dyDescent="0.2">
      <c r="D27" s="872"/>
      <c r="E27" s="726" t="s">
        <v>739</v>
      </c>
      <c r="F27" s="727">
        <v>2.1</v>
      </c>
      <c r="G27" s="727">
        <v>2</v>
      </c>
      <c r="H27" s="727">
        <v>2.1</v>
      </c>
      <c r="I27" s="727">
        <v>2.2000000000000002</v>
      </c>
      <c r="J27" s="727">
        <v>2.1</v>
      </c>
      <c r="K27" s="727">
        <v>1.9</v>
      </c>
      <c r="L27" s="727">
        <v>2</v>
      </c>
      <c r="M27" s="727">
        <v>1.9</v>
      </c>
      <c r="N27" s="727">
        <v>2</v>
      </c>
      <c r="O27" s="727">
        <v>2.2999999999999998</v>
      </c>
    </row>
    <row r="28" spans="2:15" x14ac:dyDescent="0.2">
      <c r="D28" s="870" t="s">
        <v>0</v>
      </c>
      <c r="E28" s="724" t="s">
        <v>251</v>
      </c>
      <c r="F28" s="725">
        <v>0.8</v>
      </c>
      <c r="G28" s="725">
        <v>0.8</v>
      </c>
      <c r="H28" s="725">
        <v>0.8</v>
      </c>
      <c r="I28" s="725">
        <v>0.9</v>
      </c>
      <c r="J28" s="725">
        <v>0.9</v>
      </c>
      <c r="K28" s="725">
        <v>0.8</v>
      </c>
      <c r="L28" s="725">
        <v>0.8</v>
      </c>
      <c r="M28" s="725">
        <v>0.8</v>
      </c>
      <c r="N28" s="725">
        <v>0.8</v>
      </c>
      <c r="O28" s="725">
        <v>0.8</v>
      </c>
    </row>
    <row r="29" spans="2:15" x14ac:dyDescent="0.2">
      <c r="D29" s="871"/>
      <c r="E29" s="724" t="s">
        <v>172</v>
      </c>
      <c r="F29" s="725">
        <v>0.83333333333333337</v>
      </c>
      <c r="G29" s="725">
        <v>0.70000000000000007</v>
      </c>
      <c r="H29" s="725">
        <v>0.73333333333333339</v>
      </c>
      <c r="I29" s="725">
        <v>0.66666666666666663</v>
      </c>
      <c r="J29" s="725">
        <v>0.76666666666666661</v>
      </c>
      <c r="K29" s="725">
        <v>0.9</v>
      </c>
      <c r="L29" s="725">
        <v>0.8666666666666667</v>
      </c>
      <c r="M29" s="725">
        <v>0.83333333333333337</v>
      </c>
      <c r="N29" s="725">
        <v>0.93333333333333346</v>
      </c>
      <c r="O29" s="725">
        <v>0.96666666666666667</v>
      </c>
    </row>
    <row r="30" spans="2:15" x14ac:dyDescent="0.2">
      <c r="D30" s="872"/>
      <c r="E30" s="726" t="s">
        <v>739</v>
      </c>
      <c r="F30" s="727">
        <v>0.8</v>
      </c>
      <c r="G30" s="727">
        <v>0.7</v>
      </c>
      <c r="H30" s="727">
        <v>0.8</v>
      </c>
      <c r="I30" s="727">
        <v>1</v>
      </c>
      <c r="J30" s="727">
        <v>0.9</v>
      </c>
      <c r="K30" s="727">
        <v>0.8</v>
      </c>
      <c r="L30" s="727">
        <v>0.8</v>
      </c>
      <c r="M30" s="727">
        <v>0.8</v>
      </c>
      <c r="N30" s="727">
        <v>0.8</v>
      </c>
      <c r="O30" s="727">
        <v>1</v>
      </c>
    </row>
    <row r="36" spans="2:2" x14ac:dyDescent="0.2">
      <c r="B36" s="700" t="s">
        <v>737</v>
      </c>
    </row>
  </sheetData>
  <mergeCells count="2">
    <mergeCell ref="D25:D27"/>
    <mergeCell ref="D28:D30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B4:F10"/>
  <sheetViews>
    <sheetView showGridLines="0" workbookViewId="0">
      <selection activeCell="C13" sqref="C13"/>
    </sheetView>
  </sheetViews>
  <sheetFormatPr defaultRowHeight="12.75" x14ac:dyDescent="0.2"/>
  <cols>
    <col min="1" max="1" width="9.140625" style="35"/>
    <col min="2" max="2" width="20.85546875" style="35" customWidth="1"/>
    <col min="3" max="3" width="48.85546875" style="35" customWidth="1"/>
    <col min="4" max="16384" width="9.140625" style="35"/>
  </cols>
  <sheetData>
    <row r="4" spans="2:6" ht="13.5" thickBot="1" x14ac:dyDescent="0.25">
      <c r="B4" s="360" t="s">
        <v>740</v>
      </c>
    </row>
    <row r="5" spans="2:6" ht="13.5" thickBot="1" x14ac:dyDescent="0.25">
      <c r="B5" s="728" t="s">
        <v>741</v>
      </c>
      <c r="C5" s="728" t="s">
        <v>742</v>
      </c>
      <c r="D5" s="728">
        <v>2018</v>
      </c>
      <c r="E5" s="728">
        <v>2019</v>
      </c>
      <c r="F5" s="728">
        <v>2020</v>
      </c>
    </row>
    <row r="6" spans="2:6" ht="25.5" x14ac:dyDescent="0.2">
      <c r="B6" s="79" t="s">
        <v>743</v>
      </c>
      <c r="C6" s="79" t="s">
        <v>744</v>
      </c>
      <c r="D6" s="80">
        <v>8</v>
      </c>
      <c r="E6" s="80">
        <v>14</v>
      </c>
      <c r="F6" s="80">
        <v>20</v>
      </c>
    </row>
    <row r="7" spans="2:6" ht="25.5" x14ac:dyDescent="0.2">
      <c r="B7" s="79" t="s">
        <v>725</v>
      </c>
      <c r="C7" s="79" t="s">
        <v>745</v>
      </c>
      <c r="D7" s="80">
        <v>0</v>
      </c>
      <c r="E7" s="80">
        <v>14</v>
      </c>
      <c r="F7" s="80">
        <v>20</v>
      </c>
    </row>
    <row r="8" spans="2:6" ht="25.5" x14ac:dyDescent="0.2">
      <c r="B8" s="79" t="s">
        <v>746</v>
      </c>
      <c r="C8" s="79" t="s">
        <v>747</v>
      </c>
      <c r="D8" s="80">
        <v>0</v>
      </c>
      <c r="E8" s="80">
        <v>65</v>
      </c>
      <c r="F8" s="80">
        <v>65</v>
      </c>
    </row>
    <row r="9" spans="2:6" ht="13.5" thickBot="1" x14ac:dyDescent="0.25">
      <c r="B9" s="729" t="s">
        <v>748</v>
      </c>
      <c r="C9" s="729" t="s">
        <v>749</v>
      </c>
      <c r="D9" s="730">
        <v>0</v>
      </c>
      <c r="E9" s="730">
        <v>6</v>
      </c>
      <c r="F9" s="730">
        <v>6</v>
      </c>
    </row>
    <row r="10" spans="2:6" x14ac:dyDescent="0.2">
      <c r="B10" s="873"/>
      <c r="C10" s="873"/>
      <c r="D10" s="80"/>
      <c r="E10" s="868" t="s">
        <v>3</v>
      </c>
      <c r="F10" s="868"/>
    </row>
  </sheetData>
  <mergeCells count="2">
    <mergeCell ref="B10:C10"/>
    <mergeCell ref="E10:F10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B4:T36"/>
  <sheetViews>
    <sheetView showGridLines="0" workbookViewId="0">
      <selection activeCell="B22" sqref="B22"/>
    </sheetView>
  </sheetViews>
  <sheetFormatPr defaultRowHeight="12.75" x14ac:dyDescent="0.2"/>
  <cols>
    <col min="1" max="10" width="9.140625" style="35"/>
    <col min="11" max="11" width="15.7109375" style="35" bestFit="1" customWidth="1"/>
    <col min="12" max="16384" width="9.140625" style="35"/>
  </cols>
  <sheetData>
    <row r="4" spans="2:20" x14ac:dyDescent="0.2">
      <c r="B4" s="127" t="s">
        <v>1082</v>
      </c>
    </row>
    <row r="8" spans="2:20" x14ac:dyDescent="0.2">
      <c r="K8" s="731"/>
      <c r="L8" s="731">
        <v>2009</v>
      </c>
      <c r="M8" s="731">
        <v>2010</v>
      </c>
      <c r="N8" s="731">
        <v>2011</v>
      </c>
      <c r="O8" s="731">
        <v>2012</v>
      </c>
      <c r="P8" s="731">
        <v>2013</v>
      </c>
      <c r="Q8" s="731">
        <v>2014</v>
      </c>
      <c r="R8" s="731">
        <v>2015</v>
      </c>
      <c r="S8" s="731">
        <v>2016</v>
      </c>
      <c r="T8" s="731" t="s">
        <v>750</v>
      </c>
    </row>
    <row r="9" spans="2:20" x14ac:dyDescent="0.2">
      <c r="K9" s="64" t="s">
        <v>247</v>
      </c>
      <c r="L9" s="80">
        <v>66.400000000000006</v>
      </c>
      <c r="M9" s="80">
        <v>64.599999999999994</v>
      </c>
      <c r="N9" s="80">
        <v>65</v>
      </c>
      <c r="O9" s="80">
        <v>65.099999999999994</v>
      </c>
      <c r="P9" s="80">
        <v>65</v>
      </c>
      <c r="Q9" s="80">
        <v>65.900000000000006</v>
      </c>
      <c r="R9" s="80">
        <v>67.7</v>
      </c>
      <c r="S9" s="80">
        <v>69.8</v>
      </c>
      <c r="T9" s="80">
        <v>72</v>
      </c>
    </row>
    <row r="10" spans="2:20" x14ac:dyDescent="0.2">
      <c r="K10" s="732" t="s">
        <v>116</v>
      </c>
      <c r="L10" s="733">
        <v>69</v>
      </c>
      <c r="M10" s="733">
        <v>68.599999999999994</v>
      </c>
      <c r="N10" s="733">
        <v>68.599999999999994</v>
      </c>
      <c r="O10" s="733">
        <v>68.400000000000006</v>
      </c>
      <c r="P10" s="733">
        <v>68.400000000000006</v>
      </c>
      <c r="Q10" s="733">
        <v>69.2</v>
      </c>
      <c r="R10" s="733">
        <v>70.099999999999994</v>
      </c>
      <c r="S10" s="733">
        <v>71.099999999999994</v>
      </c>
      <c r="T10" s="733"/>
    </row>
    <row r="18" spans="2:18" x14ac:dyDescent="0.2">
      <c r="F18" s="874" t="s">
        <v>751</v>
      </c>
      <c r="G18" s="874"/>
      <c r="H18" s="874"/>
    </row>
    <row r="19" spans="2:18" x14ac:dyDescent="0.2">
      <c r="F19" s="700"/>
      <c r="G19" s="700"/>
      <c r="H19" s="700"/>
    </row>
    <row r="21" spans="2:18" x14ac:dyDescent="0.2">
      <c r="B21" s="127" t="s">
        <v>1083</v>
      </c>
    </row>
    <row r="22" spans="2:18" x14ac:dyDescent="0.2">
      <c r="K22" s="734"/>
      <c r="L22" s="735">
        <v>2011</v>
      </c>
      <c r="M22" s="735">
        <v>2012</v>
      </c>
      <c r="N22" s="736">
        <v>2013</v>
      </c>
      <c r="O22" s="735">
        <v>2014</v>
      </c>
      <c r="P22" s="735">
        <v>2015</v>
      </c>
      <c r="Q22" s="736">
        <v>2016</v>
      </c>
      <c r="R22" s="80"/>
    </row>
    <row r="23" spans="2:18" x14ac:dyDescent="0.2">
      <c r="K23" s="737" t="s">
        <v>752</v>
      </c>
      <c r="L23" s="80">
        <v>16.8</v>
      </c>
      <c r="M23" s="80">
        <v>16.8</v>
      </c>
      <c r="N23" s="235">
        <v>16.7</v>
      </c>
      <c r="O23" s="80">
        <v>17.2</v>
      </c>
      <c r="P23" s="80">
        <v>17.3</v>
      </c>
      <c r="Q23" s="235"/>
      <c r="R23" s="80"/>
    </row>
    <row r="24" spans="2:18" x14ac:dyDescent="0.2">
      <c r="K24" s="732" t="s">
        <v>753</v>
      </c>
      <c r="L24" s="733">
        <v>13</v>
      </c>
      <c r="M24" s="733">
        <v>13.2</v>
      </c>
      <c r="N24" s="708">
        <v>12.8</v>
      </c>
      <c r="O24" s="733">
        <v>12.6</v>
      </c>
      <c r="P24" s="733">
        <v>12.3</v>
      </c>
      <c r="Q24" s="708">
        <v>12.7</v>
      </c>
      <c r="R24" s="80"/>
    </row>
    <row r="36" spans="6:8" x14ac:dyDescent="0.2">
      <c r="F36" s="874" t="s">
        <v>737</v>
      </c>
      <c r="G36" s="874"/>
      <c r="H36" s="874"/>
    </row>
  </sheetData>
  <mergeCells count="2">
    <mergeCell ref="F18:H18"/>
    <mergeCell ref="F36:H3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B3:Q58"/>
  <sheetViews>
    <sheetView showGridLines="0" zoomScaleNormal="100" workbookViewId="0">
      <selection activeCell="B38" sqref="B38"/>
    </sheetView>
  </sheetViews>
  <sheetFormatPr defaultRowHeight="12.75" x14ac:dyDescent="0.2"/>
  <cols>
    <col min="1" max="15" width="9.140625" style="35"/>
    <col min="16" max="16" width="20.85546875" style="35" bestFit="1" customWidth="1"/>
    <col min="17" max="17" width="29.28515625" style="35" bestFit="1" customWidth="1"/>
    <col min="18" max="16384" width="9.140625" style="35"/>
  </cols>
  <sheetData>
    <row r="3" spans="2:17" ht="25.5" x14ac:dyDescent="0.2">
      <c r="P3" s="738"/>
      <c r="Q3" s="739" t="s">
        <v>754</v>
      </c>
    </row>
    <row r="4" spans="2:17" x14ac:dyDescent="0.2">
      <c r="B4" s="127" t="s">
        <v>1084</v>
      </c>
      <c r="P4" s="740" t="s">
        <v>755</v>
      </c>
      <c r="Q4" s="740">
        <v>9.6</v>
      </c>
    </row>
    <row r="5" spans="2:17" x14ac:dyDescent="0.2">
      <c r="P5" s="740" t="s">
        <v>756</v>
      </c>
      <c r="Q5" s="35">
        <v>11.1</v>
      </c>
    </row>
    <row r="6" spans="2:17" x14ac:dyDescent="0.2">
      <c r="P6" s="740" t="s">
        <v>757</v>
      </c>
      <c r="Q6" s="740">
        <v>11.5</v>
      </c>
    </row>
    <row r="7" spans="2:17" x14ac:dyDescent="0.2">
      <c r="P7" s="740" t="s">
        <v>758</v>
      </c>
      <c r="Q7" s="35">
        <v>11.5</v>
      </c>
    </row>
    <row r="8" spans="2:17" x14ac:dyDescent="0.2">
      <c r="P8" s="740" t="s">
        <v>759</v>
      </c>
      <c r="Q8" s="740">
        <v>12</v>
      </c>
    </row>
    <row r="9" spans="2:17" x14ac:dyDescent="0.2">
      <c r="P9" s="740" t="s">
        <v>760</v>
      </c>
      <c r="Q9" s="35">
        <v>12.4</v>
      </c>
    </row>
    <row r="10" spans="2:17" x14ac:dyDescent="0.2">
      <c r="P10" s="740" t="s">
        <v>761</v>
      </c>
      <c r="Q10" s="740">
        <v>12.7</v>
      </c>
    </row>
    <row r="11" spans="2:17" x14ac:dyDescent="0.2">
      <c r="P11" s="740" t="s">
        <v>762</v>
      </c>
      <c r="Q11" s="35">
        <v>12.9</v>
      </c>
    </row>
    <row r="12" spans="2:17" x14ac:dyDescent="0.2">
      <c r="P12" s="740" t="s">
        <v>763</v>
      </c>
      <c r="Q12" s="740">
        <v>13.3</v>
      </c>
    </row>
    <row r="13" spans="2:17" x14ac:dyDescent="0.2">
      <c r="P13" s="740" t="s">
        <v>764</v>
      </c>
      <c r="Q13" s="35">
        <v>15</v>
      </c>
    </row>
    <row r="14" spans="2:17" x14ac:dyDescent="0.2">
      <c r="P14" s="740" t="s">
        <v>739</v>
      </c>
      <c r="Q14" s="740">
        <v>15</v>
      </c>
    </row>
    <row r="15" spans="2:17" x14ac:dyDescent="0.2">
      <c r="P15" s="740" t="s">
        <v>765</v>
      </c>
      <c r="Q15" s="35">
        <v>15.1</v>
      </c>
    </row>
    <row r="16" spans="2:17" x14ac:dyDescent="0.2">
      <c r="P16" s="740" t="s">
        <v>766</v>
      </c>
      <c r="Q16" s="740">
        <v>15.9</v>
      </c>
    </row>
    <row r="17" spans="7:17" x14ac:dyDescent="0.2">
      <c r="P17" s="740" t="s">
        <v>767</v>
      </c>
      <c r="Q17" s="35">
        <v>16.399999999999999</v>
      </c>
    </row>
    <row r="18" spans="7:17" x14ac:dyDescent="0.2">
      <c r="P18" s="740" t="s">
        <v>768</v>
      </c>
      <c r="Q18" s="740">
        <v>16.600000000000001</v>
      </c>
    </row>
    <row r="19" spans="7:17" x14ac:dyDescent="0.2">
      <c r="P19" s="740" t="s">
        <v>769</v>
      </c>
      <c r="Q19" s="35">
        <v>17.100000000000001</v>
      </c>
    </row>
    <row r="20" spans="7:17" x14ac:dyDescent="0.2">
      <c r="P20" s="740" t="s">
        <v>770</v>
      </c>
      <c r="Q20" s="740">
        <v>17.399999999999999</v>
      </c>
    </row>
    <row r="21" spans="7:17" x14ac:dyDescent="0.2">
      <c r="P21" s="740" t="s">
        <v>771</v>
      </c>
      <c r="Q21" s="35">
        <v>18.3</v>
      </c>
    </row>
    <row r="22" spans="7:17" x14ac:dyDescent="0.2">
      <c r="P22" s="740" t="s">
        <v>772</v>
      </c>
      <c r="Q22" s="740">
        <v>18.899999999999999</v>
      </c>
    </row>
    <row r="23" spans="7:17" x14ac:dyDescent="0.2">
      <c r="G23" s="874" t="s">
        <v>773</v>
      </c>
      <c r="H23" s="874"/>
      <c r="I23" s="874"/>
      <c r="P23" s="740" t="s">
        <v>774</v>
      </c>
      <c r="Q23" s="35">
        <v>19</v>
      </c>
    </row>
    <row r="24" spans="7:17" x14ac:dyDescent="0.2">
      <c r="P24" s="740" t="s">
        <v>251</v>
      </c>
      <c r="Q24" s="740">
        <v>19.2</v>
      </c>
    </row>
    <row r="25" spans="7:17" x14ac:dyDescent="0.2">
      <c r="P25" s="740" t="s">
        <v>775</v>
      </c>
      <c r="Q25" s="35">
        <v>20.2</v>
      </c>
    </row>
    <row r="26" spans="7:17" x14ac:dyDescent="0.2">
      <c r="P26" s="740" t="s">
        <v>776</v>
      </c>
      <c r="Q26" s="740">
        <v>20.5</v>
      </c>
    </row>
    <row r="27" spans="7:17" x14ac:dyDescent="0.2">
      <c r="P27" s="740" t="s">
        <v>777</v>
      </c>
      <c r="Q27" s="35">
        <v>20.9</v>
      </c>
    </row>
    <row r="28" spans="7:17" x14ac:dyDescent="0.2">
      <c r="P28" s="740" t="s">
        <v>778</v>
      </c>
      <c r="Q28" s="740">
        <v>21.5</v>
      </c>
    </row>
    <row r="29" spans="7:17" x14ac:dyDescent="0.2">
      <c r="P29" s="740" t="s">
        <v>779</v>
      </c>
      <c r="Q29" s="35">
        <v>21.7</v>
      </c>
    </row>
    <row r="30" spans="7:17" x14ac:dyDescent="0.2">
      <c r="P30" s="740" t="s">
        <v>780</v>
      </c>
      <c r="Q30" s="740">
        <v>23.6</v>
      </c>
    </row>
    <row r="31" spans="7:17" x14ac:dyDescent="0.2">
      <c r="P31" s="740" t="s">
        <v>781</v>
      </c>
      <c r="Q31" s="35">
        <v>24.6</v>
      </c>
    </row>
    <row r="32" spans="7:17" x14ac:dyDescent="0.2">
      <c r="P32" s="740" t="s">
        <v>782</v>
      </c>
      <c r="Q32" s="740">
        <v>25.6</v>
      </c>
    </row>
    <row r="33" spans="2:17" x14ac:dyDescent="0.2">
      <c r="P33" s="491"/>
      <c r="Q33" s="491"/>
    </row>
    <row r="37" spans="2:17" x14ac:dyDescent="0.2">
      <c r="B37" s="127" t="s">
        <v>1085</v>
      </c>
    </row>
    <row r="39" spans="2:17" x14ac:dyDescent="0.2">
      <c r="P39" s="491" t="s">
        <v>248</v>
      </c>
      <c r="Q39" s="741" t="s">
        <v>186</v>
      </c>
    </row>
    <row r="40" spans="2:17" x14ac:dyDescent="0.2">
      <c r="P40" s="491" t="s">
        <v>783</v>
      </c>
      <c r="Q40" s="491">
        <v>268</v>
      </c>
    </row>
    <row r="41" spans="2:17" x14ac:dyDescent="0.2">
      <c r="P41" s="215" t="s">
        <v>784</v>
      </c>
      <c r="Q41" s="215">
        <v>169</v>
      </c>
    </row>
    <row r="42" spans="2:17" x14ac:dyDescent="0.2">
      <c r="P42" s="215" t="s">
        <v>785</v>
      </c>
      <c r="Q42" s="215">
        <v>173</v>
      </c>
    </row>
    <row r="43" spans="2:17" x14ac:dyDescent="0.2">
      <c r="P43" s="215" t="s">
        <v>786</v>
      </c>
      <c r="Q43" s="215">
        <v>1045</v>
      </c>
    </row>
    <row r="44" spans="2:17" x14ac:dyDescent="0.2">
      <c r="P44" s="215" t="s">
        <v>787</v>
      </c>
      <c r="Q44" s="215">
        <v>281</v>
      </c>
    </row>
    <row r="45" spans="2:17" x14ac:dyDescent="0.2">
      <c r="P45" s="215" t="s">
        <v>788</v>
      </c>
      <c r="Q45" s="215">
        <v>387</v>
      </c>
    </row>
    <row r="46" spans="2:17" x14ac:dyDescent="0.2">
      <c r="P46" s="215" t="s">
        <v>479</v>
      </c>
      <c r="Q46" s="215">
        <v>18</v>
      </c>
    </row>
    <row r="47" spans="2:17" x14ac:dyDescent="0.2">
      <c r="P47" s="491"/>
      <c r="Q47" s="491"/>
    </row>
    <row r="58" spans="8:8" x14ac:dyDescent="0.2">
      <c r="H58" s="673" t="s">
        <v>3</v>
      </c>
    </row>
  </sheetData>
  <mergeCells count="1">
    <mergeCell ref="G23:I2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B4:F9"/>
  <sheetViews>
    <sheetView showGridLines="0" workbookViewId="0">
      <selection activeCell="P35" sqref="P35"/>
    </sheetView>
  </sheetViews>
  <sheetFormatPr defaultRowHeight="12.75" x14ac:dyDescent="0.2"/>
  <cols>
    <col min="1" max="1" width="9.140625" style="35"/>
    <col min="2" max="2" width="28.5703125" style="35" customWidth="1"/>
    <col min="3" max="4" width="9.140625" style="35"/>
    <col min="5" max="5" width="22.28515625" style="35" customWidth="1"/>
    <col min="6" max="6" width="14" style="35" customWidth="1"/>
    <col min="7" max="16384" width="9.140625" style="35"/>
  </cols>
  <sheetData>
    <row r="4" spans="2:6" ht="13.5" thickBot="1" x14ac:dyDescent="0.25">
      <c r="B4" s="360" t="s">
        <v>789</v>
      </c>
    </row>
    <row r="5" spans="2:6" ht="26.25" thickBot="1" x14ac:dyDescent="0.25">
      <c r="B5" s="728" t="s">
        <v>741</v>
      </c>
      <c r="C5" s="875" t="s">
        <v>742</v>
      </c>
      <c r="D5" s="875"/>
      <c r="E5" s="875"/>
      <c r="F5" s="728" t="s">
        <v>790</v>
      </c>
    </row>
    <row r="6" spans="2:6" x14ac:dyDescent="0.2">
      <c r="B6" s="79" t="s">
        <v>791</v>
      </c>
      <c r="C6" s="873" t="s">
        <v>792</v>
      </c>
      <c r="D6" s="873"/>
      <c r="E6" s="873"/>
      <c r="F6" s="742" t="s">
        <v>793</v>
      </c>
    </row>
    <row r="7" spans="2:6" x14ac:dyDescent="0.2">
      <c r="B7" s="79" t="s">
        <v>794</v>
      </c>
      <c r="C7" s="876" t="s">
        <v>795</v>
      </c>
      <c r="D7" s="876"/>
      <c r="E7" s="876"/>
      <c r="F7" s="742">
        <v>49</v>
      </c>
    </row>
    <row r="8" spans="2:6" ht="13.5" thickBot="1" x14ac:dyDescent="0.25">
      <c r="B8" s="729" t="s">
        <v>796</v>
      </c>
      <c r="C8" s="877" t="s">
        <v>797</v>
      </c>
      <c r="D8" s="877"/>
      <c r="E8" s="877"/>
      <c r="F8" s="743">
        <v>10</v>
      </c>
    </row>
    <row r="9" spans="2:6" x14ac:dyDescent="0.2">
      <c r="B9" s="873"/>
      <c r="C9" s="873"/>
      <c r="D9" s="742"/>
      <c r="E9" s="868" t="s">
        <v>3</v>
      </c>
      <c r="F9" s="868"/>
    </row>
  </sheetData>
  <mergeCells count="6">
    <mergeCell ref="C5:E5"/>
    <mergeCell ref="C6:E6"/>
    <mergeCell ref="C7:E7"/>
    <mergeCell ref="C8:E8"/>
    <mergeCell ref="B9:C9"/>
    <mergeCell ref="E9:F9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B2:O22"/>
  <sheetViews>
    <sheetView showGridLines="0" zoomScaleNormal="100" workbookViewId="0">
      <selection activeCell="E7" sqref="E7"/>
    </sheetView>
  </sheetViews>
  <sheetFormatPr defaultColWidth="9.140625" defaultRowHeight="15.75" customHeight="1" x14ac:dyDescent="0.2"/>
  <cols>
    <col min="1" max="1" width="9.140625" style="35"/>
    <col min="2" max="2" width="9.140625" style="35" customWidth="1"/>
    <col min="3" max="3" width="47.5703125" style="35" customWidth="1"/>
    <col min="4" max="8" width="9.140625" style="35"/>
    <col min="9" max="12" width="9.140625" style="35" customWidth="1"/>
    <col min="13" max="16384" width="9.140625" style="35"/>
  </cols>
  <sheetData>
    <row r="2" spans="2:15" ht="12.75" x14ac:dyDescent="0.2"/>
    <row r="3" spans="2:15" ht="12.75" x14ac:dyDescent="0.2"/>
    <row r="4" spans="2:15" ht="13.5" thickBot="1" x14ac:dyDescent="0.25">
      <c r="B4" s="843" t="s">
        <v>575</v>
      </c>
      <c r="C4" s="843"/>
      <c r="D4" s="843"/>
      <c r="E4" s="843"/>
      <c r="F4" s="843"/>
      <c r="G4" s="843"/>
      <c r="H4" s="843"/>
      <c r="I4" s="843"/>
      <c r="J4" s="843"/>
      <c r="K4" s="843"/>
      <c r="L4" s="843"/>
      <c r="O4" s="428"/>
    </row>
    <row r="5" spans="2:15" ht="16.5" customHeight="1" thickBot="1" x14ac:dyDescent="0.25">
      <c r="B5" s="642" t="s">
        <v>75</v>
      </c>
      <c r="C5" s="642" t="s">
        <v>7</v>
      </c>
      <c r="D5" s="655"/>
      <c r="E5" s="844" t="s">
        <v>76</v>
      </c>
      <c r="F5" s="845"/>
      <c r="G5" s="845"/>
      <c r="H5" s="846"/>
      <c r="I5" s="878" t="s">
        <v>77</v>
      </c>
      <c r="J5" s="845"/>
      <c r="K5" s="845"/>
      <c r="L5" s="845"/>
    </row>
    <row r="6" spans="2:15" ht="16.5" customHeight="1" thickBot="1" x14ac:dyDescent="0.25">
      <c r="B6" s="27"/>
      <c r="C6" s="27"/>
      <c r="D6" s="202" t="s">
        <v>78</v>
      </c>
      <c r="E6" s="201">
        <v>2017</v>
      </c>
      <c r="F6" s="202">
        <v>2018</v>
      </c>
      <c r="G6" s="202">
        <v>2019</v>
      </c>
      <c r="H6" s="744">
        <v>2020</v>
      </c>
      <c r="I6" s="203">
        <v>2017</v>
      </c>
      <c r="J6" s="203">
        <v>2018</v>
      </c>
      <c r="K6" s="203">
        <v>2019</v>
      </c>
      <c r="L6" s="203">
        <v>2020</v>
      </c>
    </row>
    <row r="7" spans="2:15" ht="16.5" customHeight="1" x14ac:dyDescent="0.2">
      <c r="B7" s="235">
        <v>1</v>
      </c>
      <c r="C7" s="62" t="s">
        <v>79</v>
      </c>
      <c r="D7" s="235" t="s">
        <v>80</v>
      </c>
      <c r="E7" s="745">
        <v>84.6</v>
      </c>
      <c r="F7" s="235">
        <v>89.4</v>
      </c>
      <c r="G7" s="235">
        <v>95.1</v>
      </c>
      <c r="H7" s="746">
        <v>100.7</v>
      </c>
      <c r="I7" s="237">
        <v>84.5995693583274</v>
      </c>
      <c r="J7" s="237">
        <v>89.495333808169264</v>
      </c>
      <c r="K7" s="237">
        <v>95.260868620557332</v>
      </c>
      <c r="L7" s="237">
        <v>101.00735417605054</v>
      </c>
    </row>
    <row r="8" spans="2:15" ht="16.5" customHeight="1" x14ac:dyDescent="0.2">
      <c r="B8" s="235">
        <v>2</v>
      </c>
      <c r="C8" s="62" t="s">
        <v>81</v>
      </c>
      <c r="D8" s="235" t="s">
        <v>11</v>
      </c>
      <c r="E8" s="745">
        <v>3.3</v>
      </c>
      <c r="F8" s="237">
        <v>4</v>
      </c>
      <c r="G8" s="235">
        <v>4.4000000000000004</v>
      </c>
      <c r="H8" s="746">
        <v>3.8</v>
      </c>
      <c r="I8" s="237">
        <v>3.3344437711642083</v>
      </c>
      <c r="J8" s="237">
        <v>4.1662564708083938</v>
      </c>
      <c r="K8" s="237">
        <v>4.3734515982513322</v>
      </c>
      <c r="L8" s="237">
        <v>3.8783375877819326</v>
      </c>
    </row>
    <row r="9" spans="2:15" ht="16.5" customHeight="1" x14ac:dyDescent="0.2">
      <c r="B9" s="235">
        <v>3</v>
      </c>
      <c r="C9" s="67" t="s">
        <v>82</v>
      </c>
      <c r="D9" s="235" t="s">
        <v>11</v>
      </c>
      <c r="E9" s="745">
        <v>2.5</v>
      </c>
      <c r="F9" s="235">
        <v>2.7</v>
      </c>
      <c r="G9" s="235">
        <v>2.9</v>
      </c>
      <c r="H9" s="746">
        <v>2.9</v>
      </c>
      <c r="I9" s="747">
        <v>3.3613962438292955</v>
      </c>
      <c r="J9" s="748">
        <v>2.9058431942968754</v>
      </c>
      <c r="K9" s="748">
        <v>2.8540125387920057</v>
      </c>
      <c r="L9" s="748">
        <v>2.8766104429726269</v>
      </c>
    </row>
    <row r="10" spans="2:15" ht="16.5" customHeight="1" x14ac:dyDescent="0.2">
      <c r="B10" s="235">
        <v>4</v>
      </c>
      <c r="C10" s="67" t="s">
        <v>83</v>
      </c>
      <c r="D10" s="235" t="s">
        <v>11</v>
      </c>
      <c r="E10" s="745">
        <v>1.6</v>
      </c>
      <c r="F10" s="235">
        <v>2</v>
      </c>
      <c r="G10" s="235">
        <v>1.9</v>
      </c>
      <c r="H10" s="746">
        <v>1.4</v>
      </c>
      <c r="I10" s="747">
        <v>0.36566030574467501</v>
      </c>
      <c r="J10" s="748">
        <v>1.3413629540656835</v>
      </c>
      <c r="K10" s="748">
        <v>1.5846149524220365</v>
      </c>
      <c r="L10" s="748">
        <v>1.5558958734777528</v>
      </c>
    </row>
    <row r="11" spans="2:15" ht="16.5" customHeight="1" x14ac:dyDescent="0.2">
      <c r="B11" s="235">
        <v>5</v>
      </c>
      <c r="C11" s="67" t="s">
        <v>84</v>
      </c>
      <c r="D11" s="235" t="s">
        <v>11</v>
      </c>
      <c r="E11" s="745">
        <v>3</v>
      </c>
      <c r="F11" s="235">
        <v>1.9</v>
      </c>
      <c r="G11" s="235">
        <v>2</v>
      </c>
      <c r="H11" s="746">
        <v>3.6</v>
      </c>
      <c r="I11" s="747">
        <v>3.0134773331814024</v>
      </c>
      <c r="J11" s="748">
        <v>4.2119148555731734</v>
      </c>
      <c r="K11" s="748">
        <v>3.199436296278102</v>
      </c>
      <c r="L11" s="748">
        <v>3.1908107049315904</v>
      </c>
    </row>
    <row r="12" spans="2:15" ht="16.5" customHeight="1" x14ac:dyDescent="0.2">
      <c r="B12" s="235">
        <v>6</v>
      </c>
      <c r="C12" s="67" t="s">
        <v>85</v>
      </c>
      <c r="D12" s="235" t="s">
        <v>11</v>
      </c>
      <c r="E12" s="745">
        <v>5.6</v>
      </c>
      <c r="F12" s="235">
        <v>7.3</v>
      </c>
      <c r="G12" s="235">
        <v>7.7</v>
      </c>
      <c r="H12" s="746">
        <v>6.2</v>
      </c>
      <c r="I12" s="747">
        <v>7.3801900543122745</v>
      </c>
      <c r="J12" s="748">
        <v>9.1434314375395953</v>
      </c>
      <c r="K12" s="748">
        <v>9.7580736811363913</v>
      </c>
      <c r="L12" s="748">
        <v>8.2079450358023109</v>
      </c>
    </row>
    <row r="13" spans="2:15" ht="16.5" customHeight="1" x14ac:dyDescent="0.2">
      <c r="B13" s="235">
        <v>7</v>
      </c>
      <c r="C13" s="67" t="s">
        <v>86</v>
      </c>
      <c r="D13" s="235" t="s">
        <v>11</v>
      </c>
      <c r="E13" s="745">
        <v>4.2</v>
      </c>
      <c r="F13" s="235">
        <v>6</v>
      </c>
      <c r="G13" s="235">
        <v>6.3</v>
      </c>
      <c r="H13" s="746">
        <v>5.5</v>
      </c>
      <c r="I13" s="747">
        <v>7.5820786482102775</v>
      </c>
      <c r="J13" s="748">
        <v>8.1596804821178601</v>
      </c>
      <c r="K13" s="748">
        <v>8.3966220387145185</v>
      </c>
      <c r="L13" s="748">
        <v>7.3683865446705576</v>
      </c>
    </row>
    <row r="14" spans="2:15" ht="16.5" customHeight="1" x14ac:dyDescent="0.2">
      <c r="B14" s="235">
        <v>8</v>
      </c>
      <c r="C14" s="62" t="s">
        <v>391</v>
      </c>
      <c r="D14" s="235" t="s">
        <v>11</v>
      </c>
      <c r="E14" s="745">
        <v>0.2</v>
      </c>
      <c r="F14" s="235">
        <v>0.7</v>
      </c>
      <c r="G14" s="235">
        <v>1.3</v>
      </c>
      <c r="H14" s="746">
        <v>1.3</v>
      </c>
      <c r="I14" s="747">
        <v>0.1538964153457161</v>
      </c>
      <c r="J14" s="748">
        <v>0.76466660384759766</v>
      </c>
      <c r="K14" s="748">
        <v>1.3475754184047233</v>
      </c>
      <c r="L14" s="748">
        <v>1.3407115494943964</v>
      </c>
    </row>
    <row r="15" spans="2:15" ht="16.5" customHeight="1" x14ac:dyDescent="0.2">
      <c r="B15" s="235">
        <v>9</v>
      </c>
      <c r="C15" s="62" t="s">
        <v>362</v>
      </c>
      <c r="D15" s="235" t="s">
        <v>11</v>
      </c>
      <c r="E15" s="745">
        <v>3.5</v>
      </c>
      <c r="F15" s="235">
        <v>4.4000000000000004</v>
      </c>
      <c r="G15" s="235">
        <v>4.8</v>
      </c>
      <c r="H15" s="746">
        <v>5.0999999999999996</v>
      </c>
      <c r="I15" s="747">
        <v>3.9473684210526327</v>
      </c>
      <c r="J15" s="748">
        <v>4.6413502109704741</v>
      </c>
      <c r="K15" s="748">
        <v>4.8387096774193505</v>
      </c>
      <c r="L15" s="748">
        <v>5.1923076923076961</v>
      </c>
    </row>
    <row r="16" spans="2:15" ht="16.5" customHeight="1" x14ac:dyDescent="0.2">
      <c r="B16" s="235">
        <v>10</v>
      </c>
      <c r="C16" s="62" t="s">
        <v>87</v>
      </c>
      <c r="D16" s="235" t="s">
        <v>11</v>
      </c>
      <c r="E16" s="745">
        <v>1.7</v>
      </c>
      <c r="F16" s="235">
        <v>1.1000000000000001</v>
      </c>
      <c r="G16" s="235">
        <v>0.9</v>
      </c>
      <c r="H16" s="746">
        <v>0.9</v>
      </c>
      <c r="I16" s="747">
        <v>1.5797563708918938</v>
      </c>
      <c r="J16" s="748">
        <v>1.0976643085177207</v>
      </c>
      <c r="K16" s="748">
        <v>0.77199902698579237</v>
      </c>
      <c r="L16" s="748">
        <v>0.74380261468012243</v>
      </c>
    </row>
    <row r="17" spans="2:12" ht="16.5" customHeight="1" x14ac:dyDescent="0.2">
      <c r="B17" s="235">
        <v>11</v>
      </c>
      <c r="C17" s="67" t="s">
        <v>88</v>
      </c>
      <c r="D17" s="235" t="s">
        <v>11</v>
      </c>
      <c r="E17" s="745">
        <v>1.8</v>
      </c>
      <c r="F17" s="235">
        <v>1.1000000000000001</v>
      </c>
      <c r="G17" s="235">
        <v>0.9</v>
      </c>
      <c r="H17" s="746">
        <v>0.9</v>
      </c>
      <c r="I17" s="747">
        <v>1.8527856611839866</v>
      </c>
      <c r="J17" s="748">
        <v>1.4132262544005236</v>
      </c>
      <c r="K17" s="748">
        <v>1.0091150824848683</v>
      </c>
      <c r="L17" s="748">
        <v>0.98265269855353221</v>
      </c>
    </row>
    <row r="18" spans="2:12" ht="16.5" customHeight="1" x14ac:dyDescent="0.2">
      <c r="B18" s="235">
        <v>12</v>
      </c>
      <c r="C18" s="67" t="s">
        <v>89</v>
      </c>
      <c r="D18" s="235" t="s">
        <v>11</v>
      </c>
      <c r="E18" s="745">
        <v>8.4</v>
      </c>
      <c r="F18" s="235">
        <v>7.6</v>
      </c>
      <c r="G18" s="235">
        <v>4.9000000000000004</v>
      </c>
      <c r="H18" s="746">
        <v>6.2</v>
      </c>
      <c r="I18" s="747">
        <v>8.1898027287660753</v>
      </c>
      <c r="J18" s="748">
        <v>7.302468741966865</v>
      </c>
      <c r="K18" s="748">
        <v>6.6995482211739326</v>
      </c>
      <c r="L18" s="748">
        <v>6.0807239469603482</v>
      </c>
    </row>
    <row r="19" spans="2:12" ht="16.5" customHeight="1" x14ac:dyDescent="0.2">
      <c r="B19" s="235">
        <v>13</v>
      </c>
      <c r="C19" s="67" t="s">
        <v>90</v>
      </c>
      <c r="D19" s="235" t="s">
        <v>11</v>
      </c>
      <c r="E19" s="745">
        <v>8.1</v>
      </c>
      <c r="F19" s="235">
        <v>7.4</v>
      </c>
      <c r="G19" s="235">
        <v>6.7</v>
      </c>
      <c r="H19" s="746">
        <v>5.9</v>
      </c>
      <c r="I19" s="747">
        <v>7.2311348200121266</v>
      </c>
      <c r="J19" s="748">
        <v>6.3836885119127249</v>
      </c>
      <c r="K19" s="748">
        <v>5.798207131527688</v>
      </c>
      <c r="L19" s="748">
        <v>5.2061940665148754</v>
      </c>
    </row>
    <row r="20" spans="2:12" ht="16.5" customHeight="1" x14ac:dyDescent="0.2">
      <c r="B20" s="235">
        <v>14</v>
      </c>
      <c r="C20" s="67" t="s">
        <v>91</v>
      </c>
      <c r="D20" s="235" t="s">
        <v>11</v>
      </c>
      <c r="E20" s="745">
        <v>1.1000000000000001</v>
      </c>
      <c r="F20" s="235">
        <v>1.7</v>
      </c>
      <c r="G20" s="235">
        <v>1.9</v>
      </c>
      <c r="H20" s="746">
        <v>2.1</v>
      </c>
      <c r="I20" s="747">
        <v>1.2785339079018243</v>
      </c>
      <c r="J20" s="748">
        <v>1.7117883221712038</v>
      </c>
      <c r="K20" s="748">
        <v>1.8998962607452485</v>
      </c>
      <c r="L20" s="748">
        <v>2.0999104491246534</v>
      </c>
    </row>
    <row r="21" spans="2:12" ht="15.75" customHeight="1" thickBot="1" x14ac:dyDescent="0.25">
      <c r="B21" s="240">
        <v>15</v>
      </c>
      <c r="C21" s="706" t="s">
        <v>92</v>
      </c>
      <c r="D21" s="240" t="s">
        <v>11</v>
      </c>
      <c r="E21" s="749">
        <v>1.7</v>
      </c>
      <c r="F21" s="240">
        <v>2.4</v>
      </c>
      <c r="G21" s="240">
        <v>3.2</v>
      </c>
      <c r="H21" s="750">
        <v>3.7</v>
      </c>
      <c r="I21" s="20">
        <v>-0.85216279458782562</v>
      </c>
      <c r="J21" s="22">
        <v>-0.11889837759560962</v>
      </c>
      <c r="K21" s="22">
        <v>1.058678826395349</v>
      </c>
      <c r="L21" s="22">
        <v>1.8791687145482401</v>
      </c>
    </row>
    <row r="22" spans="2:12" ht="15.75" customHeight="1" x14ac:dyDescent="0.2">
      <c r="B22" s="862"/>
      <c r="C22" s="862"/>
      <c r="D22" s="862"/>
      <c r="E22" s="655"/>
      <c r="J22" s="861" t="s">
        <v>3</v>
      </c>
      <c r="K22" s="861"/>
      <c r="L22" s="861"/>
    </row>
  </sheetData>
  <mergeCells count="5">
    <mergeCell ref="B22:D22"/>
    <mergeCell ref="J22:L22"/>
    <mergeCell ref="B4:L4"/>
    <mergeCell ref="E5:H5"/>
    <mergeCell ref="I5:L5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B4:N15"/>
  <sheetViews>
    <sheetView showGridLines="0" workbookViewId="0">
      <selection activeCell="F13" sqref="F13"/>
    </sheetView>
  </sheetViews>
  <sheetFormatPr defaultColWidth="9.140625" defaultRowHeight="12.75" x14ac:dyDescent="0.2"/>
  <cols>
    <col min="1" max="1" width="9.140625" style="35"/>
    <col min="2" max="2" width="41.85546875" style="35" customWidth="1"/>
    <col min="3" max="16384" width="9.140625" style="35"/>
  </cols>
  <sheetData>
    <row r="4" spans="2:14" ht="13.5" thickBot="1" x14ac:dyDescent="0.25">
      <c r="B4" s="879" t="s">
        <v>574</v>
      </c>
      <c r="C4" s="879"/>
      <c r="D4" s="879"/>
      <c r="E4" s="879"/>
      <c r="F4" s="879"/>
      <c r="G4" s="879"/>
      <c r="H4" s="879"/>
    </row>
    <row r="5" spans="2:14" x14ac:dyDescent="0.2">
      <c r="B5" s="655"/>
      <c r="C5" s="751" t="s">
        <v>42</v>
      </c>
      <c r="D5" s="751">
        <v>2016</v>
      </c>
      <c r="E5" s="751">
        <v>2017</v>
      </c>
      <c r="F5" s="751">
        <v>2018</v>
      </c>
      <c r="G5" s="751">
        <v>2019</v>
      </c>
      <c r="H5" s="751">
        <v>2020</v>
      </c>
      <c r="N5" s="428"/>
    </row>
    <row r="6" spans="2:14" ht="13.5" thickBot="1" x14ac:dyDescent="0.25">
      <c r="B6" s="655"/>
      <c r="C6" s="655"/>
      <c r="D6" s="235" t="s">
        <v>0</v>
      </c>
      <c r="E6" s="235" t="s">
        <v>0</v>
      </c>
      <c r="F6" s="235" t="s">
        <v>0</v>
      </c>
      <c r="G6" s="235" t="s">
        <v>0</v>
      </c>
      <c r="H6" s="235" t="s">
        <v>0</v>
      </c>
    </row>
    <row r="7" spans="2:14" x14ac:dyDescent="0.2">
      <c r="B7" s="679" t="s">
        <v>93</v>
      </c>
      <c r="C7" s="752" t="s">
        <v>94</v>
      </c>
      <c r="D7" s="679"/>
      <c r="E7" s="679"/>
      <c r="F7" s="679"/>
      <c r="G7" s="679"/>
      <c r="H7" s="679"/>
    </row>
    <row r="8" spans="2:14" x14ac:dyDescent="0.2">
      <c r="B8" s="753" t="s">
        <v>95</v>
      </c>
      <c r="D8" s="754">
        <f>'Graf 51 + 52'!P23</f>
        <v>-1.6817818285144437</v>
      </c>
      <c r="E8" s="754">
        <f>'Graf 51 + 52'!Q23</f>
        <v>-1.2399995686941512</v>
      </c>
      <c r="F8" s="754">
        <f>'Graf 51 + 52'!R23</f>
        <v>-0.50000000000000522</v>
      </c>
      <c r="G8" s="754">
        <f>'Graf 51 + 52'!S23</f>
        <v>0</v>
      </c>
      <c r="H8" s="754">
        <f>'Graf 51 + 52'!T23</f>
        <v>0</v>
      </c>
    </row>
    <row r="9" spans="2:14" x14ac:dyDescent="0.2">
      <c r="B9" s="753" t="s">
        <v>96</v>
      </c>
      <c r="D9" s="754">
        <f>'Tabuľka 4'!F6</f>
        <v>-2.1911520941153646</v>
      </c>
      <c r="E9" s="754">
        <f>'Tabuľka 4'!G6</f>
        <v>-1.6259539031147603</v>
      </c>
      <c r="F9" s="754">
        <f>'Tabuľka 4'!H6</f>
        <v>-0.82999969762914805</v>
      </c>
      <c r="G9" s="754">
        <f>'Tabuľka 4'!I6</f>
        <v>-0.10000013791542728</v>
      </c>
      <c r="H9" s="754">
        <f>'Tabuľka 4'!J6</f>
        <v>0</v>
      </c>
    </row>
    <row r="10" spans="2:14" ht="13.5" thickBot="1" x14ac:dyDescent="0.25">
      <c r="B10" s="755" t="s">
        <v>97</v>
      </c>
      <c r="D10" s="756">
        <f>D9-D8</f>
        <v>-0.50937026560092091</v>
      </c>
      <c r="E10" s="756">
        <f>E9-E8</f>
        <v>-0.38595433442060911</v>
      </c>
      <c r="F10" s="756">
        <f t="shared" ref="F10" si="0">F9-F8</f>
        <v>-0.32999969762914283</v>
      </c>
      <c r="G10" s="756">
        <f>G9-G8</f>
        <v>-0.10000013791542728</v>
      </c>
      <c r="H10" s="756">
        <f>H9-H8</f>
        <v>0</v>
      </c>
    </row>
    <row r="11" spans="2:14" x14ac:dyDescent="0.2">
      <c r="B11" s="679" t="s">
        <v>206</v>
      </c>
      <c r="C11" s="752" t="s">
        <v>94</v>
      </c>
      <c r="D11" s="757"/>
      <c r="E11" s="757"/>
      <c r="F11" s="757"/>
      <c r="G11" s="757"/>
      <c r="H11" s="757"/>
    </row>
    <row r="12" spans="2:14" x14ac:dyDescent="0.2">
      <c r="B12" s="753" t="s">
        <v>95</v>
      </c>
      <c r="D12" s="235" t="s">
        <v>2</v>
      </c>
      <c r="E12" s="758" t="s">
        <v>2</v>
      </c>
      <c r="F12" s="759">
        <v>4.7888663812756249E-4</v>
      </c>
      <c r="G12" s="759">
        <v>0.13489391496975145</v>
      </c>
      <c r="H12" s="759">
        <v>0.62938762701320883</v>
      </c>
    </row>
    <row r="13" spans="2:14" x14ac:dyDescent="0.2">
      <c r="B13" s="753" t="s">
        <v>96</v>
      </c>
      <c r="D13" s="235" t="s">
        <v>2</v>
      </c>
      <c r="E13" s="235" t="s">
        <v>207</v>
      </c>
      <c r="F13" s="650">
        <f>'Tabuľka 11'!D27</f>
        <v>5.4411951800744873E-2</v>
      </c>
      <c r="G13" s="650">
        <f>'Tabuľka 11'!E27</f>
        <v>0.17178007014191365</v>
      </c>
      <c r="H13" s="650">
        <f>'Tabuľka 11'!F27</f>
        <v>0.56249490254067069</v>
      </c>
    </row>
    <row r="14" spans="2:14" ht="13.5" thickBot="1" x14ac:dyDescent="0.25">
      <c r="B14" s="760" t="s">
        <v>97</v>
      </c>
      <c r="C14" s="28"/>
      <c r="D14" s="322" t="s">
        <v>2</v>
      </c>
      <c r="E14" s="322" t="s">
        <v>2</v>
      </c>
      <c r="F14" s="761">
        <f>F13-F12</f>
        <v>5.3933065162617311E-2</v>
      </c>
      <c r="G14" s="761">
        <f>G13-G12</f>
        <v>3.6886155172162205E-2</v>
      </c>
      <c r="H14" s="761">
        <f>H13-H12</f>
        <v>-6.6892724472538134E-2</v>
      </c>
    </row>
    <row r="15" spans="2:14" x14ac:dyDescent="0.2">
      <c r="D15" s="862"/>
      <c r="E15" s="862"/>
      <c r="G15" s="861" t="s">
        <v>8</v>
      </c>
      <c r="H15" s="861"/>
    </row>
  </sheetData>
  <mergeCells count="3">
    <mergeCell ref="B4:H4"/>
    <mergeCell ref="D15:E15"/>
    <mergeCell ref="G15:H15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B3:V38"/>
  <sheetViews>
    <sheetView showGridLines="0" zoomScaleNormal="100" zoomScalePageLayoutView="90" workbookViewId="0"/>
  </sheetViews>
  <sheetFormatPr defaultColWidth="8.85546875" defaultRowHeight="12.75" x14ac:dyDescent="0.2"/>
  <cols>
    <col min="1" max="1" width="8.85546875" style="762"/>
    <col min="2" max="2" width="10" style="762" customWidth="1"/>
    <col min="3" max="4" width="8.140625" style="762" customWidth="1"/>
    <col min="5" max="6" width="8.28515625" style="762" customWidth="1"/>
    <col min="7" max="7" width="5" style="762" bestFit="1" customWidth="1"/>
    <col min="8" max="12" width="8" style="762" customWidth="1"/>
    <col min="13" max="13" width="9" style="762" customWidth="1"/>
    <col min="14" max="14" width="33.140625" style="762" bestFit="1" customWidth="1"/>
    <col min="15" max="20" width="7.7109375" style="762" customWidth="1"/>
    <col min="21" max="16384" width="8.85546875" style="762"/>
  </cols>
  <sheetData>
    <row r="3" spans="2:22" x14ac:dyDescent="0.2">
      <c r="N3" s="763"/>
    </row>
    <row r="4" spans="2:22" ht="27.75" customHeight="1" thickBot="1" x14ac:dyDescent="0.25">
      <c r="B4" s="880" t="s">
        <v>1087</v>
      </c>
      <c r="C4" s="880"/>
      <c r="D4" s="880"/>
      <c r="E4" s="880"/>
      <c r="F4" s="880"/>
      <c r="G4" s="880"/>
      <c r="H4" s="880"/>
      <c r="N4" s="764" t="s">
        <v>321</v>
      </c>
      <c r="O4" s="765"/>
      <c r="P4" s="765"/>
      <c r="Q4" s="765"/>
      <c r="R4" s="765"/>
      <c r="S4" s="765"/>
      <c r="T4" s="765"/>
    </row>
    <row r="5" spans="2:22" x14ac:dyDescent="0.2">
      <c r="O5" s="766">
        <v>2015</v>
      </c>
      <c r="P5" s="766">
        <v>2016</v>
      </c>
      <c r="Q5" s="766">
        <v>2017</v>
      </c>
      <c r="R5" s="766">
        <v>2018</v>
      </c>
      <c r="S5" s="766">
        <v>2019</v>
      </c>
      <c r="T5" s="766">
        <v>2020</v>
      </c>
    </row>
    <row r="6" spans="2:22" x14ac:dyDescent="0.2">
      <c r="N6" s="762" t="s">
        <v>392</v>
      </c>
      <c r="O6" s="767">
        <f>O20</f>
        <v>-2.3215508695872575</v>
      </c>
      <c r="P6" s="767">
        <f t="shared" ref="P6:T6" si="0">P20</f>
        <v>-1.3881204053720908</v>
      </c>
      <c r="Q6" s="767">
        <f t="shared" si="0"/>
        <v>-1.0124596682186437</v>
      </c>
      <c r="R6" s="767">
        <f t="shared" si="0"/>
        <v>-0.40487011073020646</v>
      </c>
      <c r="S6" s="767">
        <f>S20</f>
        <v>-0.24007295457461639</v>
      </c>
      <c r="T6" s="767">
        <f t="shared" si="0"/>
        <v>-0.36551718565750513</v>
      </c>
    </row>
    <row r="7" spans="2:22" x14ac:dyDescent="0.2">
      <c r="N7" s="762" t="s">
        <v>310</v>
      </c>
      <c r="O7" s="767">
        <f>O14</f>
        <v>-2.4474453061036785</v>
      </c>
      <c r="P7" s="767">
        <f t="shared" ref="P7:T7" si="1">P14</f>
        <v>-2.0651216795301686</v>
      </c>
      <c r="Q7" s="767">
        <f t="shared" si="1"/>
        <v>-1.6864954172610547</v>
      </c>
      <c r="R7" s="767">
        <f t="shared" si="1"/>
        <v>-1.1308129031222216</v>
      </c>
      <c r="S7" s="767">
        <f t="shared" si="1"/>
        <v>-0.63012461205133019</v>
      </c>
      <c r="T7" s="767">
        <f t="shared" si="1"/>
        <v>-0.52742428767737259</v>
      </c>
    </row>
    <row r="8" spans="2:22" x14ac:dyDescent="0.2">
      <c r="N8" s="762" t="s">
        <v>309</v>
      </c>
      <c r="O8" s="767">
        <f>SUM(O9:O11)</f>
        <v>-0.12589443651642124</v>
      </c>
      <c r="P8" s="767">
        <f>P7-P6</f>
        <v>-0.67700127415807776</v>
      </c>
      <c r="Q8" s="767">
        <f>Q7-Q6</f>
        <v>-0.67403574904241093</v>
      </c>
      <c r="R8" s="767">
        <f t="shared" ref="R8:T8" si="2">R7-R6</f>
        <v>-0.7259427923920152</v>
      </c>
      <c r="S8" s="767">
        <f t="shared" si="2"/>
        <v>-0.39005165747671378</v>
      </c>
      <c r="T8" s="767">
        <f t="shared" si="2"/>
        <v>-0.16190710201986747</v>
      </c>
      <c r="U8" s="768"/>
    </row>
    <row r="9" spans="2:22" x14ac:dyDescent="0.2">
      <c r="N9" s="769" t="s">
        <v>320</v>
      </c>
      <c r="O9" s="767">
        <f>O27</f>
        <v>-0.12589443651642124</v>
      </c>
      <c r="P9" s="767">
        <f t="shared" ref="P9:T9" si="3">P27</f>
        <v>-0.16763100855715679</v>
      </c>
      <c r="Q9" s="767">
        <f t="shared" si="3"/>
        <v>-0.28808141462180198</v>
      </c>
      <c r="R9" s="767">
        <f t="shared" si="3"/>
        <v>-0.39594309476287226</v>
      </c>
      <c r="S9" s="767">
        <f t="shared" si="3"/>
        <v>-0.2900515195612865</v>
      </c>
      <c r="T9" s="767">
        <f t="shared" si="3"/>
        <v>-0.16190710201986747</v>
      </c>
      <c r="U9" s="768"/>
    </row>
    <row r="10" spans="2:22" x14ac:dyDescent="0.2">
      <c r="N10" s="769" t="s">
        <v>319</v>
      </c>
      <c r="O10" s="767">
        <f t="shared" ref="O10:T10" si="4">-O29</f>
        <v>0</v>
      </c>
      <c r="P10" s="767">
        <f t="shared" si="4"/>
        <v>-0.50937026560092091</v>
      </c>
      <c r="Q10" s="767">
        <f t="shared" si="4"/>
        <v>-0.38595433442060911</v>
      </c>
      <c r="R10" s="767">
        <f t="shared" si="4"/>
        <v>-0.32999969762914283</v>
      </c>
      <c r="S10" s="767">
        <f t="shared" si="4"/>
        <v>-0.10000013791542728</v>
      </c>
      <c r="T10" s="767">
        <f t="shared" si="4"/>
        <v>0</v>
      </c>
      <c r="U10" s="763"/>
      <c r="V10" s="763"/>
    </row>
    <row r="11" spans="2:22" ht="13.5" thickBot="1" x14ac:dyDescent="0.25">
      <c r="N11" s="769" t="s">
        <v>318</v>
      </c>
      <c r="O11" s="767">
        <f t="shared" ref="O11:T11" si="5">O28</f>
        <v>0</v>
      </c>
      <c r="P11" s="767">
        <f t="shared" si="5"/>
        <v>0</v>
      </c>
      <c r="Q11" s="767">
        <f t="shared" si="5"/>
        <v>0</v>
      </c>
      <c r="R11" s="767">
        <f t="shared" si="5"/>
        <v>0</v>
      </c>
      <c r="S11" s="767">
        <f t="shared" si="5"/>
        <v>0</v>
      </c>
      <c r="T11" s="767">
        <f t="shared" si="5"/>
        <v>0</v>
      </c>
      <c r="U11" s="763"/>
      <c r="V11" s="763"/>
    </row>
    <row r="12" spans="2:22" ht="13.5" thickBot="1" x14ac:dyDescent="0.25">
      <c r="N12" s="770" t="s">
        <v>178</v>
      </c>
      <c r="O12" s="771">
        <f t="shared" ref="O12:T12" si="6">O8+O26</f>
        <v>-2.7755575615628914E-16</v>
      </c>
      <c r="P12" s="771">
        <f t="shared" si="6"/>
        <v>0</v>
      </c>
      <c r="Q12" s="771">
        <f>Q8+Q26</f>
        <v>0</v>
      </c>
      <c r="R12" s="771">
        <f t="shared" si="6"/>
        <v>0</v>
      </c>
      <c r="S12" s="771">
        <f t="shared" si="6"/>
        <v>0</v>
      </c>
      <c r="T12" s="772">
        <f t="shared" si="6"/>
        <v>0</v>
      </c>
      <c r="U12" s="763"/>
      <c r="V12" s="763"/>
    </row>
    <row r="13" spans="2:22" x14ac:dyDescent="0.2">
      <c r="N13" s="773" t="s">
        <v>317</v>
      </c>
      <c r="O13" s="767"/>
      <c r="P13" s="767"/>
      <c r="Q13" s="767"/>
      <c r="R13" s="767"/>
      <c r="S13" s="767"/>
      <c r="T13" s="767"/>
      <c r="U13" s="763"/>
      <c r="V13" s="763"/>
    </row>
    <row r="14" spans="2:22" x14ac:dyDescent="0.2">
      <c r="N14" s="769" t="s">
        <v>314</v>
      </c>
      <c r="O14" s="767">
        <f>O17-O15-O16</f>
        <v>-2.4474453061036785</v>
      </c>
      <c r="P14" s="767">
        <f t="shared" ref="P14:T14" si="7">P17-P15-P16</f>
        <v>-2.0651216795301686</v>
      </c>
      <c r="Q14" s="767">
        <f t="shared" si="7"/>
        <v>-1.6864954172610547</v>
      </c>
      <c r="R14" s="767">
        <f t="shared" si="7"/>
        <v>-1.1308129031222216</v>
      </c>
      <c r="S14" s="767">
        <f t="shared" si="7"/>
        <v>-0.63012461205133019</v>
      </c>
      <c r="T14" s="767">
        <f t="shared" si="7"/>
        <v>-0.52742428767737259</v>
      </c>
      <c r="U14" s="763"/>
      <c r="V14" s="763"/>
    </row>
    <row r="15" spans="2:22" x14ac:dyDescent="0.2">
      <c r="N15" s="769" t="s">
        <v>177</v>
      </c>
      <c r="O15" s="767">
        <f>'Tabuľka 4'!E7</f>
        <v>-0.29713538011278506</v>
      </c>
      <c r="P15" s="767">
        <f>'Tabuľka 4'!F7</f>
        <v>-8.260049010237408E-2</v>
      </c>
      <c r="Q15" s="767">
        <f>'Tabuľka 4'!G7</f>
        <v>6.0541514146294481E-2</v>
      </c>
      <c r="R15" s="767">
        <f>'Tabuľka 4'!H7</f>
        <v>0.3008132054930735</v>
      </c>
      <c r="S15" s="767">
        <f>'Tabuľka 4'!I7</f>
        <v>0.53012447413590291</v>
      </c>
      <c r="T15" s="767">
        <f>'Tabuľka 4'!J7</f>
        <v>0.52742428767737259</v>
      </c>
    </row>
    <row r="16" spans="2:22" x14ac:dyDescent="0.2">
      <c r="N16" s="762" t="s">
        <v>313</v>
      </c>
      <c r="O16" s="767">
        <f>'Tabuľka 4'!E8</f>
        <v>0</v>
      </c>
      <c r="P16" s="767">
        <f>'Tabuľka 4'!F8</f>
        <v>-4.3429924482821979E-2</v>
      </c>
      <c r="Q16" s="767">
        <f>'Tabuľka 4'!G8</f>
        <v>0</v>
      </c>
      <c r="R16" s="767">
        <f>'Tabuľka 4'!H8</f>
        <v>0</v>
      </c>
      <c r="S16" s="767">
        <f>'Tabuľka 4'!I8</f>
        <v>0</v>
      </c>
      <c r="T16" s="767">
        <f>'Tabuľka 4'!J8</f>
        <v>0</v>
      </c>
    </row>
    <row r="17" spans="2:20" x14ac:dyDescent="0.2">
      <c r="N17" s="769" t="s">
        <v>312</v>
      </c>
      <c r="O17" s="767">
        <f>'Tabuľka 4'!E6</f>
        <v>-2.7445806862164637</v>
      </c>
      <c r="P17" s="767">
        <f>'Tabuľka 4'!F6</f>
        <v>-2.1911520941153646</v>
      </c>
      <c r="Q17" s="767">
        <f>'Tabuľka 4'!G6</f>
        <v>-1.6259539031147603</v>
      </c>
      <c r="R17" s="767">
        <f>'Tabuľka 4'!H6</f>
        <v>-0.82999969762914805</v>
      </c>
      <c r="S17" s="767">
        <f>'Tabuľka 4'!I6</f>
        <v>-0.10000013791542728</v>
      </c>
      <c r="T17" s="767">
        <f>'Tabuľka 4'!J6</f>
        <v>0</v>
      </c>
    </row>
    <row r="18" spans="2:20" x14ac:dyDescent="0.2">
      <c r="N18" s="769"/>
      <c r="O18" s="767"/>
      <c r="P18" s="767"/>
      <c r="Q18" s="767"/>
      <c r="R18" s="767"/>
      <c r="S18" s="767"/>
      <c r="T18" s="767"/>
    </row>
    <row r="19" spans="2:20" x14ac:dyDescent="0.2">
      <c r="B19" s="880" t="s">
        <v>1086</v>
      </c>
      <c r="C19" s="880"/>
      <c r="D19" s="880"/>
      <c r="E19" s="880"/>
      <c r="F19" s="880"/>
      <c r="G19" s="880"/>
      <c r="H19" s="880"/>
      <c r="N19" s="773" t="s">
        <v>316</v>
      </c>
      <c r="O19" s="767"/>
      <c r="P19" s="767"/>
      <c r="Q19" s="767"/>
      <c r="R19" s="767"/>
      <c r="S19" s="767"/>
      <c r="T19" s="767"/>
    </row>
    <row r="20" spans="2:20" x14ac:dyDescent="0.2">
      <c r="N20" s="769" t="s">
        <v>314</v>
      </c>
      <c r="O20" s="767">
        <f>O23-O21-O22</f>
        <v>-2.3215508695872575</v>
      </c>
      <c r="P20" s="767">
        <f t="shared" ref="P20:T20" si="8">P23-P21-P22</f>
        <v>-1.3881204053720908</v>
      </c>
      <c r="Q20" s="767">
        <f t="shared" si="8"/>
        <v>-1.0124596682186437</v>
      </c>
      <c r="R20" s="767">
        <f t="shared" si="8"/>
        <v>-0.40487011073020646</v>
      </c>
      <c r="S20" s="767">
        <f t="shared" si="8"/>
        <v>-0.24007295457461639</v>
      </c>
      <c r="T20" s="767">
        <f t="shared" si="8"/>
        <v>-0.36551718565750513</v>
      </c>
    </row>
    <row r="21" spans="2:20" x14ac:dyDescent="0.2">
      <c r="N21" s="769" t="s">
        <v>177</v>
      </c>
      <c r="O21" s="767">
        <v>-0.4230298166292063</v>
      </c>
      <c r="P21" s="767">
        <v>-0.25023149865953087</v>
      </c>
      <c r="Q21" s="767">
        <v>-0.22753990047550748</v>
      </c>
      <c r="R21" s="767">
        <v>-9.5129889269798762E-2</v>
      </c>
      <c r="S21" s="767">
        <v>0.24007295457461639</v>
      </c>
      <c r="T21" s="767">
        <v>0.36551718565750513</v>
      </c>
    </row>
    <row r="22" spans="2:20" x14ac:dyDescent="0.2">
      <c r="N22" s="762" t="s">
        <v>313</v>
      </c>
      <c r="O22" s="767">
        <v>0</v>
      </c>
      <c r="P22" s="767">
        <v>-4.3429924482821979E-2</v>
      </c>
      <c r="Q22" s="767">
        <v>0</v>
      </c>
      <c r="R22" s="767">
        <v>0</v>
      </c>
      <c r="S22" s="767">
        <v>0</v>
      </c>
      <c r="T22" s="767">
        <v>0</v>
      </c>
    </row>
    <row r="23" spans="2:20" x14ac:dyDescent="0.2">
      <c r="N23" s="769" t="s">
        <v>312</v>
      </c>
      <c r="O23" s="767">
        <v>-2.7445806862164637</v>
      </c>
      <c r="P23" s="767">
        <v>-1.6817818285144437</v>
      </c>
      <c r="Q23" s="767">
        <v>-1.2399995686941512</v>
      </c>
      <c r="R23" s="767">
        <v>-0.50000000000000522</v>
      </c>
      <c r="S23" s="767">
        <v>0</v>
      </c>
      <c r="T23" s="767">
        <v>0</v>
      </c>
    </row>
    <row r="24" spans="2:20" x14ac:dyDescent="0.2">
      <c r="O24" s="767"/>
      <c r="P24" s="767"/>
      <c r="Q24" s="767"/>
      <c r="R24" s="767"/>
      <c r="S24" s="767"/>
      <c r="T24" s="767"/>
    </row>
    <row r="25" spans="2:20" x14ac:dyDescent="0.2">
      <c r="N25" s="773" t="s">
        <v>315</v>
      </c>
      <c r="O25" s="767"/>
      <c r="P25" s="767"/>
      <c r="Q25" s="767"/>
      <c r="R25" s="767"/>
      <c r="S25" s="767"/>
      <c r="T25" s="767"/>
    </row>
    <row r="26" spans="2:20" x14ac:dyDescent="0.2">
      <c r="N26" s="769" t="s">
        <v>314</v>
      </c>
      <c r="O26" s="767">
        <f t="shared" ref="O26:T26" si="9">O20-O14</f>
        <v>0.12589443651642096</v>
      </c>
      <c r="P26" s="767">
        <f t="shared" si="9"/>
        <v>0.67700127415807776</v>
      </c>
      <c r="Q26" s="767">
        <f t="shared" si="9"/>
        <v>0.67403574904241093</v>
      </c>
      <c r="R26" s="767">
        <f t="shared" si="9"/>
        <v>0.7259427923920152</v>
      </c>
      <c r="S26" s="767">
        <f t="shared" si="9"/>
        <v>0.39005165747671378</v>
      </c>
      <c r="T26" s="767">
        <f t="shared" si="9"/>
        <v>0.16190710201986747</v>
      </c>
    </row>
    <row r="27" spans="2:20" x14ac:dyDescent="0.2">
      <c r="N27" s="769" t="s">
        <v>177</v>
      </c>
      <c r="O27" s="767">
        <f>O21-O15</f>
        <v>-0.12589443651642124</v>
      </c>
      <c r="P27" s="767">
        <f>P21-P15</f>
        <v>-0.16763100855715679</v>
      </c>
      <c r="Q27" s="767">
        <f t="shared" ref="O27:T29" si="10">Q21-Q15</f>
        <v>-0.28808141462180198</v>
      </c>
      <c r="R27" s="767">
        <f>R21-R15</f>
        <v>-0.39594309476287226</v>
      </c>
      <c r="S27" s="767">
        <f>S21-S15</f>
        <v>-0.2900515195612865</v>
      </c>
      <c r="T27" s="767">
        <f t="shared" si="10"/>
        <v>-0.16190710201986747</v>
      </c>
    </row>
    <row r="28" spans="2:20" x14ac:dyDescent="0.2">
      <c r="N28" s="762" t="s">
        <v>313</v>
      </c>
      <c r="O28" s="767">
        <f t="shared" si="10"/>
        <v>0</v>
      </c>
      <c r="P28" s="767">
        <f t="shared" si="10"/>
        <v>0</v>
      </c>
      <c r="Q28" s="767">
        <f t="shared" si="10"/>
        <v>0</v>
      </c>
      <c r="R28" s="767">
        <f t="shared" si="10"/>
        <v>0</v>
      </c>
      <c r="S28" s="767">
        <f t="shared" si="10"/>
        <v>0</v>
      </c>
      <c r="T28" s="767">
        <f t="shared" si="10"/>
        <v>0</v>
      </c>
    </row>
    <row r="29" spans="2:20" ht="17.100000000000001" customHeight="1" x14ac:dyDescent="0.2">
      <c r="N29" s="769" t="s">
        <v>312</v>
      </c>
      <c r="O29" s="767">
        <f t="shared" si="10"/>
        <v>0</v>
      </c>
      <c r="P29" s="767">
        <f t="shared" si="10"/>
        <v>0.50937026560092091</v>
      </c>
      <c r="Q29" s="767">
        <f t="shared" si="10"/>
        <v>0.38595433442060911</v>
      </c>
      <c r="R29" s="767">
        <f t="shared" si="10"/>
        <v>0.32999969762914283</v>
      </c>
      <c r="S29" s="767">
        <f t="shared" si="10"/>
        <v>0.10000013791542728</v>
      </c>
      <c r="T29" s="767">
        <f t="shared" si="10"/>
        <v>0</v>
      </c>
    </row>
    <row r="30" spans="2:20" ht="17.100000000000001" customHeight="1" x14ac:dyDescent="0.2"/>
    <row r="31" spans="2:20" ht="17.100000000000001" customHeight="1" x14ac:dyDescent="0.2"/>
    <row r="32" spans="2:20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</sheetData>
  <mergeCells count="2">
    <mergeCell ref="B4:H4"/>
    <mergeCell ref="B19:H1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/>
  <dimension ref="B4:Q24"/>
  <sheetViews>
    <sheetView showGridLines="0" zoomScaleNormal="100" workbookViewId="0">
      <selection activeCell="M18" sqref="M18"/>
    </sheetView>
  </sheetViews>
  <sheetFormatPr defaultColWidth="8.85546875" defaultRowHeight="12.75" x14ac:dyDescent="0.2"/>
  <cols>
    <col min="1" max="1" width="10.140625" style="35" customWidth="1"/>
    <col min="2" max="2" width="11.28515625" style="35" customWidth="1"/>
    <col min="3" max="9" width="8.85546875" style="35"/>
    <col min="10" max="10" width="18.28515625" style="35" bestFit="1" customWidth="1"/>
    <col min="11" max="16" width="8.85546875" style="35"/>
    <col min="17" max="17" width="8.85546875" style="215"/>
    <col min="18" max="16384" width="8.85546875" style="35"/>
  </cols>
  <sheetData>
    <row r="4" spans="2:16" x14ac:dyDescent="0.2">
      <c r="B4" s="204" t="s">
        <v>213</v>
      </c>
      <c r="D4" s="207"/>
    </row>
    <row r="5" spans="2:16" x14ac:dyDescent="0.2">
      <c r="J5" s="44" t="s">
        <v>274</v>
      </c>
    </row>
    <row r="6" spans="2:16" x14ac:dyDescent="0.2">
      <c r="J6" s="55"/>
      <c r="K6" s="217" t="s">
        <v>108</v>
      </c>
      <c r="L6" s="217" t="s">
        <v>109</v>
      </c>
      <c r="M6" s="217" t="s">
        <v>365</v>
      </c>
      <c r="N6" s="217" t="s">
        <v>366</v>
      </c>
      <c r="O6" s="217" t="s">
        <v>367</v>
      </c>
      <c r="P6" s="217" t="s">
        <v>368</v>
      </c>
    </row>
    <row r="7" spans="2:16" x14ac:dyDescent="0.2">
      <c r="J7" s="44" t="s">
        <v>110</v>
      </c>
      <c r="K7" s="36">
        <v>3.3850588642698964</v>
      </c>
      <c r="L7" s="36">
        <v>3.8197692580437481</v>
      </c>
      <c r="M7" s="36">
        <v>2.9543581731657165</v>
      </c>
      <c r="N7" s="36">
        <v>3.0208655158135977</v>
      </c>
      <c r="O7" s="36">
        <v>3.0622814341214832</v>
      </c>
      <c r="P7" s="36">
        <v>3.2621852918929939</v>
      </c>
    </row>
    <row r="8" spans="2:16" x14ac:dyDescent="0.2">
      <c r="J8" s="44" t="s">
        <v>111</v>
      </c>
      <c r="K8" s="36">
        <v>1.4271813150431487</v>
      </c>
      <c r="L8" s="36">
        <v>1.6447119332406228</v>
      </c>
      <c r="M8" s="36">
        <v>1.2607976352488532</v>
      </c>
      <c r="N8" s="36">
        <v>1.658496169735318</v>
      </c>
      <c r="O8" s="36">
        <v>1.7899869189091322</v>
      </c>
      <c r="P8" s="36">
        <v>1.8322101249862586</v>
      </c>
    </row>
    <row r="9" spans="2:16" x14ac:dyDescent="0.2">
      <c r="J9" s="44" t="s">
        <v>112</v>
      </c>
      <c r="K9" s="36">
        <v>0.66134614323848773</v>
      </c>
      <c r="L9" s="36">
        <v>0.46366068356940615</v>
      </c>
      <c r="M9" s="36">
        <v>0.36149904440514713</v>
      </c>
      <c r="N9" s="36">
        <v>-0.22128408134133828</v>
      </c>
      <c r="O9" s="36">
        <v>-0.12971505249732251</v>
      </c>
      <c r="P9" s="36">
        <v>-1.9016424217414653E-2</v>
      </c>
    </row>
    <row r="10" spans="2:16" x14ac:dyDescent="0.2">
      <c r="J10" s="44" t="s">
        <v>113</v>
      </c>
      <c r="K10" s="36">
        <v>0.32920824541514926</v>
      </c>
      <c r="L10" s="36">
        <v>-0.24961152439997644</v>
      </c>
      <c r="M10" s="36">
        <v>-4.1275026546234583</v>
      </c>
      <c r="N10" s="36">
        <v>-4.2326448569124597</v>
      </c>
      <c r="O10" s="36">
        <v>0.16382495856640081</v>
      </c>
      <c r="P10" s="36">
        <v>-1.4255664446255356</v>
      </c>
    </row>
    <row r="11" spans="2:16" x14ac:dyDescent="0.2">
      <c r="J11" s="44" t="s">
        <v>114</v>
      </c>
      <c r="K11" s="36">
        <v>5.4147071755196743E-2</v>
      </c>
      <c r="L11" s="36">
        <v>2.2223630748748087</v>
      </c>
      <c r="M11" s="36">
        <v>3.3312970573981651</v>
      </c>
      <c r="N11" s="36">
        <v>1.9973931622506249</v>
      </c>
      <c r="O11" s="36">
        <v>0.96526661820175663</v>
      </c>
      <c r="P11" s="36">
        <v>0.32612354865166604</v>
      </c>
    </row>
    <row r="12" spans="2:16" x14ac:dyDescent="0.2">
      <c r="D12" s="207"/>
      <c r="J12" s="44" t="s">
        <v>369</v>
      </c>
      <c r="K12" s="36">
        <v>0.91317608881789225</v>
      </c>
      <c r="L12" s="36">
        <v>-0.26135490924112348</v>
      </c>
      <c r="M12" s="36">
        <v>2.1282670907369967</v>
      </c>
      <c r="N12" s="36">
        <v>3.8189051220814498</v>
      </c>
      <c r="O12" s="36">
        <v>0.27291799094151459</v>
      </c>
      <c r="P12" s="36">
        <v>2.5484344870980076</v>
      </c>
    </row>
    <row r="13" spans="2:16" x14ac:dyDescent="0.2">
      <c r="D13" s="207"/>
    </row>
    <row r="14" spans="2:16" x14ac:dyDescent="0.2">
      <c r="D14" s="207"/>
    </row>
    <row r="15" spans="2:16" x14ac:dyDescent="0.2">
      <c r="D15" s="207"/>
      <c r="J15" s="44" t="s">
        <v>275</v>
      </c>
    </row>
    <row r="16" spans="2:16" x14ac:dyDescent="0.2">
      <c r="D16" s="207"/>
      <c r="J16" s="55"/>
      <c r="K16" s="55">
        <v>2015</v>
      </c>
      <c r="L16" s="55">
        <v>2016</v>
      </c>
      <c r="M16" s="55">
        <v>2017</v>
      </c>
      <c r="N16" s="55">
        <v>2018</v>
      </c>
      <c r="O16" s="55">
        <v>2019</v>
      </c>
      <c r="P16" s="55">
        <v>2020</v>
      </c>
    </row>
    <row r="17" spans="2:16" x14ac:dyDescent="0.2">
      <c r="B17" s="44" t="s">
        <v>214</v>
      </c>
      <c r="D17" s="207"/>
      <c r="J17" s="44" t="s">
        <v>110</v>
      </c>
      <c r="K17" s="36">
        <v>3.8310847799018415</v>
      </c>
      <c r="L17" s="36">
        <v>3.2851497159134415</v>
      </c>
      <c r="M17" s="36">
        <v>3.3344437711642048</v>
      </c>
      <c r="N17" s="36">
        <v>4.1662564708083929</v>
      </c>
      <c r="O17" s="36">
        <v>4.3734515982513269</v>
      </c>
      <c r="P17" s="36">
        <v>3.8783375877819415</v>
      </c>
    </row>
    <row r="18" spans="2:16" x14ac:dyDescent="0.2">
      <c r="D18" s="207"/>
      <c r="J18" s="44" t="s">
        <v>111</v>
      </c>
      <c r="K18" s="36">
        <v>1.1418279136507206</v>
      </c>
      <c r="L18" s="36">
        <v>1.4973313752289328</v>
      </c>
      <c r="M18" s="36">
        <v>1.6969260112867839</v>
      </c>
      <c r="N18" s="36">
        <v>1.5069237040574042</v>
      </c>
      <c r="O18" s="36">
        <v>1.4621284211418559</v>
      </c>
      <c r="P18" s="36">
        <v>1.4522771471281917</v>
      </c>
    </row>
    <row r="19" spans="2:16" x14ac:dyDescent="0.2">
      <c r="D19" s="207"/>
      <c r="J19" s="44" t="s">
        <v>112</v>
      </c>
      <c r="K19" s="36">
        <v>1.0085796145021475</v>
      </c>
      <c r="L19" s="36">
        <v>0.30445221895657587</v>
      </c>
      <c r="M19" s="36">
        <v>6.7994716224466553E-2</v>
      </c>
      <c r="N19" s="36">
        <v>0.24226110588555969</v>
      </c>
      <c r="O19" s="36">
        <v>0.27843307346215374</v>
      </c>
      <c r="P19" s="36">
        <v>0.2660819984952752</v>
      </c>
    </row>
    <row r="20" spans="2:16" x14ac:dyDescent="0.2">
      <c r="D20" s="207"/>
      <c r="J20" s="44" t="s">
        <v>113</v>
      </c>
      <c r="K20" s="36">
        <v>3.5152992172789479</v>
      </c>
      <c r="L20" s="36">
        <v>-2.1713362661064233</v>
      </c>
      <c r="M20" s="36">
        <v>0.62130978281499127</v>
      </c>
      <c r="N20" s="36">
        <v>0.86570273065434622</v>
      </c>
      <c r="O20" s="36">
        <v>0.65788955402342764</v>
      </c>
      <c r="P20" s="36">
        <v>0.64873576758808871</v>
      </c>
    </row>
    <row r="21" spans="2:16" x14ac:dyDescent="0.2">
      <c r="D21" s="207"/>
      <c r="J21" s="44" t="s">
        <v>114</v>
      </c>
      <c r="K21" s="36">
        <v>-0.54725411155262427</v>
      </c>
      <c r="L21" s="36">
        <v>1.9599202463784198</v>
      </c>
      <c r="M21" s="36">
        <v>0.56899089853183471</v>
      </c>
      <c r="N21" s="36">
        <v>1.5798507834515263</v>
      </c>
      <c r="O21" s="36">
        <v>2.0302851366011407</v>
      </c>
      <c r="P21" s="36">
        <v>1.5220276648093201</v>
      </c>
    </row>
    <row r="22" spans="2:16" x14ac:dyDescent="0.2">
      <c r="J22" s="44" t="s">
        <v>115</v>
      </c>
      <c r="K22" s="36">
        <v>-1.2873678539773505</v>
      </c>
      <c r="L22" s="36">
        <v>1.6947821414559403</v>
      </c>
      <c r="M22" s="36">
        <v>0.37922236230611883</v>
      </c>
      <c r="N22" s="36">
        <v>-2.8481853240437345E-2</v>
      </c>
      <c r="O22" s="36">
        <v>-5.5284586977247391E-2</v>
      </c>
      <c r="P22" s="36">
        <v>-1.0784990238934014E-2</v>
      </c>
    </row>
    <row r="24" spans="2:16" x14ac:dyDescent="0.2">
      <c r="B24" s="204" t="s">
        <v>214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B4:Y33"/>
  <sheetViews>
    <sheetView showGridLines="0" zoomScaleNormal="100" workbookViewId="0">
      <selection activeCell="L24" sqref="L24"/>
    </sheetView>
  </sheetViews>
  <sheetFormatPr defaultColWidth="8.85546875" defaultRowHeight="12.75" x14ac:dyDescent="0.2"/>
  <cols>
    <col min="1" max="1" width="9.42578125" style="35" customWidth="1"/>
    <col min="2" max="2" width="8.85546875" style="35" customWidth="1"/>
    <col min="3" max="11" width="8.140625" style="35" customWidth="1"/>
    <col min="12" max="12" width="22.28515625" style="35" bestFit="1" customWidth="1"/>
    <col min="13" max="13" width="14.28515625" style="35" bestFit="1" customWidth="1"/>
    <col min="14" max="24" width="8.140625" style="35" customWidth="1"/>
    <col min="25" max="26" width="9" style="35" bestFit="1" customWidth="1"/>
    <col min="27" max="29" width="9.140625" style="35" bestFit="1" customWidth="1"/>
    <col min="30" max="38" width="9" style="35" bestFit="1" customWidth="1"/>
    <col min="39" max="41" width="9.140625" style="35" bestFit="1" customWidth="1"/>
    <col min="42" max="16384" width="8.85546875" style="35"/>
  </cols>
  <sheetData>
    <row r="4" spans="2:24" x14ac:dyDescent="0.2">
      <c r="B4" s="204" t="s">
        <v>211</v>
      </c>
      <c r="L4" s="44" t="s">
        <v>268</v>
      </c>
    </row>
    <row r="6" spans="2:24" x14ac:dyDescent="0.2">
      <c r="L6" s="44" t="s">
        <v>276</v>
      </c>
    </row>
    <row r="7" spans="2:24" x14ac:dyDescent="0.2">
      <c r="L7" s="218"/>
      <c r="M7" s="219">
        <v>2013</v>
      </c>
      <c r="N7" s="219">
        <v>2014</v>
      </c>
      <c r="O7" s="219">
        <v>2015</v>
      </c>
      <c r="P7" s="219">
        <v>2016</v>
      </c>
      <c r="Q7" s="219">
        <v>2017</v>
      </c>
      <c r="R7" s="219">
        <v>2018</v>
      </c>
      <c r="S7" s="219">
        <v>2019</v>
      </c>
      <c r="T7" s="219">
        <v>2020</v>
      </c>
    </row>
    <row r="8" spans="2:24" x14ac:dyDescent="0.2">
      <c r="L8" s="220" t="s">
        <v>99</v>
      </c>
      <c r="M8" s="221">
        <v>-0.77760944641082075</v>
      </c>
      <c r="N8" s="221">
        <v>1.4094189032186399</v>
      </c>
      <c r="O8" s="222">
        <v>1.9768355607293842</v>
      </c>
      <c r="P8" s="221">
        <v>2.3797834852236299</v>
      </c>
      <c r="Q8" s="221">
        <v>2.0405289566944651</v>
      </c>
      <c r="R8" s="221">
        <v>1.4020684466373279</v>
      </c>
      <c r="S8" s="221">
        <v>1.0012580045495989</v>
      </c>
      <c r="T8" s="221">
        <v>0.97507750678305083</v>
      </c>
    </row>
    <row r="9" spans="2:24" x14ac:dyDescent="0.2">
      <c r="L9" s="220" t="s">
        <v>100</v>
      </c>
      <c r="M9" s="223">
        <v>-4.2590136581495089E-2</v>
      </c>
      <c r="N9" s="223">
        <v>0.41227031028837008</v>
      </c>
      <c r="O9" s="224">
        <v>0.26804321257819697</v>
      </c>
      <c r="P9" s="223">
        <v>0.35927002682284803</v>
      </c>
      <c r="Q9" s="223">
        <v>0.12877914740592736</v>
      </c>
      <c r="R9" s="223">
        <v>9.7022331864354855E-2</v>
      </c>
      <c r="S9" s="223">
        <v>9.9871425835707933E-2</v>
      </c>
      <c r="T9" s="223">
        <v>7.2108547072144369E-2</v>
      </c>
      <c r="X9" s="207"/>
    </row>
    <row r="10" spans="2:24" x14ac:dyDescent="0.2">
      <c r="L10" s="220" t="s">
        <v>101</v>
      </c>
      <c r="M10" s="223">
        <v>-0.34577895424922156</v>
      </c>
      <c r="N10" s="223">
        <v>0.76131793302865658</v>
      </c>
      <c r="O10" s="224">
        <v>1.227583036494617</v>
      </c>
      <c r="P10" s="223">
        <v>1.0035741743736675</v>
      </c>
      <c r="Q10" s="223">
        <v>0.93482120933221846</v>
      </c>
      <c r="R10" s="223">
        <v>0.78383247795860678</v>
      </c>
      <c r="S10" s="223">
        <v>0.52629446638406263</v>
      </c>
      <c r="T10" s="223">
        <v>0.52517102098101776</v>
      </c>
    </row>
    <row r="11" spans="2:24" x14ac:dyDescent="0.2">
      <c r="E11" s="207"/>
      <c r="L11" s="220" t="s">
        <v>102</v>
      </c>
      <c r="M11" s="223">
        <v>-0.30682097331135011</v>
      </c>
      <c r="N11" s="223">
        <v>0.41523529924265357</v>
      </c>
      <c r="O11" s="224">
        <v>0.48377324236926972</v>
      </c>
      <c r="P11" s="223">
        <v>0.82510805669099763</v>
      </c>
      <c r="Q11" s="223">
        <v>0.91260408548031713</v>
      </c>
      <c r="R11" s="223">
        <v>0.43223627083158378</v>
      </c>
      <c r="S11" s="223">
        <v>0.33036304920468162</v>
      </c>
      <c r="T11" s="223">
        <v>0.31940227088246564</v>
      </c>
    </row>
    <row r="12" spans="2:24" x14ac:dyDescent="0.2">
      <c r="E12" s="207"/>
      <c r="L12" s="220" t="s">
        <v>103</v>
      </c>
      <c r="M12" s="223">
        <v>-0.2357619781647477</v>
      </c>
      <c r="N12" s="223">
        <v>-0.10956774566415919</v>
      </c>
      <c r="O12" s="224">
        <v>-4.4756334370752167E-2</v>
      </c>
      <c r="P12" s="223">
        <v>0.23554351666470524</v>
      </c>
      <c r="Q12" s="223">
        <v>0.11351067986931745</v>
      </c>
      <c r="R12" s="223">
        <v>0.11904831849677444</v>
      </c>
      <c r="S12" s="223">
        <v>8.5124642527987959E-2</v>
      </c>
      <c r="T12" s="223">
        <v>8.7063290298923457E-2</v>
      </c>
    </row>
    <row r="13" spans="2:24" x14ac:dyDescent="0.2">
      <c r="E13" s="207"/>
      <c r="L13" s="220" t="s">
        <v>364</v>
      </c>
      <c r="M13" s="223">
        <v>0.15334259589598118</v>
      </c>
      <c r="N13" s="223">
        <v>-6.9836893676864173E-2</v>
      </c>
      <c r="O13" s="224">
        <v>4.2192403658053879E-2</v>
      </c>
      <c r="P13" s="223">
        <v>-4.3712289328599517E-2</v>
      </c>
      <c r="Q13" s="223">
        <v>-4.9186165393319124E-2</v>
      </c>
      <c r="R13" s="223">
        <v>-3.007095251398522E-2</v>
      </c>
      <c r="S13" s="223">
        <v>-4.0395579402858317E-2</v>
      </c>
      <c r="T13" s="223">
        <v>-2.8667622451479642E-2</v>
      </c>
    </row>
    <row r="14" spans="2:24" x14ac:dyDescent="0.2">
      <c r="E14" s="207"/>
      <c r="L14" s="225"/>
    </row>
    <row r="15" spans="2:24" x14ac:dyDescent="0.2">
      <c r="E15" s="207"/>
      <c r="L15" s="220" t="s">
        <v>277</v>
      </c>
    </row>
    <row r="16" spans="2:24" x14ac:dyDescent="0.2">
      <c r="E16" s="207"/>
      <c r="L16" s="55"/>
      <c r="M16" s="226">
        <v>2015</v>
      </c>
      <c r="N16" s="226">
        <v>2016</v>
      </c>
      <c r="O16" s="226">
        <v>2017</v>
      </c>
      <c r="P16" s="226">
        <v>2018</v>
      </c>
      <c r="Q16" s="226">
        <v>2019</v>
      </c>
      <c r="R16" s="226">
        <v>2020</v>
      </c>
    </row>
    <row r="17" spans="2:25" x14ac:dyDescent="0.2">
      <c r="E17" s="207"/>
      <c r="K17" s="227"/>
      <c r="L17" s="44" t="s">
        <v>117</v>
      </c>
      <c r="M17" s="228">
        <v>-0.34381384224428935</v>
      </c>
      <c r="N17" s="228">
        <v>-0.48166666666665803</v>
      </c>
      <c r="O17" s="228">
        <f>SUM(O18:O21)</f>
        <v>1.2670925726675821</v>
      </c>
      <c r="P17" s="228">
        <f t="shared" ref="P17:R17" si="0">SUM(P18:P21)</f>
        <v>1.7385074110309244</v>
      </c>
      <c r="Q17" s="228">
        <f t="shared" si="0"/>
        <v>1.8993318035281346</v>
      </c>
      <c r="R17" s="228">
        <f t="shared" si="0"/>
        <v>2.1052828822099605</v>
      </c>
    </row>
    <row r="18" spans="2:25" x14ac:dyDescent="0.2">
      <c r="B18" s="44" t="s">
        <v>212</v>
      </c>
      <c r="E18" s="207"/>
      <c r="L18" s="44" t="s">
        <v>118</v>
      </c>
      <c r="M18" s="228">
        <f t="shared" ref="M18:R18" si="1">$Y$18*S18/100</f>
        <v>7.8157485447352168E-2</v>
      </c>
      <c r="N18" s="228">
        <f t="shared" si="1"/>
        <v>0.16919492251933388</v>
      </c>
      <c r="O18" s="228">
        <f t="shared" si="1"/>
        <v>0.99977982315449221</v>
      </c>
      <c r="P18" s="228">
        <f t="shared" si="1"/>
        <v>1.2828366040876906</v>
      </c>
      <c r="Q18" s="228">
        <f t="shared" si="1"/>
        <v>1.5079605139031997</v>
      </c>
      <c r="R18" s="228">
        <f t="shared" si="1"/>
        <v>1.6964555781410999</v>
      </c>
      <c r="S18" s="228">
        <v>0.12439182813090977</v>
      </c>
      <c r="T18" s="228">
        <v>0.26928278976969811</v>
      </c>
      <c r="U18" s="228">
        <v>1.5912031869853127</v>
      </c>
      <c r="V18" s="228">
        <v>2.0417032285820813</v>
      </c>
      <c r="W18" s="228">
        <v>2.4</v>
      </c>
      <c r="X18" s="229">
        <v>2.7</v>
      </c>
      <c r="Y18" s="36">
        <v>62.831688079299994</v>
      </c>
    </row>
    <row r="19" spans="2:25" x14ac:dyDescent="0.2">
      <c r="E19" s="207"/>
      <c r="L19" s="44" t="s">
        <v>119</v>
      </c>
      <c r="M19" s="228">
        <f t="shared" ref="M19:R19" si="2">$Y$19*S19/100</f>
        <v>-6.6929511343656045E-2</v>
      </c>
      <c r="N19" s="228">
        <f t="shared" si="2"/>
        <v>-0.13945876843896124</v>
      </c>
      <c r="O19" s="228">
        <f t="shared" si="2"/>
        <v>0.58602591149007399</v>
      </c>
      <c r="P19" s="228">
        <f t="shared" si="2"/>
        <v>0.24937650739524916</v>
      </c>
      <c r="Q19" s="228">
        <f t="shared" si="2"/>
        <v>0.30348405298417097</v>
      </c>
      <c r="R19" s="228">
        <f t="shared" si="2"/>
        <v>0.37094006742810115</v>
      </c>
      <c r="S19" s="228">
        <v>-0.39685293727955706</v>
      </c>
      <c r="T19" s="228">
        <v>-0.82690909844267413</v>
      </c>
      <c r="U19" s="228">
        <v>3.4747916072871421</v>
      </c>
      <c r="V19" s="228">
        <v>1.4786571343718968</v>
      </c>
      <c r="W19" s="228">
        <v>1.7994832985686937</v>
      </c>
      <c r="X19" s="229">
        <v>2.1994580919269202</v>
      </c>
      <c r="Y19" s="36">
        <v>16.865066390199996</v>
      </c>
    </row>
    <row r="20" spans="2:25" x14ac:dyDescent="0.2">
      <c r="E20" s="207"/>
      <c r="L20" s="44" t="s">
        <v>120</v>
      </c>
      <c r="M20" s="228">
        <f t="shared" ref="M20:R20" si="3">$Y$20*S20/100</f>
        <v>-0.32255705192231005</v>
      </c>
      <c r="N20" s="228">
        <f t="shared" si="3"/>
        <v>-0.24084408727310827</v>
      </c>
      <c r="O20" s="228">
        <f t="shared" si="3"/>
        <v>-0.38871316197698413</v>
      </c>
      <c r="P20" s="228">
        <f t="shared" si="3"/>
        <v>0.20629429954798456</v>
      </c>
      <c r="Q20" s="228">
        <f t="shared" si="3"/>
        <v>3.788723664076387E-2</v>
      </c>
      <c r="R20" s="228">
        <f t="shared" si="3"/>
        <v>3.788723664075936E-2</v>
      </c>
      <c r="S20" s="228">
        <v>-1.5886969964371334</v>
      </c>
      <c r="T20" s="228">
        <v>-1.1862344220351706</v>
      </c>
      <c r="U20" s="228">
        <v>-1.9145370694209962</v>
      </c>
      <c r="V20" s="228">
        <v>1.01606562969494</v>
      </c>
      <c r="W20" s="228">
        <v>0.18660679931121749</v>
      </c>
      <c r="X20" s="229">
        <v>0.18660679931119528</v>
      </c>
      <c r="Y20" s="36">
        <v>20.3032455305</v>
      </c>
    </row>
    <row r="21" spans="2:25" x14ac:dyDescent="0.2">
      <c r="E21" s="207"/>
      <c r="K21" s="227"/>
      <c r="L21" s="44" t="s">
        <v>121</v>
      </c>
      <c r="M21" s="230">
        <v>0</v>
      </c>
      <c r="N21" s="230">
        <v>-0.32</v>
      </c>
      <c r="O21" s="230">
        <v>7.0000000000000007E-2</v>
      </c>
      <c r="P21" s="230">
        <v>0</v>
      </c>
      <c r="Q21" s="230">
        <v>0.05</v>
      </c>
      <c r="R21" s="230">
        <v>0</v>
      </c>
    </row>
    <row r="22" spans="2:25" x14ac:dyDescent="0.2">
      <c r="E22" s="207"/>
    </row>
    <row r="23" spans="2:25" x14ac:dyDescent="0.2">
      <c r="E23" s="207"/>
    </row>
    <row r="24" spans="2:25" x14ac:dyDescent="0.2">
      <c r="E24" s="207"/>
    </row>
    <row r="25" spans="2:25" x14ac:dyDescent="0.2">
      <c r="B25" s="204" t="s">
        <v>212</v>
      </c>
      <c r="E25" s="207"/>
    </row>
    <row r="26" spans="2:25" x14ac:dyDescent="0.2">
      <c r="E26" s="207"/>
    </row>
    <row r="27" spans="2:25" x14ac:dyDescent="0.2">
      <c r="E27" s="207"/>
    </row>
    <row r="28" spans="2:25" x14ac:dyDescent="0.2">
      <c r="E28" s="207"/>
    </row>
    <row r="29" spans="2:25" x14ac:dyDescent="0.2">
      <c r="E29" s="207"/>
    </row>
    <row r="30" spans="2:25" x14ac:dyDescent="0.2">
      <c r="E30" s="207"/>
    </row>
    <row r="31" spans="2:25" x14ac:dyDescent="0.2">
      <c r="E31" s="207"/>
    </row>
    <row r="32" spans="2:25" x14ac:dyDescent="0.2">
      <c r="E32" s="207"/>
    </row>
    <row r="33" spans="5:5" x14ac:dyDescent="0.2">
      <c r="E33" s="207"/>
    </row>
  </sheetData>
  <dataConsolidate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/>
  <dimension ref="B4:AF33"/>
  <sheetViews>
    <sheetView showGridLines="0" zoomScaleNormal="100" workbookViewId="0">
      <selection activeCell="J24" sqref="J24"/>
    </sheetView>
  </sheetViews>
  <sheetFormatPr defaultColWidth="8.85546875" defaultRowHeight="12.75" x14ac:dyDescent="0.2"/>
  <cols>
    <col min="1" max="1" width="9.42578125" style="35" customWidth="1"/>
    <col min="2" max="11" width="8.85546875" style="35"/>
    <col min="12" max="12" width="28.140625" style="35" bestFit="1" customWidth="1"/>
    <col min="13" max="13" width="26.85546875" style="35" customWidth="1"/>
    <col min="14" max="16384" width="8.85546875" style="35"/>
  </cols>
  <sheetData>
    <row r="4" spans="2:32" ht="13.5" thickBot="1" x14ac:dyDescent="0.25">
      <c r="B4" s="204" t="s">
        <v>215</v>
      </c>
      <c r="L4" s="205" t="s">
        <v>268</v>
      </c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</row>
    <row r="5" spans="2:32" x14ac:dyDescent="0.2">
      <c r="B5" s="207"/>
      <c r="L5" s="44"/>
    </row>
    <row r="6" spans="2:32" x14ac:dyDescent="0.2">
      <c r="B6" s="207"/>
      <c r="L6" s="44" t="s">
        <v>278</v>
      </c>
    </row>
    <row r="7" spans="2:32" x14ac:dyDescent="0.2">
      <c r="L7" s="55"/>
      <c r="M7" s="55">
        <v>2001</v>
      </c>
      <c r="N7" s="55">
        <v>2002</v>
      </c>
      <c r="O7" s="55">
        <v>2003</v>
      </c>
      <c r="P7" s="55">
        <v>2004</v>
      </c>
      <c r="Q7" s="55">
        <v>2005</v>
      </c>
      <c r="R7" s="55">
        <v>2006</v>
      </c>
      <c r="S7" s="55">
        <v>2007</v>
      </c>
      <c r="T7" s="55">
        <v>2008</v>
      </c>
      <c r="U7" s="55">
        <v>2009</v>
      </c>
      <c r="V7" s="55">
        <v>2010</v>
      </c>
      <c r="W7" s="55">
        <v>2011</v>
      </c>
      <c r="X7" s="55">
        <v>2012</v>
      </c>
      <c r="Y7" s="55">
        <v>2013</v>
      </c>
      <c r="Z7" s="55">
        <v>2014</v>
      </c>
      <c r="AA7" s="55">
        <v>2015</v>
      </c>
      <c r="AB7" s="55">
        <v>2016</v>
      </c>
      <c r="AC7" s="55">
        <v>2017</v>
      </c>
      <c r="AD7" s="55">
        <v>2018</v>
      </c>
      <c r="AE7" s="55">
        <v>2019</v>
      </c>
      <c r="AF7" s="55">
        <v>2020</v>
      </c>
    </row>
    <row r="8" spans="2:32" x14ac:dyDescent="0.2">
      <c r="B8" s="207"/>
      <c r="L8" s="44" t="s">
        <v>389</v>
      </c>
      <c r="M8" s="36">
        <v>-3.6686223999999998</v>
      </c>
      <c r="N8" s="36">
        <v>-3.2566951</v>
      </c>
      <c r="O8" s="36">
        <v>-2.0267119</v>
      </c>
      <c r="P8" s="36">
        <v>-1.2396041</v>
      </c>
      <c r="Q8" s="36">
        <v>6.1910399999999997E-2</v>
      </c>
      <c r="R8" s="36">
        <v>2.5448879</v>
      </c>
      <c r="S8" s="36">
        <v>7.1261736000000004</v>
      </c>
      <c r="T8" s="36">
        <v>7.2695026</v>
      </c>
      <c r="U8" s="36">
        <v>-1.9903925</v>
      </c>
      <c r="V8" s="36">
        <v>-0.48357230000000001</v>
      </c>
      <c r="W8" s="36">
        <v>-1.1651898000000001</v>
      </c>
      <c r="X8" s="36">
        <v>-2.1016713</v>
      </c>
      <c r="Y8" s="36">
        <v>-2.8058998000000002</v>
      </c>
      <c r="Z8" s="36">
        <v>-2.2749334999999999</v>
      </c>
      <c r="AA8" s="36">
        <v>-1.2465624</v>
      </c>
      <c r="AB8" s="36">
        <v>-0.3455896</v>
      </c>
      <c r="AC8" s="36">
        <v>0.16022429999999999</v>
      </c>
      <c r="AD8" s="36">
        <v>0.83143469999999997</v>
      </c>
      <c r="AE8" s="36"/>
    </row>
    <row r="9" spans="2:32" x14ac:dyDescent="0.2">
      <c r="B9" s="207"/>
      <c r="L9" s="44" t="s">
        <v>388</v>
      </c>
      <c r="M9" s="36">
        <v>-1.3503859443255672</v>
      </c>
      <c r="N9" s="36">
        <v>-1.1251347827135303</v>
      </c>
      <c r="O9" s="36">
        <v>-0.66158016512855411</v>
      </c>
      <c r="P9" s="36">
        <v>-1.3264983456888684</v>
      </c>
      <c r="Q9" s="36">
        <v>-1.7628294460214422</v>
      </c>
      <c r="R9" s="36">
        <v>-1.1260288491925134</v>
      </c>
      <c r="S9" s="36">
        <v>2.1611949793378669</v>
      </c>
      <c r="T9" s="36">
        <v>2.4331977154343649</v>
      </c>
      <c r="U9" s="36">
        <v>-4.4903640946039252</v>
      </c>
      <c r="V9" s="36">
        <v>-1.0377285646708476</v>
      </c>
      <c r="W9" s="36">
        <v>-0.79757498961619122</v>
      </c>
      <c r="X9" s="36">
        <v>-1.1492135150198222</v>
      </c>
      <c r="Y9" s="36">
        <v>-1.9531714805497817</v>
      </c>
      <c r="Z9" s="36">
        <v>-1.5715085583752106</v>
      </c>
      <c r="AA9" s="36">
        <v>-0.75531757863283056</v>
      </c>
      <c r="AB9" s="36">
        <v>-0.20997029082948238</v>
      </c>
      <c r="AC9" s="36">
        <v>0.1538964153457161</v>
      </c>
      <c r="AD9" s="36">
        <v>0.76466660384759766</v>
      </c>
      <c r="AE9" s="36">
        <v>1.3475754184047233</v>
      </c>
      <c r="AF9" s="36">
        <v>1.3407115494943964</v>
      </c>
    </row>
    <row r="10" spans="2:32" x14ac:dyDescent="0.2">
      <c r="B10" s="207"/>
      <c r="L10" s="44" t="s">
        <v>390</v>
      </c>
      <c r="M10" s="36">
        <v>-3.6691919999999998</v>
      </c>
      <c r="N10" s="36">
        <v>-3.2583120000000001</v>
      </c>
      <c r="O10" s="36">
        <v>-2.029468</v>
      </c>
      <c r="P10" s="36">
        <v>-1.24343</v>
      </c>
      <c r="Q10" s="36">
        <v>5.7502999999999999E-2</v>
      </c>
      <c r="R10" s="36">
        <v>2.5412520000000001</v>
      </c>
      <c r="S10" s="36">
        <v>7.1261900000000002</v>
      </c>
      <c r="T10" s="36">
        <v>7.277997</v>
      </c>
      <c r="U10" s="36">
        <v>-1.969068</v>
      </c>
      <c r="V10" s="36">
        <v>-0.44147799999999998</v>
      </c>
      <c r="W10" s="36">
        <v>-1.097855</v>
      </c>
      <c r="X10" s="36">
        <v>-2.0098769999999999</v>
      </c>
      <c r="Y10" s="36">
        <v>-2.7016969999999998</v>
      </c>
      <c r="Z10" s="36">
        <v>-2.1894</v>
      </c>
      <c r="AA10" s="36">
        <v>-1.24312</v>
      </c>
      <c r="AB10" s="36">
        <v>-0.52944400000000003</v>
      </c>
      <c r="AC10" s="36">
        <v>-0.45072499999999999</v>
      </c>
      <c r="AD10" s="36">
        <v>9.4612000000000002E-2</v>
      </c>
      <c r="AE10" s="36">
        <v>0.84714500000000004</v>
      </c>
      <c r="AF10" s="36">
        <v>1.1838519999999999</v>
      </c>
    </row>
    <row r="11" spans="2:32" x14ac:dyDescent="0.2">
      <c r="B11" s="207"/>
    </row>
    <row r="12" spans="2:32" x14ac:dyDescent="0.2">
      <c r="B12" s="207"/>
    </row>
    <row r="13" spans="2:32" x14ac:dyDescent="0.2">
      <c r="B13" s="207"/>
      <c r="L13" s="232" t="s">
        <v>798</v>
      </c>
      <c r="M13" s="232"/>
      <c r="N13" s="232"/>
      <c r="O13" s="232"/>
    </row>
    <row r="14" spans="2:32" ht="13.5" thickBot="1" x14ac:dyDescent="0.25">
      <c r="B14" s="207"/>
      <c r="L14" s="117"/>
      <c r="M14" s="118">
        <v>2016</v>
      </c>
      <c r="N14" s="118">
        <v>2017</v>
      </c>
      <c r="O14" s="118">
        <v>2018</v>
      </c>
    </row>
    <row r="15" spans="2:32" ht="13.5" thickBot="1" x14ac:dyDescent="0.25">
      <c r="B15" s="207"/>
      <c r="L15" s="119" t="s">
        <v>656</v>
      </c>
      <c r="M15" s="119"/>
      <c r="N15" s="119"/>
      <c r="O15" s="119"/>
    </row>
    <row r="16" spans="2:32" x14ac:dyDescent="0.2">
      <c r="B16" s="207"/>
      <c r="L16" s="62" t="s">
        <v>657</v>
      </c>
      <c r="M16" s="120" t="s">
        <v>658</v>
      </c>
      <c r="N16" s="120" t="s">
        <v>659</v>
      </c>
      <c r="O16" s="120" t="s">
        <v>660</v>
      </c>
    </row>
    <row r="17" spans="2:15" x14ac:dyDescent="0.2">
      <c r="B17" s="207"/>
      <c r="L17" s="62" t="s">
        <v>661</v>
      </c>
      <c r="M17" s="120" t="s">
        <v>662</v>
      </c>
      <c r="N17" s="120" t="s">
        <v>659</v>
      </c>
      <c r="O17" s="120" t="s">
        <v>663</v>
      </c>
    </row>
    <row r="18" spans="2:15" ht="13.5" thickBot="1" x14ac:dyDescent="0.25">
      <c r="B18" s="207"/>
      <c r="L18" s="119" t="s">
        <v>664</v>
      </c>
      <c r="M18" s="121" t="s">
        <v>665</v>
      </c>
      <c r="N18" s="121" t="s">
        <v>665</v>
      </c>
      <c r="O18" s="121" t="s">
        <v>662</v>
      </c>
    </row>
    <row r="23" spans="2:15" x14ac:dyDescent="0.2">
      <c r="B23" s="204" t="s">
        <v>577</v>
      </c>
      <c r="C23" s="44"/>
      <c r="D23" s="44"/>
      <c r="E23" s="44"/>
      <c r="F23" s="44"/>
      <c r="G23" s="44"/>
      <c r="H23" s="44"/>
      <c r="I23" s="44"/>
      <c r="J23" s="44"/>
    </row>
    <row r="24" spans="2:15" ht="51.75" thickBot="1" x14ac:dyDescent="0.25">
      <c r="B24" s="233"/>
      <c r="C24" s="234" t="s">
        <v>387</v>
      </c>
      <c r="D24" s="234" t="s">
        <v>122</v>
      </c>
      <c r="E24" s="234" t="s">
        <v>1045</v>
      </c>
      <c r="F24" s="234" t="s">
        <v>123</v>
      </c>
      <c r="G24" s="234" t="s">
        <v>124</v>
      </c>
    </row>
    <row r="25" spans="2:15" x14ac:dyDescent="0.2">
      <c r="B25" s="235">
        <v>2012</v>
      </c>
      <c r="C25" s="236">
        <v>-1.1492135150198222</v>
      </c>
      <c r="D25" s="237">
        <v>2.3513396162237354</v>
      </c>
      <c r="E25" s="238">
        <v>1.3976905521890366</v>
      </c>
      <c r="F25" s="238">
        <v>0.80620908434713912</v>
      </c>
      <c r="G25" s="239">
        <v>0.14743997968755981</v>
      </c>
    </row>
    <row r="26" spans="2:15" x14ac:dyDescent="0.2">
      <c r="B26" s="235">
        <v>2013</v>
      </c>
      <c r="C26" s="236">
        <v>-1.9531714805497817</v>
      </c>
      <c r="D26" s="237">
        <v>2.0729465245515888</v>
      </c>
      <c r="E26" s="238">
        <v>1.4311620873222657</v>
      </c>
      <c r="F26" s="238">
        <v>0.55406952388935193</v>
      </c>
      <c r="G26" s="239">
        <v>8.7714913339971057E-2</v>
      </c>
    </row>
    <row r="27" spans="2:15" x14ac:dyDescent="0.2">
      <c r="B27" s="235">
        <v>2014</v>
      </c>
      <c r="C27" s="236">
        <v>-1.5715085583752106</v>
      </c>
      <c r="D27" s="237">
        <v>2.3502087470483435</v>
      </c>
      <c r="E27" s="238">
        <v>1.6905105274826557</v>
      </c>
      <c r="F27" s="238">
        <v>0.4672090966082636</v>
      </c>
      <c r="G27" s="239">
        <v>0.19248912295742412</v>
      </c>
    </row>
    <row r="28" spans="2:15" x14ac:dyDescent="0.2">
      <c r="B28" s="235">
        <v>2015</v>
      </c>
      <c r="C28" s="236">
        <v>-0.75531757863283056</v>
      </c>
      <c r="D28" s="237">
        <v>2.9574226698089179</v>
      </c>
      <c r="E28" s="238">
        <v>2.0294869006392515</v>
      </c>
      <c r="F28" s="238">
        <v>0.64992627276023207</v>
      </c>
      <c r="G28" s="239">
        <v>0.2780094964094344</v>
      </c>
    </row>
    <row r="29" spans="2:15" ht="13.5" thickBot="1" x14ac:dyDescent="0.25">
      <c r="B29" s="240" t="s">
        <v>125</v>
      </c>
      <c r="C29" s="22">
        <v>-0.20997029082948238</v>
      </c>
      <c r="D29" s="20">
        <v>2.8162884545488875</v>
      </c>
      <c r="E29" s="38">
        <v>1.806400125110085</v>
      </c>
      <c r="F29" s="38">
        <v>0.70466387507695594</v>
      </c>
      <c r="G29" s="241">
        <v>0.30522445436184664</v>
      </c>
    </row>
    <row r="30" spans="2:15" x14ac:dyDescent="0.2">
      <c r="B30" s="235" t="s">
        <v>126</v>
      </c>
      <c r="C30" s="236">
        <v>0.1538964153457161</v>
      </c>
      <c r="D30" s="237">
        <v>2.832899786867582</v>
      </c>
      <c r="E30" s="238">
        <v>2.0361454078111905</v>
      </c>
      <c r="F30" s="238">
        <v>0.53440670345777141</v>
      </c>
      <c r="G30" s="239">
        <v>0.26234767559862043</v>
      </c>
    </row>
    <row r="31" spans="2:15" x14ac:dyDescent="0.2">
      <c r="B31" s="235" t="s">
        <v>127</v>
      </c>
      <c r="C31" s="236">
        <v>0.76466660384759766</v>
      </c>
      <c r="D31" s="237">
        <v>3.5427452487154731</v>
      </c>
      <c r="E31" s="238">
        <v>2.6494684867799139</v>
      </c>
      <c r="F31" s="238">
        <v>0.68731793690974907</v>
      </c>
      <c r="G31" s="239">
        <v>0.20595882502581039</v>
      </c>
    </row>
    <row r="32" spans="2:15" x14ac:dyDescent="0.2">
      <c r="B32" s="235" t="s">
        <v>128</v>
      </c>
      <c r="C32" s="236">
        <v>1.3475754184047233</v>
      </c>
      <c r="D32" s="237">
        <v>3.7597936606560411</v>
      </c>
      <c r="E32" s="238">
        <v>2.7931376067206539</v>
      </c>
      <c r="F32" s="238">
        <v>0.77569481158930054</v>
      </c>
      <c r="G32" s="239">
        <v>0.19096124234608683</v>
      </c>
    </row>
    <row r="33" spans="2:7" x14ac:dyDescent="0.2">
      <c r="B33" s="235" t="s">
        <v>386</v>
      </c>
      <c r="C33" s="236">
        <v>1.3407115494943964</v>
      </c>
      <c r="D33" s="237">
        <v>3.8969740575839129</v>
      </c>
      <c r="E33" s="238">
        <v>2.8485387994211422</v>
      </c>
      <c r="F33" s="238">
        <v>0.86168302657427787</v>
      </c>
      <c r="G33" s="239">
        <v>0.18675223158849286</v>
      </c>
    </row>
  </sheetData>
  <pageMargins left="0.7" right="0.7" top="0.75" bottom="0.75" header="0.3" footer="0.3"/>
  <pageSetup paperSize="9" orientation="portrait" r:id="rId1"/>
  <ignoredErrors>
    <ignoredError sqref="M16:O1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1"/>
  <dimension ref="B3:S12"/>
  <sheetViews>
    <sheetView showGridLines="0" zoomScaleNormal="100" workbookViewId="0">
      <selection sqref="A1:XFD1048576"/>
    </sheetView>
  </sheetViews>
  <sheetFormatPr defaultColWidth="8.85546875" defaultRowHeight="12.75" x14ac:dyDescent="0.2"/>
  <cols>
    <col min="1" max="1" width="11.28515625" style="35" customWidth="1"/>
    <col min="2" max="12" width="8.85546875" style="35"/>
    <col min="13" max="13" width="17.7109375" style="35" customWidth="1"/>
    <col min="14" max="16384" width="8.85546875" style="35"/>
  </cols>
  <sheetData>
    <row r="3" spans="2:19" x14ac:dyDescent="0.2">
      <c r="C3" s="207"/>
    </row>
    <row r="4" spans="2:19" ht="13.5" thickBot="1" x14ac:dyDescent="0.25">
      <c r="B4" s="204" t="s">
        <v>264</v>
      </c>
      <c r="C4" s="207"/>
      <c r="M4" s="205" t="s">
        <v>268</v>
      </c>
      <c r="N4" s="117"/>
      <c r="O4" s="117"/>
      <c r="P4" s="117"/>
      <c r="Q4" s="117"/>
      <c r="R4" s="117"/>
      <c r="S4" s="117"/>
    </row>
    <row r="5" spans="2:19" x14ac:dyDescent="0.2">
      <c r="B5" s="44"/>
      <c r="C5" s="207"/>
    </row>
    <row r="6" spans="2:19" x14ac:dyDescent="0.2">
      <c r="B6" s="44"/>
      <c r="C6" s="207"/>
      <c r="M6" s="44" t="s">
        <v>354</v>
      </c>
    </row>
    <row r="7" spans="2:19" x14ac:dyDescent="0.2">
      <c r="B7" s="44"/>
      <c r="C7" s="207"/>
      <c r="M7" s="50"/>
      <c r="N7" s="50">
        <v>2015</v>
      </c>
      <c r="O7" s="50">
        <v>2016</v>
      </c>
      <c r="P7" s="50">
        <v>2017</v>
      </c>
      <c r="Q7" s="50">
        <v>2018</v>
      </c>
      <c r="R7" s="50">
        <v>2019</v>
      </c>
      <c r="S7" s="50">
        <v>2020</v>
      </c>
    </row>
    <row r="8" spans="2:19" x14ac:dyDescent="0.2">
      <c r="C8" s="207"/>
      <c r="M8" s="44" t="s">
        <v>129</v>
      </c>
      <c r="N8" s="36">
        <v>3.8711103254450485</v>
      </c>
      <c r="O8" s="36">
        <v>4.2858515933641455</v>
      </c>
      <c r="P8" s="36">
        <v>4.6929959688043565</v>
      </c>
      <c r="Q8" s="36">
        <v>4.8417720318990414</v>
      </c>
      <c r="R8" s="36">
        <v>4.9754385604037559</v>
      </c>
      <c r="S8" s="36">
        <v>4.4779603140622317</v>
      </c>
    </row>
    <row r="9" spans="2:19" x14ac:dyDescent="0.2">
      <c r="C9" s="207"/>
      <c r="M9" s="44" t="s">
        <v>130</v>
      </c>
      <c r="N9" s="36">
        <v>6.2580129369340654E-3</v>
      </c>
      <c r="O9" s="36">
        <v>0</v>
      </c>
      <c r="P9" s="36">
        <v>0.85726381852507583</v>
      </c>
      <c r="Q9" s="36">
        <v>1.0604216829944253</v>
      </c>
      <c r="R9" s="36">
        <v>0.84896604111774732</v>
      </c>
      <c r="S9" s="36">
        <v>1.2263285931566719</v>
      </c>
    </row>
    <row r="10" spans="2:19" x14ac:dyDescent="0.2">
      <c r="C10" s="207"/>
      <c r="M10" s="44" t="s">
        <v>132</v>
      </c>
      <c r="N10" s="36">
        <v>3.8773683383819826</v>
      </c>
      <c r="O10" s="36">
        <v>4.2858515933641455</v>
      </c>
      <c r="P10" s="36">
        <v>5.0911648632428887</v>
      </c>
      <c r="Q10" s="36">
        <v>5.3298465812829754</v>
      </c>
      <c r="R10" s="36">
        <v>5.3448342395595283</v>
      </c>
      <c r="S10" s="36">
        <v>5.4946612629658942</v>
      </c>
    </row>
    <row r="11" spans="2:19" x14ac:dyDescent="0.2">
      <c r="C11" s="207"/>
      <c r="M11" s="44" t="s">
        <v>131</v>
      </c>
      <c r="N11" s="36">
        <v>3.8773683383819826</v>
      </c>
      <c r="O11" s="36">
        <v>4.2858515933641455</v>
      </c>
      <c r="P11" s="36">
        <v>5.1965522597439753</v>
      </c>
      <c r="Q11" s="36">
        <v>5.3298465812829754</v>
      </c>
      <c r="R11" s="36">
        <v>5.3226581387836962</v>
      </c>
      <c r="S11" s="36">
        <v>5.2107882498605784</v>
      </c>
    </row>
    <row r="12" spans="2:19" x14ac:dyDescent="0.2">
      <c r="O12" s="44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5:P51"/>
  <sheetViews>
    <sheetView showGridLines="0" zoomScaleNormal="100" workbookViewId="0">
      <selection activeCell="H34" sqref="H34"/>
    </sheetView>
  </sheetViews>
  <sheetFormatPr defaultColWidth="9.140625" defaultRowHeight="12.75" x14ac:dyDescent="0.2"/>
  <cols>
    <col min="1" max="1" width="9.140625" style="242"/>
    <col min="2" max="2" width="7.85546875" style="242" customWidth="1"/>
    <col min="3" max="4" width="11.140625" style="242" customWidth="1"/>
    <col min="5" max="6" width="9.140625" style="242"/>
    <col min="7" max="7" width="51.5703125" style="242" customWidth="1"/>
    <col min="8" max="10" width="9.140625" style="242"/>
    <col min="11" max="11" width="53.42578125" style="242" bestFit="1" customWidth="1"/>
    <col min="12" max="12" width="10.85546875" style="242" bestFit="1" customWidth="1"/>
    <col min="13" max="13" width="12.140625" style="242" customWidth="1"/>
    <col min="14" max="16" width="9.28515625" style="242" bestFit="1" customWidth="1"/>
    <col min="17" max="17" width="28.5703125" style="242" bestFit="1" customWidth="1"/>
    <col min="18" max="16384" width="9.140625" style="242"/>
  </cols>
  <sheetData>
    <row r="5" spans="2:16" ht="13.5" thickBot="1" x14ac:dyDescent="0.25">
      <c r="B5" s="813" t="s">
        <v>355</v>
      </c>
      <c r="C5" s="813"/>
      <c r="D5" s="813"/>
      <c r="E5" s="813"/>
      <c r="F5" s="813"/>
      <c r="G5" s="813"/>
      <c r="K5" s="243" t="s">
        <v>268</v>
      </c>
      <c r="L5" s="244"/>
      <c r="M5" s="244"/>
      <c r="N5" s="244"/>
      <c r="O5" s="244"/>
      <c r="P5" s="244"/>
    </row>
    <row r="6" spans="2:16" ht="33" customHeight="1" x14ac:dyDescent="0.2">
      <c r="K6" s="348" t="s">
        <v>512</v>
      </c>
      <c r="L6" s="349" t="s">
        <v>154</v>
      </c>
      <c r="M6" s="349" t="s">
        <v>155</v>
      </c>
      <c r="N6" s="349" t="s">
        <v>156</v>
      </c>
      <c r="O6" s="349" t="s">
        <v>157</v>
      </c>
      <c r="P6" s="349" t="s">
        <v>158</v>
      </c>
    </row>
    <row r="7" spans="2:16" x14ac:dyDescent="0.2">
      <c r="B7" s="245"/>
      <c r="C7" s="246"/>
      <c r="K7" s="350" t="s">
        <v>513</v>
      </c>
      <c r="L7" s="351">
        <f>MMF_TABULKA!N89</f>
        <v>-1083.4889999999941</v>
      </c>
      <c r="M7" s="352">
        <f>L7</f>
        <v>-1083.4889999999941</v>
      </c>
      <c r="N7" s="353"/>
      <c r="O7" s="353"/>
      <c r="P7" s="353">
        <f>L7</f>
        <v>-1083.4889999999941</v>
      </c>
    </row>
    <row r="8" spans="2:16" x14ac:dyDescent="0.2">
      <c r="K8" s="354" t="s">
        <v>514</v>
      </c>
      <c r="L8" s="355">
        <v>468.128999999999</v>
      </c>
      <c r="M8" s="352">
        <f t="shared" ref="M8:M20" si="0">L8+M7</f>
        <v>-615.35999999999513</v>
      </c>
      <c r="N8" s="353">
        <f t="shared" ref="N8:N20" si="1">IF(AND(M7*L8&lt;0,ABS(L8)-ABS(M7)&gt;0),M7,0)</f>
        <v>0</v>
      </c>
      <c r="O8" s="353">
        <f t="shared" ref="O8:O20" si="2">IF(N8&lt;&gt;0,0,IF(M7*L8&gt;=0,M7,M7+L8))</f>
        <v>-615.35999999999513</v>
      </c>
      <c r="P8" s="353">
        <f t="shared" ref="P8:P20" si="3">IF(AND(M7&lt;&gt;0,N8=0),IF(M7+L8&lt;0,-1,IF(M7&lt;0,-1,1))*ABS(L8)+N8,IF(M7+L8&lt;0,-1,1)*ABS(L8)+N8)</f>
        <v>-468.128999999999</v>
      </c>
    </row>
    <row r="9" spans="2:16" x14ac:dyDescent="0.2">
      <c r="K9" s="354" t="s">
        <v>515</v>
      </c>
      <c r="L9" s="355">
        <v>404.07300000000009</v>
      </c>
      <c r="M9" s="352">
        <f t="shared" si="0"/>
        <v>-211.28699999999503</v>
      </c>
      <c r="N9" s="353">
        <f t="shared" si="1"/>
        <v>0</v>
      </c>
      <c r="O9" s="353">
        <f t="shared" si="2"/>
        <v>-211.28699999999503</v>
      </c>
      <c r="P9" s="353">
        <f t="shared" si="3"/>
        <v>-404.07300000000009</v>
      </c>
    </row>
    <row r="10" spans="2:16" x14ac:dyDescent="0.2">
      <c r="K10" s="354" t="s">
        <v>516</v>
      </c>
      <c r="L10" s="355">
        <v>139.54599999999994</v>
      </c>
      <c r="M10" s="352">
        <f t="shared" si="0"/>
        <v>-71.740999999995097</v>
      </c>
      <c r="N10" s="353">
        <f t="shared" si="1"/>
        <v>0</v>
      </c>
      <c r="O10" s="353">
        <f t="shared" si="2"/>
        <v>-71.740999999995097</v>
      </c>
      <c r="P10" s="353">
        <f t="shared" si="3"/>
        <v>-139.54599999999994</v>
      </c>
    </row>
    <row r="11" spans="2:16" x14ac:dyDescent="0.2">
      <c r="K11" s="354" t="s">
        <v>517</v>
      </c>
      <c r="L11" s="355">
        <v>128.60699999999997</v>
      </c>
      <c r="M11" s="352">
        <f t="shared" si="0"/>
        <v>56.866000000004874</v>
      </c>
      <c r="N11" s="353">
        <f t="shared" si="1"/>
        <v>-71.740999999995097</v>
      </c>
      <c r="O11" s="353">
        <f t="shared" si="2"/>
        <v>0</v>
      </c>
      <c r="P11" s="353">
        <f t="shared" si="3"/>
        <v>56.866000000004874</v>
      </c>
    </row>
    <row r="12" spans="2:16" x14ac:dyDescent="0.2">
      <c r="K12" s="354" t="s">
        <v>518</v>
      </c>
      <c r="L12" s="355">
        <v>17.107000000000198</v>
      </c>
      <c r="M12" s="352">
        <f t="shared" si="0"/>
        <v>73.973000000005072</v>
      </c>
      <c r="N12" s="353">
        <f t="shared" si="1"/>
        <v>0</v>
      </c>
      <c r="O12" s="353">
        <f t="shared" si="2"/>
        <v>56.866000000004874</v>
      </c>
      <c r="P12" s="353">
        <f t="shared" si="3"/>
        <v>17.107000000000198</v>
      </c>
    </row>
    <row r="13" spans="2:16" x14ac:dyDescent="0.2">
      <c r="K13" s="354" t="s">
        <v>519</v>
      </c>
      <c r="L13" s="355">
        <v>2.7039999999999509</v>
      </c>
      <c r="M13" s="352">
        <f t="shared" si="0"/>
        <v>76.677000000005023</v>
      </c>
      <c r="N13" s="353">
        <f t="shared" si="1"/>
        <v>0</v>
      </c>
      <c r="O13" s="353">
        <f t="shared" si="2"/>
        <v>73.973000000005072</v>
      </c>
      <c r="P13" s="353">
        <f t="shared" si="3"/>
        <v>2.7039999999999509</v>
      </c>
    </row>
    <row r="14" spans="2:16" x14ac:dyDescent="0.2">
      <c r="K14" s="354" t="s">
        <v>520</v>
      </c>
      <c r="L14" s="355">
        <v>-337.75078600000052</v>
      </c>
      <c r="M14" s="352">
        <f t="shared" si="0"/>
        <v>-261.07378599999549</v>
      </c>
      <c r="N14" s="353">
        <f t="shared" si="1"/>
        <v>76.677000000005023</v>
      </c>
      <c r="O14" s="353">
        <f t="shared" si="2"/>
        <v>0</v>
      </c>
      <c r="P14" s="353">
        <f t="shared" si="3"/>
        <v>-261.07378599999549</v>
      </c>
    </row>
    <row r="15" spans="2:16" x14ac:dyDescent="0.2">
      <c r="K15" s="354" t="s">
        <v>521</v>
      </c>
      <c r="L15" s="355">
        <v>-306.19000000000028</v>
      </c>
      <c r="M15" s="352">
        <f t="shared" si="0"/>
        <v>-567.26378599999578</v>
      </c>
      <c r="N15" s="353">
        <f t="shared" si="1"/>
        <v>0</v>
      </c>
      <c r="O15" s="353">
        <f t="shared" si="2"/>
        <v>-261.07378599999549</v>
      </c>
      <c r="P15" s="353">
        <f t="shared" si="3"/>
        <v>-306.19000000000028</v>
      </c>
    </row>
    <row r="16" spans="2:16" x14ac:dyDescent="0.2">
      <c r="K16" s="354" t="s">
        <v>522</v>
      </c>
      <c r="L16" s="355">
        <v>-280.67799999999988</v>
      </c>
      <c r="M16" s="352">
        <f t="shared" si="0"/>
        <v>-847.94178599999566</v>
      </c>
      <c r="N16" s="353">
        <f t="shared" si="1"/>
        <v>0</v>
      </c>
      <c r="O16" s="353">
        <f t="shared" si="2"/>
        <v>-567.26378599999578</v>
      </c>
      <c r="P16" s="353">
        <f t="shared" si="3"/>
        <v>-280.67799999999988</v>
      </c>
    </row>
    <row r="17" spans="11:16" x14ac:dyDescent="0.2">
      <c r="K17" s="354" t="s">
        <v>523</v>
      </c>
      <c r="L17" s="355">
        <v>-255.21900000000005</v>
      </c>
      <c r="M17" s="352">
        <f t="shared" si="0"/>
        <v>-1103.1607859999958</v>
      </c>
      <c r="N17" s="353">
        <f t="shared" si="1"/>
        <v>0</v>
      </c>
      <c r="O17" s="353">
        <f t="shared" si="2"/>
        <v>-847.94178599999566</v>
      </c>
      <c r="P17" s="353">
        <f t="shared" si="3"/>
        <v>-255.21900000000005</v>
      </c>
    </row>
    <row r="18" spans="11:16" x14ac:dyDescent="0.2">
      <c r="K18" s="354" t="s">
        <v>524</v>
      </c>
      <c r="L18" s="355">
        <v>-141.95899999999983</v>
      </c>
      <c r="M18" s="352">
        <f t="shared" si="0"/>
        <v>-1245.1197859999957</v>
      </c>
      <c r="N18" s="353">
        <f t="shared" si="1"/>
        <v>0</v>
      </c>
      <c r="O18" s="353">
        <f t="shared" si="2"/>
        <v>-1103.1607859999958</v>
      </c>
      <c r="P18" s="353">
        <f t="shared" si="3"/>
        <v>-141.95899999999983</v>
      </c>
    </row>
    <row r="19" spans="11:16" x14ac:dyDescent="0.2">
      <c r="K19" s="354" t="s">
        <v>525</v>
      </c>
      <c r="L19" s="355">
        <v>-109.13521399999991</v>
      </c>
      <c r="M19" s="352">
        <f t="shared" si="0"/>
        <v>-1354.2549999999956</v>
      </c>
      <c r="N19" s="353">
        <f t="shared" si="1"/>
        <v>0</v>
      </c>
      <c r="O19" s="353">
        <f t="shared" si="2"/>
        <v>-1245.1197859999957</v>
      </c>
      <c r="P19" s="353">
        <f t="shared" si="3"/>
        <v>-109.13521399999991</v>
      </c>
    </row>
    <row r="20" spans="11:16" x14ac:dyDescent="0.2">
      <c r="K20" s="354" t="s">
        <v>526</v>
      </c>
      <c r="L20" s="355">
        <v>-21.295000000000073</v>
      </c>
      <c r="M20" s="352">
        <f t="shared" si="0"/>
        <v>-1375.5499999999956</v>
      </c>
      <c r="N20" s="353">
        <f t="shared" si="1"/>
        <v>0</v>
      </c>
      <c r="O20" s="353">
        <f t="shared" si="2"/>
        <v>-1354.2549999999956</v>
      </c>
      <c r="P20" s="353">
        <f t="shared" si="3"/>
        <v>-21.295000000000073</v>
      </c>
    </row>
    <row r="21" spans="11:16" ht="13.5" thickBot="1" x14ac:dyDescent="0.25">
      <c r="K21" s="356" t="s">
        <v>527</v>
      </c>
      <c r="L21" s="357">
        <f>MMF_TABULKA!O89</f>
        <v>-1375.5500000000029</v>
      </c>
      <c r="M21" s="358">
        <f>M7+SUM(L8:L20)</f>
        <v>-1375.5499999999954</v>
      </c>
      <c r="N21" s="359"/>
      <c r="O21" s="359"/>
      <c r="P21" s="357">
        <f>M21</f>
        <v>-1375.5499999999954</v>
      </c>
    </row>
    <row r="50" spans="2:7" x14ac:dyDescent="0.2">
      <c r="B50" s="247"/>
      <c r="C50" s="247"/>
      <c r="D50" s="247"/>
      <c r="E50" s="247"/>
      <c r="F50" s="247"/>
      <c r="G50" s="247"/>
    </row>
    <row r="51" spans="2:7" x14ac:dyDescent="0.2">
      <c r="D51" s="248"/>
    </row>
  </sheetData>
  <mergeCells count="1">
    <mergeCell ref="B5:G5"/>
  </mergeCells>
  <pageMargins left="0.7" right="0.7" top="0.75" bottom="0.75" header="0.3" footer="0.3"/>
  <pageSetup paperSize="9" orientation="portrait" r:id="rId1"/>
  <ignoredErrors>
    <ignoredError sqref="M7:P2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32</vt:i4>
      </vt:variant>
    </vt:vector>
  </HeadingPairs>
  <TitlesOfParts>
    <vt:vector size="81" baseType="lpstr">
      <vt:lpstr>Obsah</vt:lpstr>
      <vt:lpstr>MMF_TABULKA</vt:lpstr>
      <vt:lpstr>Graf 1 + 2</vt:lpstr>
      <vt:lpstr>Graf 3 + 4</vt:lpstr>
      <vt:lpstr>Graf 5 + 6</vt:lpstr>
      <vt:lpstr>Graf 7 + 8</vt:lpstr>
      <vt:lpstr>Box 1_ Graf 9_ Tabuľka 1+2</vt:lpstr>
      <vt:lpstr>Graf 10</vt:lpstr>
      <vt:lpstr>Graf 11 </vt:lpstr>
      <vt:lpstr>Graf 12</vt:lpstr>
      <vt:lpstr>Tabuľka 3</vt:lpstr>
      <vt:lpstr>Tabuľka 4</vt:lpstr>
      <vt:lpstr>BOX 3 _ graf 13 + 14 _ Tab5</vt:lpstr>
      <vt:lpstr>Graf 15 + 16 + Tab 6</vt:lpstr>
      <vt:lpstr>Tabuľka 7 </vt:lpstr>
      <vt:lpstr>Tabuľka 8</vt:lpstr>
      <vt:lpstr>Graf 17</vt:lpstr>
      <vt:lpstr>Graf 18</vt:lpstr>
      <vt:lpstr>Box 5_Graf 19</vt:lpstr>
      <vt:lpstr>Box 6 _ Tab 9 + Graf 20</vt:lpstr>
      <vt:lpstr>Graf 21 + 22</vt:lpstr>
      <vt:lpstr>Graf 23 + 24</vt:lpstr>
      <vt:lpstr>Graf 25 + 26</vt:lpstr>
      <vt:lpstr>Graf 27 + 28</vt:lpstr>
      <vt:lpstr>Graf 29 + 30</vt:lpstr>
      <vt:lpstr>Graf 31 + 32</vt:lpstr>
      <vt:lpstr>Graf 33 + Tabuľka 10</vt:lpstr>
      <vt:lpstr>Graf 34</vt:lpstr>
      <vt:lpstr>Tabuľka 11</vt:lpstr>
      <vt:lpstr>Tabuľka 12</vt:lpstr>
      <vt:lpstr>Box 10_tabuľka 13</vt:lpstr>
      <vt:lpstr>Tabuľka 14</vt:lpstr>
      <vt:lpstr>Graf 35 + 36</vt:lpstr>
      <vt:lpstr>BOX 11_Tabuľka 15</vt:lpstr>
      <vt:lpstr>Box 11_Graf 37 + 38</vt:lpstr>
      <vt:lpstr>Graf 39</vt:lpstr>
      <vt:lpstr>Tabuľka 16</vt:lpstr>
      <vt:lpstr>Tabuľka 17</vt:lpstr>
      <vt:lpstr>Graf 40 + 41 + 42</vt:lpstr>
      <vt:lpstr>Tabuľka 18 </vt:lpstr>
      <vt:lpstr>Graf 43 + 44</vt:lpstr>
      <vt:lpstr>Graf 45 + 46</vt:lpstr>
      <vt:lpstr>Tabuľka 19</vt:lpstr>
      <vt:lpstr>Graf 47 + 48</vt:lpstr>
      <vt:lpstr>Graf 49 + 50</vt:lpstr>
      <vt:lpstr>Tabuľka 20 </vt:lpstr>
      <vt:lpstr>Tabuľka 21</vt:lpstr>
      <vt:lpstr>Tabuľka 22</vt:lpstr>
      <vt:lpstr>Graf 51 + 52</vt:lpstr>
      <vt:lpstr>'Graf 12'!_ftn1</vt:lpstr>
      <vt:lpstr>'Graf 12'!_ftnref1</vt:lpstr>
      <vt:lpstr>'Graf 40 + 41 + 42'!_Ref479595191</vt:lpstr>
      <vt:lpstr>'Tabuľka 17'!_Ref495057814</vt:lpstr>
      <vt:lpstr>'Graf 27 + 28'!_Toc463861271</vt:lpstr>
      <vt:lpstr>'Box 6 _ Tab 9 + Graf 20'!_Toc463997404</vt:lpstr>
      <vt:lpstr>'Graf 25 + 26'!_Toc480577936</vt:lpstr>
      <vt:lpstr>'Graf 29 + 30'!_Toc480577940</vt:lpstr>
      <vt:lpstr>'Graf 29 + 30'!_Toc480577941</vt:lpstr>
      <vt:lpstr>'Graf 45 + 46'!_Toc485220872</vt:lpstr>
      <vt:lpstr>'Graf 43 + 44'!_Toc485220874</vt:lpstr>
      <vt:lpstr>'Graf 43 + 44'!_Toc485220875</vt:lpstr>
      <vt:lpstr>'Graf 40 + 41 + 42'!_Toc487200864</vt:lpstr>
      <vt:lpstr>'Graf 47 + 48'!_Toc488075675</vt:lpstr>
      <vt:lpstr>'Graf 47 + 48'!_Toc488075676</vt:lpstr>
      <vt:lpstr>'Box 11_Graf 37 + 38'!_Toc495269647</vt:lpstr>
      <vt:lpstr>'Graf 15 + 16 + Tab 6'!_Toc495334756</vt:lpstr>
      <vt:lpstr>'Graf 12'!_Toc495395911</vt:lpstr>
      <vt:lpstr>'Box 6 _ Tab 9 + Graf 20'!_Toc495395920</vt:lpstr>
      <vt:lpstr>'Graf 39'!_Toc495395939</vt:lpstr>
      <vt:lpstr>'Graf 40 + 41 + 42'!_Toc495395940</vt:lpstr>
      <vt:lpstr>'Graf 40 + 41 + 42'!_Toc495395941</vt:lpstr>
      <vt:lpstr>'Graf 40 + 41 + 42'!_Toc495395942</vt:lpstr>
      <vt:lpstr>'Graf 49 + 50'!_Toc495395949</vt:lpstr>
      <vt:lpstr>'Graf 49 + 50'!_Toc495395950</vt:lpstr>
      <vt:lpstr>'Tabuľka 3'!_Toc495395955</vt:lpstr>
      <vt:lpstr>'Box 6 _ Tab 9 + Graf 20'!_Toc495395961</vt:lpstr>
      <vt:lpstr>'Tabuľka 16'!_Toc495395968</vt:lpstr>
      <vt:lpstr>'Tabuľka 18 '!_Toc495395970</vt:lpstr>
      <vt:lpstr>'Tabuľka 19'!_Toc495395971</vt:lpstr>
      <vt:lpstr>'Tabuľka 20 '!_Toc495395972</vt:lpstr>
      <vt:lpstr>'Graf 34'!_Toc495423424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2017-10-13T10:54:02Z</dcterms:modified>
</cp:coreProperties>
</file>