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charts/chart2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theme/themeOverride11.xml" ContentType="application/vnd.openxmlformats-officedocument.themeOverride+xml"/>
  <Override PartName="/xl/charts/chart28.xml" ContentType="application/vnd.openxmlformats-officedocument.drawingml.chart+xml"/>
  <Override PartName="/xl/theme/themeOverride12.xml" ContentType="application/vnd.openxmlformats-officedocument.themeOverride+xml"/>
  <Override PartName="/xl/charts/chart29.xml" ContentType="application/vnd.openxmlformats-officedocument.drawingml.chart+xml"/>
  <Override PartName="/xl/theme/themeOverride13.xml" ContentType="application/vnd.openxmlformats-officedocument.themeOverride+xml"/>
  <Override PartName="/xl/charts/chart30.xml" ContentType="application/vnd.openxmlformats-officedocument.drawingml.chart+xml"/>
  <Override PartName="/xl/theme/themeOverride14.xml" ContentType="application/vnd.openxmlformats-officedocument.themeOverrid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theme/themeOverride15.xml" ContentType="application/vnd.openxmlformats-officedocument.themeOverride+xml"/>
  <Override PartName="/xl/charts/chart34.xml" ContentType="application/vnd.openxmlformats-officedocument.drawingml.chart+xml"/>
  <Override PartName="/xl/theme/themeOverride16.xml" ContentType="application/vnd.openxmlformats-officedocument.themeOverrid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35.xml" ContentType="application/vnd.openxmlformats-officedocument.drawingml.chart+xml"/>
  <Override PartName="/xl/drawings/drawing16.xml" ContentType="application/vnd.openxmlformats-officedocument.drawingml.chartshapes+xml"/>
  <Override PartName="/xl/charts/chart36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3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theme/themeOverride17.xml" ContentType="application/vnd.openxmlformats-officedocument.themeOverride+xml"/>
  <Override PartName="/xl/charts/chart42.xml" ContentType="application/vnd.openxmlformats-officedocument.drawingml.chart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4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4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5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5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5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5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5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0.xml" ContentType="application/vnd.openxmlformats-officedocument.drawing+xml"/>
  <Override PartName="/xl/charts/chart5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57.xml" ContentType="application/vnd.openxmlformats-officedocument.drawingml.chart+xml"/>
  <Override PartName="/xl/theme/themeOverride19.xml" ContentType="application/vnd.openxmlformats-officedocument.themeOverride+xml"/>
  <Override PartName="/xl/charts/chart5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charts/chart5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60.xml" ContentType="application/vnd.openxmlformats-officedocument.drawingml.chart+xml"/>
  <Override PartName="/xl/theme/themeOverride20.xml" ContentType="application/vnd.openxmlformats-officedocument.themeOverride+xml"/>
  <Override PartName="/xl/charts/chart61.xml" ContentType="application/vnd.openxmlformats-officedocument.drawingml.chart+xml"/>
  <Override PartName="/xl/theme/themeOverride21.xml" ContentType="application/vnd.openxmlformats-officedocument.themeOverride+xml"/>
  <Override PartName="/xl/charts/chart62.xml" ContentType="application/vnd.openxmlformats-officedocument.drawingml.chart+xml"/>
  <Override PartName="/xl/theme/themeOverride22.xml" ContentType="application/vnd.openxmlformats-officedocument.themeOverride+xml"/>
  <Override PartName="/xl/charts/chart63.xml" ContentType="application/vnd.openxmlformats-officedocument.drawingml.chart+xml"/>
  <Override PartName="/xl/theme/themeOverride23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6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4.xml" ContentType="application/vnd.openxmlformats-officedocument.themeOverride+xml"/>
  <Override PartName="/xl/charts/chart6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5.xml" ContentType="application/vnd.openxmlformats-officedocument.themeOverride+xml"/>
  <Override PartName="/xl/charts/chart6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6.xml" ContentType="application/vnd.openxmlformats-officedocument.themeOverride+xml"/>
  <Override PartName="/xl/charts/chart6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7.xml" ContentType="application/vnd.openxmlformats-officedocument.themeOverride+xml"/>
  <Override PartName="/xl/drawings/drawing38.xml" ContentType="application/vnd.openxmlformats-officedocument.drawing+xml"/>
  <Override PartName="/xl/charts/chart68.xml" ContentType="application/vnd.openxmlformats-officedocument.drawingml.chart+xml"/>
  <Override PartName="/xl/theme/themeOverride28.xml" ContentType="application/vnd.openxmlformats-officedocument.themeOverride+xml"/>
  <Override PartName="/xl/charts/chart69.xml" ContentType="application/vnd.openxmlformats-officedocument.drawingml.chart+xml"/>
  <Override PartName="/xl/theme/themeOverride29.xml" ContentType="application/vnd.openxmlformats-officedocument.themeOverrid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ento_zošit"/>
  <bookViews>
    <workbookView xWindow="0" yWindow="0" windowWidth="28800" windowHeight="13932" tabRatio="792"/>
  </bookViews>
  <sheets>
    <sheet name="Obsah" sheetId="202" r:id="rId1"/>
    <sheet name="MMF_TABULKA" sheetId="193" r:id="rId2"/>
    <sheet name="ESA_porovnanie" sheetId="204" r:id="rId3"/>
    <sheet name="Graf 1+2" sheetId="16" r:id="rId4"/>
    <sheet name="Graf 3+4" sheetId="210" r:id="rId5"/>
    <sheet name="Graf 5" sheetId="211" r:id="rId6"/>
    <sheet name="Graf 6+7" sheetId="212" r:id="rId7"/>
    <sheet name="Graf 8+9" sheetId="213" r:id="rId8"/>
    <sheet name="Graf 10+Tabuľka 1" sheetId="214" r:id="rId9"/>
    <sheet name="Graf 11+12" sheetId="208" r:id="rId10"/>
    <sheet name="Graf 13 " sheetId="139" r:id="rId11"/>
    <sheet name="Graf 14" sheetId="181" r:id="rId12"/>
    <sheet name="Graf 15" sheetId="209" r:id="rId13"/>
    <sheet name="Graf 16" sheetId="221" r:id="rId14"/>
    <sheet name="Tabuľka 2 " sheetId="164" r:id="rId15"/>
    <sheet name="Graf 17" sheetId="155" r:id="rId16"/>
    <sheet name="Tab 3 + Graf 18" sheetId="165" r:id="rId17"/>
    <sheet name="Graf 19" sheetId="195" r:id="rId18"/>
    <sheet name="Graf 20" sheetId="31" r:id="rId19"/>
    <sheet name="Graf 21" sheetId="32" r:id="rId20"/>
    <sheet name="Graf 22 " sheetId="205" r:id="rId21"/>
    <sheet name="Graf 23" sheetId="201" r:id="rId22"/>
    <sheet name="Graf 24+25" sheetId="218" r:id="rId23"/>
    <sheet name="Tabuľka 4+5+6" sheetId="219" r:id="rId24"/>
    <sheet name="Tabuľka 7 " sheetId="106" r:id="rId25"/>
    <sheet name="Tabuľka 8+9" sheetId="123" r:id="rId26"/>
    <sheet name="Tabuľka 10+11" sheetId="222" r:id="rId27"/>
    <sheet name="Graf 26+27" sheetId="143" r:id="rId28"/>
    <sheet name="Graf 28" sheetId="166" r:id="rId29"/>
    <sheet name="Graf 29 " sheetId="168" r:id="rId30"/>
    <sheet name="Graf 30+31" sheetId="151" r:id="rId31"/>
    <sheet name="Tabuľka 12" sheetId="154" r:id="rId32"/>
    <sheet name="Tabuľka 13" sheetId="134" r:id="rId33"/>
    <sheet name="Tabuľka 14" sheetId="217" r:id="rId34"/>
    <sheet name="Tabuľka 15" sheetId="102" r:id="rId35"/>
    <sheet name="Graf 32+33" sheetId="158" r:id="rId36"/>
    <sheet name="Graf 34" sheetId="215" r:id="rId37"/>
    <sheet name="Tabuľka 17 " sheetId="223" r:id="rId38"/>
    <sheet name="Tabuľka 20" sheetId="196" r:id="rId39"/>
    <sheet name="DRM" sheetId="203" r:id="rId40"/>
    <sheet name="Tabuľka 23" sheetId="220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name="\A" localSheetId="20">#REF!</definedName>
    <definedName name="\A" localSheetId="28">#REF!</definedName>
    <definedName name="\A" localSheetId="29">#REF!</definedName>
    <definedName name="\A">#REF!</definedName>
    <definedName name="\B" localSheetId="20">#REF!</definedName>
    <definedName name="\B" localSheetId="28">#REF!</definedName>
    <definedName name="\B">#REF!</definedName>
    <definedName name="\C" localSheetId="20">#REF!</definedName>
    <definedName name="\C" localSheetId="28">#REF!</definedName>
    <definedName name="\C">#REF!</definedName>
    <definedName name="\D" localSheetId="20">#REF!</definedName>
    <definedName name="\D" localSheetId="28">#REF!</definedName>
    <definedName name="\D">#REF!</definedName>
    <definedName name="\E" localSheetId="20">#REF!</definedName>
    <definedName name="\E" localSheetId="28">#REF!</definedName>
    <definedName name="\E">#REF!</definedName>
    <definedName name="\F" localSheetId="20">#REF!</definedName>
    <definedName name="\F" localSheetId="28">#REF!</definedName>
    <definedName name="\F">#REF!</definedName>
    <definedName name="\G" localSheetId="20">#REF!</definedName>
    <definedName name="\G" localSheetId="28">#REF!</definedName>
    <definedName name="\G">#REF!</definedName>
    <definedName name="\H" localSheetId="20">#REF!</definedName>
    <definedName name="\H" localSheetId="28">#REF!</definedName>
    <definedName name="\H">#REF!</definedName>
    <definedName name="\I" localSheetId="20">#REF!</definedName>
    <definedName name="\I" localSheetId="28">#REF!</definedName>
    <definedName name="\I">#REF!</definedName>
    <definedName name="\J" localSheetId="20">#REF!</definedName>
    <definedName name="\J" localSheetId="28">#REF!</definedName>
    <definedName name="\J">#REF!</definedName>
    <definedName name="\K" localSheetId="20">#REF!</definedName>
    <definedName name="\K" localSheetId="28">#REF!</definedName>
    <definedName name="\K">#REF!</definedName>
    <definedName name="\L" localSheetId="20">#REF!</definedName>
    <definedName name="\L" localSheetId="28">#REF!</definedName>
    <definedName name="\L">#REF!</definedName>
    <definedName name="\M" localSheetId="20">#REF!</definedName>
    <definedName name="\M" localSheetId="28">#REF!</definedName>
    <definedName name="\M">#REF!</definedName>
    <definedName name="\N" localSheetId="20">#REF!</definedName>
    <definedName name="\N" localSheetId="28">#REF!</definedName>
    <definedName name="\N">#REF!</definedName>
    <definedName name="\O" localSheetId="20">#REF!</definedName>
    <definedName name="\O" localSheetId="28">#REF!</definedName>
    <definedName name="\O">#REF!</definedName>
    <definedName name="\P" localSheetId="20">#REF!</definedName>
    <definedName name="\P" localSheetId="28">#REF!</definedName>
    <definedName name="\P">#REF!</definedName>
    <definedName name="\Q" localSheetId="20">#REF!</definedName>
    <definedName name="\Q" localSheetId="28">#REF!</definedName>
    <definedName name="\Q">#REF!</definedName>
    <definedName name="\R" localSheetId="20">#REF!</definedName>
    <definedName name="\R" localSheetId="28">#REF!</definedName>
    <definedName name="\R">#REF!</definedName>
    <definedName name="\S" localSheetId="20">#REF!</definedName>
    <definedName name="\S" localSheetId="28">#REF!</definedName>
    <definedName name="\S">#REF!</definedName>
    <definedName name="\T" localSheetId="20">#REF!</definedName>
    <definedName name="\T" localSheetId="28">#REF!</definedName>
    <definedName name="\T">#REF!</definedName>
    <definedName name="\U" localSheetId="20">#REF!</definedName>
    <definedName name="\U" localSheetId="28">#REF!</definedName>
    <definedName name="\U">#REF!</definedName>
    <definedName name="\V" localSheetId="20">#REF!</definedName>
    <definedName name="\V" localSheetId="28">#REF!</definedName>
    <definedName name="\V">#REF!</definedName>
    <definedName name="\W" localSheetId="20">#REF!</definedName>
    <definedName name="\W" localSheetId="28">#REF!</definedName>
    <definedName name="\W">#REF!</definedName>
    <definedName name="\X" localSheetId="20">#REF!</definedName>
    <definedName name="\X" localSheetId="28">#REF!</definedName>
    <definedName name="\X">#REF!</definedName>
    <definedName name="\Y" localSheetId="20">#REF!</definedName>
    <definedName name="\Y" localSheetId="28">#REF!</definedName>
    <definedName name="\Y">#REF!</definedName>
    <definedName name="\Z" localSheetId="20">#REF!</definedName>
    <definedName name="\Z" localSheetId="28">#REF!</definedName>
    <definedName name="\Z">#REF!</definedName>
    <definedName name="_____BOP2" localSheetId="20">[1]BoP!#REF!</definedName>
    <definedName name="_____BOP2">[1]BoP!#REF!</definedName>
    <definedName name="_____dat1" localSheetId="20">'[2]work Q real'!#REF!</definedName>
    <definedName name="_____dat1">'[2]work Q real'!#REF!</definedName>
    <definedName name="_____EXP5" localSheetId="20">#REF!</definedName>
    <definedName name="_____EXP5">#REF!</definedName>
    <definedName name="_____EXP6" localSheetId="20">#REF!</definedName>
    <definedName name="_____EXP6">#REF!</definedName>
    <definedName name="_____EXP7" localSheetId="20">#REF!</definedName>
    <definedName name="_____EXP7">#REF!</definedName>
    <definedName name="_____EXP9" localSheetId="20">#REF!</definedName>
    <definedName name="_____EXP9">#REF!</definedName>
    <definedName name="_____IMP2" localSheetId="20">#REF!</definedName>
    <definedName name="_____IMP2">#REF!</definedName>
    <definedName name="_____IMP4" localSheetId="20">#REF!</definedName>
    <definedName name="_____IMP4">#REF!</definedName>
    <definedName name="_____IMP6" localSheetId="20">#REF!</definedName>
    <definedName name="_____IMP6">#REF!</definedName>
    <definedName name="_____IMP7" localSheetId="20">#REF!</definedName>
    <definedName name="_____IMP7">#REF!</definedName>
    <definedName name="_____MTS2" localSheetId="20">'[3]Annual Tables'!#REF!</definedName>
    <definedName name="_____MTS2">'[3]Annual Tables'!#REF!</definedName>
    <definedName name="_____PAG2" localSheetId="20">[3]Index!#REF!</definedName>
    <definedName name="_____PAG2">[3]Index!#REF!</definedName>
    <definedName name="_____PAG3" localSheetId="20">[3]Index!#REF!</definedName>
    <definedName name="_____PAG3">[3]Index!#REF!</definedName>
    <definedName name="_____PAG4" localSheetId="20">[3]Index!#REF!</definedName>
    <definedName name="_____PAG4">[3]Index!#REF!</definedName>
    <definedName name="_____PAG5" localSheetId="20">[3]Index!#REF!</definedName>
    <definedName name="_____PAG5">[3]Index!#REF!</definedName>
    <definedName name="_____PAG6" localSheetId="20">[3]Index!#REF!</definedName>
    <definedName name="_____PAG6">[3]Index!#REF!</definedName>
    <definedName name="_____RES2" localSheetId="20">[1]RES!#REF!</definedName>
    <definedName name="_____RES2">[1]RES!#REF!</definedName>
    <definedName name="_____TAB7" localSheetId="20">#REF!</definedName>
    <definedName name="_____TAB7">#REF!</definedName>
    <definedName name="____BOP1" localSheetId="20">#REF!</definedName>
    <definedName name="____BOP1">#REF!</definedName>
    <definedName name="____BOP2" localSheetId="20">[1]BoP!#REF!</definedName>
    <definedName name="____BOP2">[1]BoP!#REF!</definedName>
    <definedName name="____dat1" localSheetId="20">'[2]work Q real'!#REF!</definedName>
    <definedName name="____dat1">'[2]work Q real'!#REF!</definedName>
    <definedName name="____dat2" localSheetId="20">#REF!</definedName>
    <definedName name="____dat2">#REF!</definedName>
    <definedName name="____EXP5" localSheetId="20">#REF!</definedName>
    <definedName name="____EXP5">#REF!</definedName>
    <definedName name="____EXP6" localSheetId="20">#REF!</definedName>
    <definedName name="____EXP6">#REF!</definedName>
    <definedName name="____EXP7" localSheetId="20">#REF!</definedName>
    <definedName name="____EXP7">#REF!</definedName>
    <definedName name="____EXP9" localSheetId="20">#REF!</definedName>
    <definedName name="____EXP9">#REF!</definedName>
    <definedName name="____IMP10" localSheetId="20">#REF!</definedName>
    <definedName name="____IMP10">#REF!</definedName>
    <definedName name="____IMP2" localSheetId="20">#REF!</definedName>
    <definedName name="____IMP2">#REF!</definedName>
    <definedName name="____IMP4" localSheetId="20">#REF!</definedName>
    <definedName name="____IMP4">#REF!</definedName>
    <definedName name="____IMP6" localSheetId="20">#REF!</definedName>
    <definedName name="____IMP6">#REF!</definedName>
    <definedName name="____IMP7" localSheetId="20">#REF!</definedName>
    <definedName name="____IMP7">#REF!</definedName>
    <definedName name="____IMP8" localSheetId="20">#REF!</definedName>
    <definedName name="____IMP8">#REF!</definedName>
    <definedName name="____MTS2" localSheetId="20">'[3]Annual Tables'!#REF!</definedName>
    <definedName name="____MTS2">'[3]Annual Tables'!#REF!</definedName>
    <definedName name="____OUT1" localSheetId="20">#REF!</definedName>
    <definedName name="____OUT1">#REF!</definedName>
    <definedName name="____OUT2" localSheetId="20">#REF!</definedName>
    <definedName name="____OUT2">#REF!</definedName>
    <definedName name="____PAG2" localSheetId="20">[3]Index!#REF!</definedName>
    <definedName name="____PAG2">[3]Index!#REF!</definedName>
    <definedName name="____PAG3" localSheetId="20">[3]Index!#REF!</definedName>
    <definedName name="____PAG3">[3]Index!#REF!</definedName>
    <definedName name="____PAG4" localSheetId="20">[3]Index!#REF!</definedName>
    <definedName name="____PAG4">[3]Index!#REF!</definedName>
    <definedName name="____PAG5" localSheetId="20">[3]Index!#REF!</definedName>
    <definedName name="____PAG5">[3]Index!#REF!</definedName>
    <definedName name="____PAG6" localSheetId="20">[3]Index!#REF!</definedName>
    <definedName name="____PAG6">[3]Index!#REF!</definedName>
    <definedName name="____PAG7" localSheetId="20">#REF!</definedName>
    <definedName name="____PAG7">#REF!</definedName>
    <definedName name="____pro2001">[4]pro2001!$A$1:$B$72</definedName>
    <definedName name="____RES2" localSheetId="20">[1]RES!#REF!</definedName>
    <definedName name="____RES2">[1]RES!#REF!</definedName>
    <definedName name="____TAB1" localSheetId="20">#REF!</definedName>
    <definedName name="____TAB1">#REF!</definedName>
    <definedName name="____TAB10" localSheetId="20">#REF!</definedName>
    <definedName name="____TAB10">#REF!</definedName>
    <definedName name="____TAB12" localSheetId="20">#REF!</definedName>
    <definedName name="____TAB12">#REF!</definedName>
    <definedName name="____Tab19" localSheetId="20">#REF!</definedName>
    <definedName name="____Tab19">#REF!</definedName>
    <definedName name="____TAB2" localSheetId="20">#REF!</definedName>
    <definedName name="____TAB2">#REF!</definedName>
    <definedName name="____Tab20" localSheetId="20">#REF!</definedName>
    <definedName name="____Tab20">#REF!</definedName>
    <definedName name="____Tab21" localSheetId="20">#REF!</definedName>
    <definedName name="____Tab21">#REF!</definedName>
    <definedName name="____Tab22" localSheetId="20">#REF!</definedName>
    <definedName name="____Tab22">#REF!</definedName>
    <definedName name="____Tab23" localSheetId="20">#REF!</definedName>
    <definedName name="____Tab23">#REF!</definedName>
    <definedName name="____Tab24" localSheetId="20">#REF!</definedName>
    <definedName name="____Tab24">#REF!</definedName>
    <definedName name="____Tab26" localSheetId="20">#REF!</definedName>
    <definedName name="____Tab26">#REF!</definedName>
    <definedName name="____Tab27" localSheetId="20">#REF!</definedName>
    <definedName name="____Tab27">#REF!</definedName>
    <definedName name="____Tab28" localSheetId="20">#REF!</definedName>
    <definedName name="____Tab28">#REF!</definedName>
    <definedName name="____Tab29" localSheetId="20">#REF!</definedName>
    <definedName name="____Tab29">#REF!</definedName>
    <definedName name="____TAB3" localSheetId="20">#REF!</definedName>
    <definedName name="____TAB3">#REF!</definedName>
    <definedName name="____Tab30" localSheetId="20">#REF!</definedName>
    <definedName name="____Tab30">#REF!</definedName>
    <definedName name="____Tab31" localSheetId="20">#REF!</definedName>
    <definedName name="____Tab31">#REF!</definedName>
    <definedName name="____Tab32" localSheetId="20">#REF!</definedName>
    <definedName name="____Tab32">#REF!</definedName>
    <definedName name="____Tab33" localSheetId="20">#REF!</definedName>
    <definedName name="____Tab33">#REF!</definedName>
    <definedName name="____Tab34" localSheetId="20">#REF!</definedName>
    <definedName name="____Tab34">#REF!</definedName>
    <definedName name="____Tab35" localSheetId="20">#REF!</definedName>
    <definedName name="____Tab35">#REF!</definedName>
    <definedName name="____TAB4" localSheetId="20">#REF!</definedName>
    <definedName name="____TAB4">#REF!</definedName>
    <definedName name="____TAB5" localSheetId="20">#REF!</definedName>
    <definedName name="____TAB5">#REF!</definedName>
    <definedName name="____tab6" localSheetId="20">#REF!</definedName>
    <definedName name="____tab6">#REF!</definedName>
    <definedName name="____TAB7" localSheetId="20">#REF!</definedName>
    <definedName name="____TAB7">#REF!</definedName>
    <definedName name="____TAB8" localSheetId="20">#REF!</definedName>
    <definedName name="____TAB8">#REF!</definedName>
    <definedName name="____tab9" localSheetId="20">#REF!</definedName>
    <definedName name="____tab9">#REF!</definedName>
    <definedName name="____TB41" localSheetId="20">#REF!</definedName>
    <definedName name="____TB41">#REF!</definedName>
    <definedName name="____WEO1" localSheetId="20">#REF!</definedName>
    <definedName name="____WEO1">#REF!</definedName>
    <definedName name="____WEO2" localSheetId="20">#REF!</definedName>
    <definedName name="____WEO2">#REF!</definedName>
    <definedName name="___BOP1" localSheetId="20">#REF!</definedName>
    <definedName name="___BOP1">#REF!</definedName>
    <definedName name="___BOP2" localSheetId="20">[1]BoP!#REF!</definedName>
    <definedName name="___BOP2">[1]BoP!#REF!</definedName>
    <definedName name="___dat1" localSheetId="20">'[2]work Q real'!#REF!</definedName>
    <definedName name="___dat1">'[2]work Q real'!#REF!</definedName>
    <definedName name="___dat2" localSheetId="20">#REF!</definedName>
    <definedName name="___dat2">#REF!</definedName>
    <definedName name="___EXP5" localSheetId="20">#REF!</definedName>
    <definedName name="___EXP5">#REF!</definedName>
    <definedName name="___EXP6" localSheetId="20">#REF!</definedName>
    <definedName name="___EXP6">#REF!</definedName>
    <definedName name="___EXP7" localSheetId="20">#REF!</definedName>
    <definedName name="___EXP7">#REF!</definedName>
    <definedName name="___EXP9" localSheetId="20">#REF!</definedName>
    <definedName name="___EXP9">#REF!</definedName>
    <definedName name="___IMP10" localSheetId="20">#REF!</definedName>
    <definedName name="___IMP10">#REF!</definedName>
    <definedName name="___IMP2" localSheetId="20">#REF!</definedName>
    <definedName name="___IMP2">#REF!</definedName>
    <definedName name="___IMP4" localSheetId="20">#REF!</definedName>
    <definedName name="___IMP4">#REF!</definedName>
    <definedName name="___IMP6" localSheetId="20">#REF!</definedName>
    <definedName name="___IMP6">#REF!</definedName>
    <definedName name="___IMP7" localSheetId="20">#REF!</definedName>
    <definedName name="___IMP7">#REF!</definedName>
    <definedName name="___IMP8" localSheetId="20">#REF!</definedName>
    <definedName name="___IMP8">#REF!</definedName>
    <definedName name="___MTS2" localSheetId="20">'[3]Annual Tables'!#REF!</definedName>
    <definedName name="___MTS2">'[3]Annual Tables'!#REF!</definedName>
    <definedName name="___OUT1" localSheetId="20">#REF!</definedName>
    <definedName name="___OUT1">#REF!</definedName>
    <definedName name="___OUT2" localSheetId="20">#REF!</definedName>
    <definedName name="___OUT2">#REF!</definedName>
    <definedName name="___PAG2" localSheetId="20">[3]Index!#REF!</definedName>
    <definedName name="___PAG2">[3]Index!#REF!</definedName>
    <definedName name="___PAG3" localSheetId="20">[3]Index!#REF!</definedName>
    <definedName name="___PAG3">[3]Index!#REF!</definedName>
    <definedName name="___PAG4" localSheetId="20">[3]Index!#REF!</definedName>
    <definedName name="___PAG4">[3]Index!#REF!</definedName>
    <definedName name="___PAG5" localSheetId="20">[3]Index!#REF!</definedName>
    <definedName name="___PAG5">[3]Index!#REF!</definedName>
    <definedName name="___PAG6" localSheetId="20">[3]Index!#REF!</definedName>
    <definedName name="___PAG6">[3]Index!#REF!</definedName>
    <definedName name="___PAG7" localSheetId="20">#REF!</definedName>
    <definedName name="___PAG7">#REF!</definedName>
    <definedName name="___pro2001">[4]pro2001!$A$1:$B$72</definedName>
    <definedName name="___RES2" localSheetId="20">[1]RES!#REF!</definedName>
    <definedName name="___RES2">[1]RES!#REF!</definedName>
    <definedName name="___TAB1" localSheetId="20">#REF!</definedName>
    <definedName name="___TAB1">#REF!</definedName>
    <definedName name="___TAB10" localSheetId="20">#REF!</definedName>
    <definedName name="___TAB10">#REF!</definedName>
    <definedName name="___TAB12" localSheetId="20">#REF!</definedName>
    <definedName name="___TAB12">#REF!</definedName>
    <definedName name="___Tab19" localSheetId="20">#REF!</definedName>
    <definedName name="___Tab19">#REF!</definedName>
    <definedName name="___TAB2" localSheetId="20">#REF!</definedName>
    <definedName name="___TAB2">#REF!</definedName>
    <definedName name="___Tab20" localSheetId="20">#REF!</definedName>
    <definedName name="___Tab20">#REF!</definedName>
    <definedName name="___Tab21" localSheetId="20">#REF!</definedName>
    <definedName name="___Tab21">#REF!</definedName>
    <definedName name="___Tab22" localSheetId="20">#REF!</definedName>
    <definedName name="___Tab22">#REF!</definedName>
    <definedName name="___Tab23" localSheetId="20">#REF!</definedName>
    <definedName name="___Tab23">#REF!</definedName>
    <definedName name="___Tab24" localSheetId="20">#REF!</definedName>
    <definedName name="___Tab24">#REF!</definedName>
    <definedName name="___Tab26" localSheetId="20">#REF!</definedName>
    <definedName name="___Tab26">#REF!</definedName>
    <definedName name="___Tab27" localSheetId="20">#REF!</definedName>
    <definedName name="___Tab27">#REF!</definedName>
    <definedName name="___Tab28" localSheetId="20">#REF!</definedName>
    <definedName name="___Tab28">#REF!</definedName>
    <definedName name="___Tab29" localSheetId="20">#REF!</definedName>
    <definedName name="___Tab29">#REF!</definedName>
    <definedName name="___TAB3" localSheetId="20">#REF!</definedName>
    <definedName name="___TAB3">#REF!</definedName>
    <definedName name="___Tab30" localSheetId="20">#REF!</definedName>
    <definedName name="___Tab30">#REF!</definedName>
    <definedName name="___Tab31" localSheetId="20">#REF!</definedName>
    <definedName name="___Tab31">#REF!</definedName>
    <definedName name="___Tab32" localSheetId="20">#REF!</definedName>
    <definedName name="___Tab32">#REF!</definedName>
    <definedName name="___Tab33" localSheetId="20">#REF!</definedName>
    <definedName name="___Tab33">#REF!</definedName>
    <definedName name="___Tab34" localSheetId="20">#REF!</definedName>
    <definedName name="___Tab34">#REF!</definedName>
    <definedName name="___Tab35" localSheetId="20">#REF!</definedName>
    <definedName name="___Tab35">#REF!</definedName>
    <definedName name="___TAB4" localSheetId="20">#REF!</definedName>
    <definedName name="___TAB4">#REF!</definedName>
    <definedName name="___TAB5" localSheetId="20">#REF!</definedName>
    <definedName name="___TAB5">#REF!</definedName>
    <definedName name="___tab6" localSheetId="20">#REF!</definedName>
    <definedName name="___tab6">#REF!</definedName>
    <definedName name="___TAB7" localSheetId="20">#REF!</definedName>
    <definedName name="___TAB7">#REF!</definedName>
    <definedName name="___TAB8" localSheetId="20">#REF!</definedName>
    <definedName name="___TAB8">#REF!</definedName>
    <definedName name="___tab9" localSheetId="20">#REF!</definedName>
    <definedName name="___tab9">#REF!</definedName>
    <definedName name="___TB41" localSheetId="20">#REF!</definedName>
    <definedName name="___TB41">#REF!</definedName>
    <definedName name="___WEO1" localSheetId="20">#REF!</definedName>
    <definedName name="___WEO1">#REF!</definedName>
    <definedName name="___WEO2" localSheetId="20">#REF!</definedName>
    <definedName name="___WEO2">#REF!</definedName>
    <definedName name="__123Graph_A" localSheetId="20" hidden="1">#REF!</definedName>
    <definedName name="__123Graph_A" localSheetId="28" hidden="1">#REF!</definedName>
    <definedName name="__123Graph_A" localSheetId="35" hidden="1">#REF!</definedName>
    <definedName name="__123Graph_A" hidden="1">#REF!</definedName>
    <definedName name="__123Graph_AEXP" localSheetId="20" hidden="1">#REF!</definedName>
    <definedName name="__123Graph_AEXP" hidden="1">#REF!</definedName>
    <definedName name="__123Graph_ATEST1" localSheetId="11" hidden="1">[5]REER!$AZ$144:$AZ$210</definedName>
    <definedName name="__123Graph_ATEST1" localSheetId="28" hidden="1">[6]REER!$AZ$144:$AZ$210</definedName>
    <definedName name="__123Graph_ATEST1" hidden="1">[7]REER!$AZ$144:$AZ$210</definedName>
    <definedName name="__123Graph_B" localSheetId="10" hidden="1">#REF!</definedName>
    <definedName name="__123Graph_B" localSheetId="11" hidden="1">#REF!</definedName>
    <definedName name="__123Graph_B" localSheetId="20" hidden="1">#REF!</definedName>
    <definedName name="__123Graph_B" localSheetId="28" hidden="1">#REF!</definedName>
    <definedName name="__123Graph_B" localSheetId="35" hidden="1">#REF!</definedName>
    <definedName name="__123Graph_B" hidden="1">#REF!</definedName>
    <definedName name="__123Graph_BCurrent" localSheetId="10" hidden="1">[8]G!#REF!</definedName>
    <definedName name="__123Graph_BCurrent" localSheetId="11" hidden="1">[8]G!#REF!</definedName>
    <definedName name="__123Graph_BCurrent" localSheetId="20" hidden="1">[8]G!#REF!</definedName>
    <definedName name="__123Graph_BCurrent" localSheetId="28" hidden="1">[8]G!#REF!</definedName>
    <definedName name="__123Graph_BCurrent" localSheetId="35" hidden="1">[8]G!#REF!</definedName>
    <definedName name="__123Graph_BCurrent" hidden="1">[8]G!#REF!</definedName>
    <definedName name="__123Graph_BGDP" localSheetId="20" hidden="1">'[9]Quarterly Program'!#REF!</definedName>
    <definedName name="__123Graph_BGDP" hidden="1">'[9]Quarterly Program'!#REF!</definedName>
    <definedName name="__123Graph_BMONEY" localSheetId="20" hidden="1">'[9]Quarterly Program'!#REF!</definedName>
    <definedName name="__123Graph_BMONEY" hidden="1">'[9]Quarterly Program'!#REF!</definedName>
    <definedName name="__123Graph_BREER3" localSheetId="11" hidden="1">[5]REER!$BB$144:$BB$212</definedName>
    <definedName name="__123Graph_BREER3" localSheetId="28" hidden="1">[6]REER!$BB$144:$BB$212</definedName>
    <definedName name="__123Graph_BREER3" hidden="1">[7]REER!$BB$144:$BB$212</definedName>
    <definedName name="__123Graph_BTEST1" localSheetId="11" hidden="1">[5]REER!$AY$144:$AY$210</definedName>
    <definedName name="__123Graph_BTEST1" localSheetId="28" hidden="1">[6]REER!$AY$144:$AY$210</definedName>
    <definedName name="__123Graph_BTEST1" hidden="1">[7]REER!$AY$144:$AY$210</definedName>
    <definedName name="__123Graph_CREER3" localSheetId="11" hidden="1">[5]REER!$BB$144:$BB$212</definedName>
    <definedName name="__123Graph_CREER3" localSheetId="28" hidden="1">[6]REER!$BB$144:$BB$212</definedName>
    <definedName name="__123Graph_CREER3" hidden="1">[7]REER!$BB$144:$BB$212</definedName>
    <definedName name="__123Graph_CTEST1" localSheetId="11" hidden="1">[5]REER!$BK$140:$BK$140</definedName>
    <definedName name="__123Graph_CTEST1" localSheetId="28" hidden="1">[6]REER!$BK$140:$BK$140</definedName>
    <definedName name="__123Graph_CTEST1" hidden="1">[7]REER!$BK$140:$BK$140</definedName>
    <definedName name="__123Graph_DREER3" localSheetId="11" hidden="1">[5]REER!$BB$144:$BB$210</definedName>
    <definedName name="__123Graph_DREER3" localSheetId="28" hidden="1">[6]REER!$BB$144:$BB$210</definedName>
    <definedName name="__123Graph_DREER3" hidden="1">[7]REER!$BB$144:$BB$210</definedName>
    <definedName name="__123Graph_DTEST1" localSheetId="11" hidden="1">[5]REER!$BB$144:$BB$210</definedName>
    <definedName name="__123Graph_DTEST1" localSheetId="28" hidden="1">[6]REER!$BB$144:$BB$210</definedName>
    <definedName name="__123Graph_DTEST1" hidden="1">[7]REER!$BB$144:$BB$210</definedName>
    <definedName name="__123Graph_EREER3" localSheetId="11" hidden="1">[5]REER!$BR$144:$BR$211</definedName>
    <definedName name="__123Graph_EREER3" localSheetId="28" hidden="1">[6]REER!$BR$144:$BR$211</definedName>
    <definedName name="__123Graph_EREER3" hidden="1">[7]REER!$BR$144:$BR$211</definedName>
    <definedName name="__123Graph_ETEST1" localSheetId="11" hidden="1">[5]REER!$BR$144:$BR$211</definedName>
    <definedName name="__123Graph_ETEST1" localSheetId="28" hidden="1">[6]REER!$BR$144:$BR$211</definedName>
    <definedName name="__123Graph_ETEST1" hidden="1">[7]REER!$BR$144:$BR$211</definedName>
    <definedName name="__123Graph_FREER3" localSheetId="11" hidden="1">[5]REER!$BN$140:$BN$140</definedName>
    <definedName name="__123Graph_FREER3" localSheetId="28" hidden="1">[6]REER!$BN$140:$BN$140</definedName>
    <definedName name="__123Graph_FREER3" hidden="1">[7]REER!$BN$140:$BN$140</definedName>
    <definedName name="__123Graph_FTEST1" localSheetId="11" hidden="1">[5]REER!$BN$140:$BN$140</definedName>
    <definedName name="__123Graph_FTEST1" localSheetId="28" hidden="1">[6]REER!$BN$140:$BN$140</definedName>
    <definedName name="__123Graph_FTEST1" hidden="1">[7]REER!$BN$140:$BN$140</definedName>
    <definedName name="__123Graph_X" localSheetId="10" hidden="1">'[10]i2-KA'!#REF!</definedName>
    <definedName name="__123Graph_X" localSheetId="11" hidden="1">'[10]i2-KA'!#REF!</definedName>
    <definedName name="__123Graph_X" localSheetId="20" hidden="1">'[10]i2-KA'!#REF!</definedName>
    <definedName name="__123Graph_X" localSheetId="28" hidden="1">'[10]i2-KA'!#REF!</definedName>
    <definedName name="__123Graph_X" localSheetId="29" hidden="1">'[10]i2-KA'!#REF!</definedName>
    <definedName name="__123Graph_X" localSheetId="35" hidden="1">'[10]i2-KA'!#REF!</definedName>
    <definedName name="__123Graph_X" hidden="1">'[10]i2-KA'!#REF!</definedName>
    <definedName name="__123Graph_XCurrent" localSheetId="10" hidden="1">'[10]i2-KA'!#REF!</definedName>
    <definedName name="__123Graph_XCurrent" localSheetId="20" hidden="1">'[10]i2-KA'!#REF!</definedName>
    <definedName name="__123Graph_XCurrent" localSheetId="28" hidden="1">'[10]i2-KA'!#REF!</definedName>
    <definedName name="__123Graph_XCurrent" localSheetId="35" hidden="1">'[10]i2-KA'!#REF!</definedName>
    <definedName name="__123Graph_XCurrent" hidden="1">'[10]i2-KA'!#REF!</definedName>
    <definedName name="__123Graph_XEXP" localSheetId="20" hidden="1">[11]EdssGeeGAS!#REF!</definedName>
    <definedName name="__123Graph_XEXP" hidden="1">[11]EdssGeeGAS!#REF!</definedName>
    <definedName name="__123Graph_XChart1" localSheetId="20" hidden="1">'[10]i2-KA'!#REF!</definedName>
    <definedName name="__123Graph_XChart1" localSheetId="28" hidden="1">'[10]i2-KA'!#REF!</definedName>
    <definedName name="__123Graph_XChart1" localSheetId="35" hidden="1">'[10]i2-KA'!#REF!</definedName>
    <definedName name="__123Graph_XChart1" hidden="1">'[10]i2-KA'!#REF!</definedName>
    <definedName name="__123Graph_XChart2" localSheetId="20" hidden="1">'[10]i2-KA'!#REF!</definedName>
    <definedName name="__123Graph_XChart2" localSheetId="28" hidden="1">'[10]i2-KA'!#REF!</definedName>
    <definedName name="__123Graph_XChart2" localSheetId="35" hidden="1">'[10]i2-KA'!#REF!</definedName>
    <definedName name="__123Graph_XChart2" hidden="1">'[10]i2-KA'!#REF!</definedName>
    <definedName name="__123Graph_XTEST1" localSheetId="11" hidden="1">[5]REER!$C$9:$C$75</definedName>
    <definedName name="__123Graph_XTEST1" localSheetId="28" hidden="1">[6]REER!$C$9:$C$75</definedName>
    <definedName name="__123Graph_XTEST1" hidden="1">[7]REER!$C$9:$C$75</definedName>
    <definedName name="__BOP1" localSheetId="20">#REF!</definedName>
    <definedName name="__BOP1" localSheetId="28">#REF!</definedName>
    <definedName name="__BOP1" localSheetId="29">#REF!</definedName>
    <definedName name="__BOP1">#REF!</definedName>
    <definedName name="__BOP2" localSheetId="20">[1]BoP!#REF!</definedName>
    <definedName name="__BOP2" localSheetId="28">[1]BoP!#REF!</definedName>
    <definedName name="__BOP2">[1]BoP!#REF!</definedName>
    <definedName name="__dat1" localSheetId="20">'[2]work Q real'!#REF!</definedName>
    <definedName name="__dat1" localSheetId="28">'[2]work Q real'!#REF!</definedName>
    <definedName name="__dat1" localSheetId="29">'[2]work Q real'!#REF!</definedName>
    <definedName name="__dat1">'[2]work Q real'!#REF!</definedName>
    <definedName name="__dat2" localSheetId="20">#REF!</definedName>
    <definedName name="__dat2" localSheetId="28">#REF!</definedName>
    <definedName name="__dat2" localSheetId="29">#REF!</definedName>
    <definedName name="__dat2">#REF!</definedName>
    <definedName name="__EXP5" localSheetId="20">#REF!</definedName>
    <definedName name="__EXP5" localSheetId="28">#REF!</definedName>
    <definedName name="__EXP5" localSheetId="29">#REF!</definedName>
    <definedName name="__EXP5">#REF!</definedName>
    <definedName name="__EXP6" localSheetId="20">#REF!</definedName>
    <definedName name="__EXP6" localSheetId="28">#REF!</definedName>
    <definedName name="__EXP6" localSheetId="29">#REF!</definedName>
    <definedName name="__EXP6">#REF!</definedName>
    <definedName name="__EXP7" localSheetId="20">#REF!</definedName>
    <definedName name="__EXP7" localSheetId="28">#REF!</definedName>
    <definedName name="__EXP7">#REF!</definedName>
    <definedName name="__EXP9" localSheetId="20">#REF!</definedName>
    <definedName name="__EXP9" localSheetId="28">#REF!</definedName>
    <definedName name="__EXP9">#REF!</definedName>
    <definedName name="__IMP10" localSheetId="20">#REF!</definedName>
    <definedName name="__IMP10">#REF!</definedName>
    <definedName name="__IMP2" localSheetId="20">#REF!</definedName>
    <definedName name="__IMP2" localSheetId="28">#REF!</definedName>
    <definedName name="__IMP2">#REF!</definedName>
    <definedName name="__IMP4" localSheetId="20">#REF!</definedName>
    <definedName name="__IMP4" localSheetId="28">#REF!</definedName>
    <definedName name="__IMP4">#REF!</definedName>
    <definedName name="__IMP6" localSheetId="20">#REF!</definedName>
    <definedName name="__IMP6" localSheetId="28">#REF!</definedName>
    <definedName name="__IMP6">#REF!</definedName>
    <definedName name="__IMP7" localSheetId="20">#REF!</definedName>
    <definedName name="__IMP7" localSheetId="28">#REF!</definedName>
    <definedName name="__IMP7">#REF!</definedName>
    <definedName name="__IMP8" localSheetId="20">#REF!</definedName>
    <definedName name="__IMP8">#REF!</definedName>
    <definedName name="__MTS2" localSheetId="20">'[3]Annual Tables'!#REF!</definedName>
    <definedName name="__MTS2" localSheetId="28">'[3]Annual Tables'!#REF!</definedName>
    <definedName name="__MTS2">'[3]Annual Tables'!#REF!</definedName>
    <definedName name="__OUT1" localSheetId="20">#REF!</definedName>
    <definedName name="__OUT1" localSheetId="28">#REF!</definedName>
    <definedName name="__OUT1" localSheetId="29">#REF!</definedName>
    <definedName name="__OUT1">#REF!</definedName>
    <definedName name="__OUT2" localSheetId="20">#REF!</definedName>
    <definedName name="__OUT2" localSheetId="28">#REF!</definedName>
    <definedName name="__OUT2" localSheetId="29">#REF!</definedName>
    <definedName name="__OUT2">#REF!</definedName>
    <definedName name="__PAG2" localSheetId="20">[3]Index!#REF!</definedName>
    <definedName name="__PAG2" localSheetId="28">[3]Index!#REF!</definedName>
    <definedName name="__PAG2" localSheetId="29">[3]Index!#REF!</definedName>
    <definedName name="__PAG2">[3]Index!#REF!</definedName>
    <definedName name="__PAG3" localSheetId="20">[3]Index!#REF!</definedName>
    <definedName name="__PAG3" localSheetId="28">[3]Index!#REF!</definedName>
    <definedName name="__PAG3" localSheetId="29">[3]Index!#REF!</definedName>
    <definedName name="__PAG3">[3]Index!#REF!</definedName>
    <definedName name="__PAG4" localSheetId="20">[3]Index!#REF!</definedName>
    <definedName name="__PAG4" localSheetId="28">[3]Index!#REF!</definedName>
    <definedName name="__PAG4">[3]Index!#REF!</definedName>
    <definedName name="__PAG5" localSheetId="20">[3]Index!#REF!</definedName>
    <definedName name="__PAG5" localSheetId="28">[3]Index!#REF!</definedName>
    <definedName name="__PAG5">[3]Index!#REF!</definedName>
    <definedName name="__PAG6" localSheetId="20">[3]Index!#REF!</definedName>
    <definedName name="__PAG6" localSheetId="28">[3]Index!#REF!</definedName>
    <definedName name="__PAG6">[3]Index!#REF!</definedName>
    <definedName name="__PAG7" localSheetId="20">#REF!</definedName>
    <definedName name="__PAG7" localSheetId="28">#REF!</definedName>
    <definedName name="__PAG7" localSheetId="29">#REF!</definedName>
    <definedName name="__PAG7">#REF!</definedName>
    <definedName name="__pro2001">[12]pro2001!$A$1:$B$72</definedName>
    <definedName name="__RES2" localSheetId="8">[1]RES!#REF!</definedName>
    <definedName name="__RES2" localSheetId="20">[1]RES!#REF!</definedName>
    <definedName name="__RES2" localSheetId="22">[1]RES!#REF!</definedName>
    <definedName name="__RES2" localSheetId="28">[1]RES!#REF!</definedName>
    <definedName name="__RES2" localSheetId="29">[1]RES!#REF!</definedName>
    <definedName name="__RES2" localSheetId="4">[1]RES!#REF!</definedName>
    <definedName name="__RES2" localSheetId="36">[1]RES!#REF!</definedName>
    <definedName name="__RES2" localSheetId="5">[1]RES!#REF!</definedName>
    <definedName name="__RES2" localSheetId="6">[1]RES!#REF!</definedName>
    <definedName name="__RES2" localSheetId="7">[1]RES!#REF!</definedName>
    <definedName name="__RES2" localSheetId="33">[1]RES!#REF!</definedName>
    <definedName name="__RES2" localSheetId="23">[1]RES!#REF!</definedName>
    <definedName name="__RES2">[1]RES!#REF!</definedName>
    <definedName name="__TAB1" localSheetId="20">#REF!</definedName>
    <definedName name="__TAB1" localSheetId="28">#REF!</definedName>
    <definedName name="__TAB1" localSheetId="29">#REF!</definedName>
    <definedName name="__TAB1">#REF!</definedName>
    <definedName name="__TAB10" localSheetId="20">#REF!</definedName>
    <definedName name="__TAB10" localSheetId="28">#REF!</definedName>
    <definedName name="__TAB10" localSheetId="29">#REF!</definedName>
    <definedName name="__TAB10">#REF!</definedName>
    <definedName name="__TAB12" localSheetId="20">#REF!</definedName>
    <definedName name="__TAB12" localSheetId="28">#REF!</definedName>
    <definedName name="__TAB12" localSheetId="29">#REF!</definedName>
    <definedName name="__TAB12">#REF!</definedName>
    <definedName name="__Tab19" localSheetId="20">#REF!</definedName>
    <definedName name="__Tab19">#REF!</definedName>
    <definedName name="__TAB2" localSheetId="20">#REF!</definedName>
    <definedName name="__TAB2">#REF!</definedName>
    <definedName name="__Tab20" localSheetId="20">#REF!</definedName>
    <definedName name="__Tab20">#REF!</definedName>
    <definedName name="__Tab21" localSheetId="20">#REF!</definedName>
    <definedName name="__Tab21">#REF!</definedName>
    <definedName name="__Tab22" localSheetId="20">#REF!</definedName>
    <definedName name="__Tab22">#REF!</definedName>
    <definedName name="__Tab23" localSheetId="20">#REF!</definedName>
    <definedName name="__Tab23">#REF!</definedName>
    <definedName name="__Tab24" localSheetId="20">#REF!</definedName>
    <definedName name="__Tab24">#REF!</definedName>
    <definedName name="__Tab26" localSheetId="20">#REF!</definedName>
    <definedName name="__Tab26">#REF!</definedName>
    <definedName name="__Tab27" localSheetId="20">#REF!</definedName>
    <definedName name="__Tab27">#REF!</definedName>
    <definedName name="__Tab28" localSheetId="20">#REF!</definedName>
    <definedName name="__Tab28">#REF!</definedName>
    <definedName name="__Tab29" localSheetId="20">#REF!</definedName>
    <definedName name="__Tab29">#REF!</definedName>
    <definedName name="__TAB3" localSheetId="20">#REF!</definedName>
    <definedName name="__TAB3">#REF!</definedName>
    <definedName name="__Tab30" localSheetId="20">#REF!</definedName>
    <definedName name="__Tab30">#REF!</definedName>
    <definedName name="__Tab31" localSheetId="20">#REF!</definedName>
    <definedName name="__Tab31">#REF!</definedName>
    <definedName name="__Tab32" localSheetId="20">#REF!</definedName>
    <definedName name="__Tab32">#REF!</definedName>
    <definedName name="__Tab33" localSheetId="20">#REF!</definedName>
    <definedName name="__Tab33">#REF!</definedName>
    <definedName name="__Tab34" localSheetId="20">#REF!</definedName>
    <definedName name="__Tab34">#REF!</definedName>
    <definedName name="__Tab35" localSheetId="20">#REF!</definedName>
    <definedName name="__Tab35">#REF!</definedName>
    <definedName name="__TAB4" localSheetId="20">#REF!</definedName>
    <definedName name="__TAB4">#REF!</definedName>
    <definedName name="__TAB5" localSheetId="20">#REF!</definedName>
    <definedName name="__TAB5">#REF!</definedName>
    <definedName name="__tab6" localSheetId="20">#REF!</definedName>
    <definedName name="__tab6">#REF!</definedName>
    <definedName name="__TAB7" localSheetId="20">#REF!</definedName>
    <definedName name="__TAB7" localSheetId="28">#REF!</definedName>
    <definedName name="__TAB7">#REF!</definedName>
    <definedName name="__TAB8" localSheetId="20">#REF!</definedName>
    <definedName name="__TAB8">#REF!</definedName>
    <definedName name="__tab9" localSheetId="20">#REF!</definedName>
    <definedName name="__tab9">#REF!</definedName>
    <definedName name="__TB41" localSheetId="20">#REF!</definedName>
    <definedName name="__TB41">#REF!</definedName>
    <definedName name="__WEO1" localSheetId="20">#REF!</definedName>
    <definedName name="__WEO1">#REF!</definedName>
    <definedName name="__WEO2" localSheetId="20">#REF!</definedName>
    <definedName name="__WEO2">#REF!</definedName>
    <definedName name="_1_123Graph_A" localSheetId="20" hidden="1">#REF!</definedName>
    <definedName name="_1_123Graph_A" hidden="1">#REF!</definedName>
    <definedName name="_10__123Graph_ACHART_2" hidden="1">'[13]Employment Data Sectors (wages)'!$A$8173:$A$8184</definedName>
    <definedName name="_10__123Graph_ACHART_8" hidden="1">'[14]Employment Data Sectors (wages)'!$W$8175:$W$8186</definedName>
    <definedName name="_10__123Graph_BCHART_1" hidden="1">'[15]Employment Data Sectors (wages)'!$B$8173:$B$8184</definedName>
    <definedName name="_100__123Graph_BCHART_8" localSheetId="28" hidden="1">'[16]Employment Data Sectors (wages)'!$W$13:$W$8187</definedName>
    <definedName name="_100__123Graph_BCHART_8" hidden="1">'[17]Employment Data Sectors (wages)'!$W$13:$W$8187</definedName>
    <definedName name="_102__123Graph_CCHART_1" localSheetId="28" hidden="1">'[18]Employment Data Sectors (wages)'!$C$8173:$C$8184</definedName>
    <definedName name="_105__123Graph_CCHART_1" localSheetId="28" hidden="1">'[16]Employment Data Sectors (wages)'!$C$8173:$C$8184</definedName>
    <definedName name="_105__123Graph_CCHART_1" hidden="1">'[17]Employment Data Sectors (wages)'!$C$8173:$C$8184</definedName>
    <definedName name="_107__123Graph_CCHART_2" localSheetId="28" hidden="1">'[18]Employment Data Sectors (wages)'!$C$8173:$C$8184</definedName>
    <definedName name="_11__123Graph_BCHART_1" hidden="1">'[14]Employment Data Sectors (wages)'!$B$8173:$B$8184</definedName>
    <definedName name="_11__123Graph_BCHART_2" hidden="1">'[15]Employment Data Sectors (wages)'!$B$8173:$B$8184</definedName>
    <definedName name="_110__123Graph_CCHART_2" localSheetId="28" hidden="1">'[16]Employment Data Sectors (wages)'!$C$8173:$C$8184</definedName>
    <definedName name="_110__123Graph_CCHART_2" hidden="1">'[17]Employment Data Sectors (wages)'!$C$8173:$C$8184</definedName>
    <definedName name="_112__123Graph_CCHART_3" localSheetId="28" hidden="1">'[18]Employment Data Sectors (wages)'!$C$11:$C$8185</definedName>
    <definedName name="_115__123Graph_CCHART_3" localSheetId="28" hidden="1">'[16]Employment Data Sectors (wages)'!$C$11:$C$8185</definedName>
    <definedName name="_115__123Graph_CCHART_3" hidden="1">'[17]Employment Data Sectors (wages)'!$C$11:$C$8185</definedName>
    <definedName name="_117__123Graph_CCHART_4" localSheetId="28" hidden="1">'[18]Employment Data Sectors (wages)'!$C$12:$C$23</definedName>
    <definedName name="_12__123Graph_ACHART_3" hidden="1">'[13]Employment Data Sectors (wages)'!$A$11:$A$8185</definedName>
    <definedName name="_12__123Graph_BCHART_2" hidden="1">'[14]Employment Data Sectors (wages)'!$B$8173:$B$8184</definedName>
    <definedName name="_12__123Graph_BCHART_3" hidden="1">'[15]Employment Data Sectors (wages)'!$B$11:$B$8185</definedName>
    <definedName name="_120__123Graph_CCHART_4" localSheetId="28" hidden="1">'[16]Employment Data Sectors (wages)'!$C$12:$C$23</definedName>
    <definedName name="_120__123Graph_CCHART_4" hidden="1">'[17]Employment Data Sectors (wages)'!$C$12:$C$23</definedName>
    <definedName name="_122__123Graph_CCHART_5" localSheetId="28" hidden="1">'[18]Employment Data Sectors (wages)'!$C$24:$C$35</definedName>
    <definedName name="_123Graph_AB" localSheetId="10" hidden="1">#REF!</definedName>
    <definedName name="_123Graph_AB" localSheetId="11" hidden="1">#REF!</definedName>
    <definedName name="_123Graph_AB" localSheetId="20" hidden="1">#REF!</definedName>
    <definedName name="_123Graph_AB" localSheetId="28" hidden="1">#REF!</definedName>
    <definedName name="_123Graph_AB" localSheetId="35" hidden="1">#REF!</definedName>
    <definedName name="_123Graph_AB" hidden="1">#REF!</definedName>
    <definedName name="_123Graph_B" localSheetId="20" hidden="1">#REF!</definedName>
    <definedName name="_123Graph_B" localSheetId="28" hidden="1">#REF!</definedName>
    <definedName name="_123Graph_B" localSheetId="35" hidden="1">#REF!</definedName>
    <definedName name="_123Graph_B" hidden="1">#REF!</definedName>
    <definedName name="_123Graph_DB" localSheetId="20" hidden="1">#REF!</definedName>
    <definedName name="_123Graph_DB" localSheetId="28" hidden="1">#REF!</definedName>
    <definedName name="_123Graph_DB" localSheetId="35" hidden="1">#REF!</definedName>
    <definedName name="_123Graph_DB" hidden="1">#REF!</definedName>
    <definedName name="_123Graph_EB" localSheetId="20" hidden="1">#REF!</definedName>
    <definedName name="_123Graph_EB" localSheetId="28" hidden="1">#REF!</definedName>
    <definedName name="_123Graph_EB" localSheetId="35" hidden="1">#REF!</definedName>
    <definedName name="_123Graph_EB" hidden="1">#REF!</definedName>
    <definedName name="_123Graph_FB" localSheetId="20" hidden="1">#REF!</definedName>
    <definedName name="_123Graph_FB" localSheetId="28" hidden="1">#REF!</definedName>
    <definedName name="_123Graph_FB" localSheetId="35" hidden="1">#REF!</definedName>
    <definedName name="_123Graph_FB" hidden="1">#REF!</definedName>
    <definedName name="_125__123Graph_CCHART_5" localSheetId="28" hidden="1">'[16]Employment Data Sectors (wages)'!$C$24:$C$35</definedName>
    <definedName name="_125__123Graph_CCHART_5" hidden="1">'[17]Employment Data Sectors (wages)'!$C$24:$C$35</definedName>
    <definedName name="_127__123Graph_CCHART_6" localSheetId="28" hidden="1">'[18]Employment Data Sectors (wages)'!$U$49:$U$8103</definedName>
    <definedName name="_13__123Graph_BCHART_3" hidden="1">'[14]Employment Data Sectors (wages)'!$B$11:$B$8185</definedName>
    <definedName name="_13__123Graph_BCHART_4" hidden="1">'[15]Employment Data Sectors (wages)'!$B$12:$B$23</definedName>
    <definedName name="_130__123Graph_CCHART_6" localSheetId="28" hidden="1">'[16]Employment Data Sectors (wages)'!$U$49:$U$8103</definedName>
    <definedName name="_130__123Graph_CCHART_6" hidden="1">'[17]Employment Data Sectors (wages)'!$U$49:$U$8103</definedName>
    <definedName name="_132__123Graph_CCHART_7" localSheetId="28" hidden="1">'[18]Employment Data Sectors (wages)'!$Y$14:$Y$25</definedName>
    <definedName name="_132Graph_CB" localSheetId="10" hidden="1">#REF!</definedName>
    <definedName name="_132Graph_CB" localSheetId="20" hidden="1">#REF!</definedName>
    <definedName name="_132Graph_CB" localSheetId="28" hidden="1">#REF!</definedName>
    <definedName name="_132Graph_CB" localSheetId="35" hidden="1">#REF!</definedName>
    <definedName name="_132Graph_CB" hidden="1">#REF!</definedName>
    <definedName name="_135__123Graph_CCHART_7" localSheetId="28" hidden="1">'[16]Employment Data Sectors (wages)'!$Y$14:$Y$25</definedName>
    <definedName name="_135__123Graph_CCHART_7" hidden="1">'[17]Employment Data Sectors (wages)'!$Y$14:$Y$25</definedName>
    <definedName name="_137__123Graph_CCHART_8" localSheetId="28" hidden="1">'[18]Employment Data Sectors (wages)'!$W$14:$W$25</definedName>
    <definedName name="_14__123Graph_ACHART_4" hidden="1">'[13]Employment Data Sectors (wages)'!$A$12:$A$23</definedName>
    <definedName name="_14__123Graph_BCHART_4" hidden="1">'[14]Employment Data Sectors (wages)'!$B$12:$B$23</definedName>
    <definedName name="_14__123Graph_BCHART_5" hidden="1">'[15]Employment Data Sectors (wages)'!$B$24:$B$35</definedName>
    <definedName name="_140__123Graph_CCHART_8" localSheetId="28" hidden="1">'[16]Employment Data Sectors (wages)'!$W$14:$W$25</definedName>
    <definedName name="_140__123Graph_CCHART_8" hidden="1">'[17]Employment Data Sectors (wages)'!$W$14:$W$25</definedName>
    <definedName name="_142__123Graph_DCHART_7" localSheetId="28" hidden="1">'[18]Employment Data Sectors (wages)'!$Y$26:$Y$37</definedName>
    <definedName name="_145__123Graph_DCHART_7" localSheetId="28" hidden="1">'[16]Employment Data Sectors (wages)'!$Y$26:$Y$37</definedName>
    <definedName name="_145__123Graph_DCHART_7" hidden="1">'[17]Employment Data Sectors (wages)'!$Y$26:$Y$37</definedName>
    <definedName name="_147__123Graph_DCHART_8" localSheetId="28" hidden="1">'[18]Employment Data Sectors (wages)'!$W$26:$W$37</definedName>
    <definedName name="_15__123Graph_BCHART_5" hidden="1">'[14]Employment Data Sectors (wages)'!$B$24:$B$35</definedName>
    <definedName name="_15__123Graph_BCHART_6" hidden="1">'[15]Employment Data Sectors (wages)'!$AS$49:$AS$8103</definedName>
    <definedName name="_150__123Graph_DCHART_8" localSheetId="28" hidden="1">'[16]Employment Data Sectors (wages)'!$W$26:$W$37</definedName>
    <definedName name="_150__123Graph_DCHART_8" hidden="1">'[17]Employment Data Sectors (wages)'!$W$26:$W$37</definedName>
    <definedName name="_152__123Graph_ECHART_7" localSheetId="28" hidden="1">'[18]Employment Data Sectors (wages)'!$Y$38:$Y$49</definedName>
    <definedName name="_155__123Graph_ECHART_7" localSheetId="28" hidden="1">'[16]Employment Data Sectors (wages)'!$Y$38:$Y$49</definedName>
    <definedName name="_155__123Graph_ECHART_7" hidden="1">'[17]Employment Data Sectors (wages)'!$Y$38:$Y$49</definedName>
    <definedName name="_157__123Graph_ECHART_8" localSheetId="28" hidden="1">'[18]Employment Data Sectors (wages)'!$H$86:$H$99</definedName>
    <definedName name="_16__123Graph_ACHART_5" hidden="1">'[13]Employment Data Sectors (wages)'!$A$24:$A$35</definedName>
    <definedName name="_16__123Graph_BCHART_6" hidden="1">'[14]Employment Data Sectors (wages)'!$AS$49:$AS$8103</definedName>
    <definedName name="_16__123Graph_BCHART_7" hidden="1">'[15]Employment Data Sectors (wages)'!$Y$13:$Y$8187</definedName>
    <definedName name="_160__123Graph_ECHART_8" localSheetId="28" hidden="1">'[16]Employment Data Sectors (wages)'!$H$86:$H$99</definedName>
    <definedName name="_160__123Graph_ECHART_8" hidden="1">'[17]Employment Data Sectors (wages)'!$H$86:$H$99</definedName>
    <definedName name="_162__123Graph_FCHART_8" localSheetId="28" hidden="1">'[18]Employment Data Sectors (wages)'!$H$6:$H$17</definedName>
    <definedName name="_165__123Graph_FCHART_8" localSheetId="28" hidden="1">'[16]Employment Data Sectors (wages)'!$H$6:$H$17</definedName>
    <definedName name="_165__123Graph_FCHART_8" hidden="1">'[17]Employment Data Sectors (wages)'!$H$6:$H$17</definedName>
    <definedName name="_17__123Graph_BCHART_7" hidden="1">'[14]Employment Data Sectors (wages)'!$Y$13:$Y$8187</definedName>
    <definedName name="_17__123Graph_BCHART_8" hidden="1">'[15]Employment Data Sectors (wages)'!$W$13:$W$8187</definedName>
    <definedName name="_18__123Graph_ACHART_6" hidden="1">'[13]Employment Data Sectors (wages)'!$Y$49:$Y$8103</definedName>
    <definedName name="_18__123Graph_BCHART_8" hidden="1">'[14]Employment Data Sectors (wages)'!$W$13:$W$8187</definedName>
    <definedName name="_18__123Graph_CCHART_1" hidden="1">'[15]Employment Data Sectors (wages)'!$C$8173:$C$8184</definedName>
    <definedName name="_19__123Graph_CCHART_1" hidden="1">'[14]Employment Data Sectors (wages)'!$C$8173:$C$8184</definedName>
    <definedName name="_19__123Graph_CCHART_2" hidden="1">'[15]Employment Data Sectors (wages)'!$C$8173:$C$8184</definedName>
    <definedName name="_1992BOPB" localSheetId="20">#REF!</definedName>
    <definedName name="_1992BOPB" localSheetId="28">#REF!</definedName>
    <definedName name="_1992BOPB" localSheetId="29">#REF!</definedName>
    <definedName name="_1992BOPB">#REF!</definedName>
    <definedName name="_1Macros_Import_.qbop" localSheetId="20">[19]!'[Macros Import].qbop'</definedName>
    <definedName name="_1Macros_Import_.qbop">[19]!'[Macros Import].qbop'</definedName>
    <definedName name="_2__123Graph_ACHART_1" hidden="1">'[15]Employment Data Sectors (wages)'!$A$8173:$A$8184</definedName>
    <definedName name="_20__123Graph_ACHART_7" hidden="1">'[13]Employment Data Sectors (wages)'!$Y$8175:$Y$8186</definedName>
    <definedName name="_20__123Graph_CCHART_2" hidden="1">'[14]Employment Data Sectors (wages)'!$C$8173:$C$8184</definedName>
    <definedName name="_20__123Graph_CCHART_3" hidden="1">'[15]Employment Data Sectors (wages)'!$C$11:$C$8185</definedName>
    <definedName name="_20Macros_Import_.qbop" localSheetId="20">[19]!'[Macros Import].qbop'</definedName>
    <definedName name="_20Macros_Import_.qbop">[19]!'[Macros Import].qbop'</definedName>
    <definedName name="_21__123Graph_CCHART_3" hidden="1">'[14]Employment Data Sectors (wages)'!$C$11:$C$8185</definedName>
    <definedName name="_21__123Graph_CCHART_4" hidden="1">'[15]Employment Data Sectors (wages)'!$C$12:$C$23</definedName>
    <definedName name="_22__123Graph_ACHART_1" localSheetId="28" hidden="1">'[18]Employment Data Sectors (wages)'!$A$8173:$A$8184</definedName>
    <definedName name="_22__123Graph_ACHART_8" hidden="1">'[13]Employment Data Sectors (wages)'!$W$8175:$W$8186</definedName>
    <definedName name="_22__123Graph_CCHART_4" hidden="1">'[14]Employment Data Sectors (wages)'!$C$12:$C$23</definedName>
    <definedName name="_22__123Graph_CCHART_5" hidden="1">'[15]Employment Data Sectors (wages)'!$C$24:$C$35</definedName>
    <definedName name="_23__123Graph_CCHART_5" hidden="1">'[14]Employment Data Sectors (wages)'!$C$24:$C$35</definedName>
    <definedName name="_23__123Graph_CCHART_6" hidden="1">'[15]Employment Data Sectors (wages)'!$U$49:$U$8103</definedName>
    <definedName name="_24__123Graph_BCHART_1" hidden="1">'[13]Employment Data Sectors (wages)'!$B$8173:$B$8184</definedName>
    <definedName name="_24__123Graph_CCHART_6" hidden="1">'[14]Employment Data Sectors (wages)'!$U$49:$U$8103</definedName>
    <definedName name="_24__123Graph_CCHART_7" hidden="1">'[15]Employment Data Sectors (wages)'!$Y$14:$Y$25</definedName>
    <definedName name="_25__123Graph_ACHART_1" localSheetId="28" hidden="1">'[16]Employment Data Sectors (wages)'!$A$8173:$A$8184</definedName>
    <definedName name="_25__123Graph_ACHART_1" hidden="1">'[17]Employment Data Sectors (wages)'!$A$8173:$A$8184</definedName>
    <definedName name="_25__123Graph_CCHART_7" hidden="1">'[14]Employment Data Sectors (wages)'!$Y$14:$Y$25</definedName>
    <definedName name="_25__123Graph_CCHART_8" hidden="1">'[15]Employment Data Sectors (wages)'!$W$14:$W$25</definedName>
    <definedName name="_26__123Graph_BCHART_2" hidden="1">'[13]Employment Data Sectors (wages)'!$B$8173:$B$8184</definedName>
    <definedName name="_26__123Graph_CCHART_8" hidden="1">'[14]Employment Data Sectors (wages)'!$W$14:$W$25</definedName>
    <definedName name="_26__123Graph_DCHART_7" hidden="1">'[15]Employment Data Sectors (wages)'!$Y$26:$Y$37</definedName>
    <definedName name="_27__123Graph_ACHART_2" localSheetId="28" hidden="1">'[18]Employment Data Sectors (wages)'!$A$8173:$A$8184</definedName>
    <definedName name="_27__123Graph_DCHART_7" hidden="1">'[14]Employment Data Sectors (wages)'!$Y$26:$Y$37</definedName>
    <definedName name="_27__123Graph_DCHART_8" hidden="1">'[15]Employment Data Sectors (wages)'!$W$26:$W$37</definedName>
    <definedName name="_28__123Graph_BCHART_3" hidden="1">'[13]Employment Data Sectors (wages)'!$B$11:$B$8185</definedName>
    <definedName name="_28__123Graph_DCHART_8" hidden="1">'[14]Employment Data Sectors (wages)'!$W$26:$W$37</definedName>
    <definedName name="_28__123Graph_ECHART_7" hidden="1">'[15]Employment Data Sectors (wages)'!$Y$38:$Y$49</definedName>
    <definedName name="_29__123Graph_ECHART_7" hidden="1">'[14]Employment Data Sectors (wages)'!$Y$38:$Y$49</definedName>
    <definedName name="_29__123Graph_ECHART_8" hidden="1">'[15]Employment Data Sectors (wages)'!$H$86:$H$99</definedName>
    <definedName name="_2Macros_Import_.qbop" localSheetId="20">[19]!'[Macros Import].qbop'</definedName>
    <definedName name="_2Macros_Import_.qbop">[19]!'[Macros Import].qbop'</definedName>
    <definedName name="_3__123Graph_ACHART_1" hidden="1">'[14]Employment Data Sectors (wages)'!$A$8173:$A$8184</definedName>
    <definedName name="_3__123Graph_ACHART_2" hidden="1">'[15]Employment Data Sectors (wages)'!$A$8173:$A$8184</definedName>
    <definedName name="_30__123Graph_ACHART_2" localSheetId="28" hidden="1">'[16]Employment Data Sectors (wages)'!$A$8173:$A$8184</definedName>
    <definedName name="_30__123Graph_ACHART_2" hidden="1">'[17]Employment Data Sectors (wages)'!$A$8173:$A$8184</definedName>
    <definedName name="_30__123Graph_BCHART_4" hidden="1">'[13]Employment Data Sectors (wages)'!$B$12:$B$23</definedName>
    <definedName name="_30__123Graph_ECHART_8" hidden="1">'[14]Employment Data Sectors (wages)'!$H$86:$H$99</definedName>
    <definedName name="_30__123Graph_FCHART_8" hidden="1">'[15]Employment Data Sectors (wages)'!$H$6:$H$17</definedName>
    <definedName name="_31__123Graph_FCHART_8" hidden="1">'[14]Employment Data Sectors (wages)'!$H$6:$H$17</definedName>
    <definedName name="_32__123Graph_ACHART_3" localSheetId="28" hidden="1">'[18]Employment Data Sectors (wages)'!$A$11:$A$8185</definedName>
    <definedName name="_32__123Graph_BCHART_5" hidden="1">'[13]Employment Data Sectors (wages)'!$B$24:$B$35</definedName>
    <definedName name="_34__123Graph_BCHART_6" hidden="1">'[13]Employment Data Sectors (wages)'!$AS$49:$AS$8103</definedName>
    <definedName name="_35__123Graph_ACHART_3" localSheetId="28" hidden="1">'[16]Employment Data Sectors (wages)'!$A$11:$A$8185</definedName>
    <definedName name="_35__123Graph_ACHART_3" hidden="1">'[17]Employment Data Sectors (wages)'!$A$11:$A$8185</definedName>
    <definedName name="_36__123Graph_BCHART_7" hidden="1">'[13]Employment Data Sectors (wages)'!$Y$13:$Y$8187</definedName>
    <definedName name="_37__123Graph_ACHART_4" localSheetId="28" hidden="1">'[18]Employment Data Sectors (wages)'!$A$12:$A$23</definedName>
    <definedName name="_38__123Graph_BCHART_8" hidden="1">'[13]Employment Data Sectors (wages)'!$W$13:$W$8187</definedName>
    <definedName name="_4__123Graph_ACHART_2" hidden="1">'[14]Employment Data Sectors (wages)'!$A$8173:$A$8184</definedName>
    <definedName name="_4__123Graph_ACHART_3" hidden="1">'[15]Employment Data Sectors (wages)'!$A$11:$A$8185</definedName>
    <definedName name="_40__123Graph_ACHART_4" localSheetId="28" hidden="1">'[16]Employment Data Sectors (wages)'!$A$12:$A$23</definedName>
    <definedName name="_40__123Graph_ACHART_4" hidden="1">'[17]Employment Data Sectors (wages)'!$A$12:$A$23</definedName>
    <definedName name="_40__123Graph_CCHART_1" hidden="1">'[13]Employment Data Sectors (wages)'!$C$8173:$C$8184</definedName>
    <definedName name="_42__123Graph_ACHART_5" localSheetId="28" hidden="1">'[18]Employment Data Sectors (wages)'!$A$24:$A$35</definedName>
    <definedName name="_42__123Graph_CCHART_2" hidden="1">'[13]Employment Data Sectors (wages)'!$C$8173:$C$8184</definedName>
    <definedName name="_44__123Graph_CCHART_3" hidden="1">'[13]Employment Data Sectors (wages)'!$C$11:$C$8185</definedName>
    <definedName name="_45__123Graph_ACHART_5" localSheetId="28" hidden="1">'[16]Employment Data Sectors (wages)'!$A$24:$A$35</definedName>
    <definedName name="_45__123Graph_ACHART_5" hidden="1">'[17]Employment Data Sectors (wages)'!$A$24:$A$35</definedName>
    <definedName name="_46__123Graph_CCHART_4" hidden="1">'[13]Employment Data Sectors (wages)'!$C$12:$C$23</definedName>
    <definedName name="_47__123Graph_ACHART_6" localSheetId="28" hidden="1">'[18]Employment Data Sectors (wages)'!$Y$49:$Y$8103</definedName>
    <definedName name="_48__123Graph_CCHART_5" hidden="1">'[13]Employment Data Sectors (wages)'!$C$24:$C$35</definedName>
    <definedName name="_5__123Graph_ACHART_3" hidden="1">'[14]Employment Data Sectors (wages)'!$A$11:$A$8185</definedName>
    <definedName name="_5__123Graph_ACHART_4" hidden="1">'[15]Employment Data Sectors (wages)'!$A$12:$A$23</definedName>
    <definedName name="_50__123Graph_ACHART_6" localSheetId="28" hidden="1">'[16]Employment Data Sectors (wages)'!$Y$49:$Y$8103</definedName>
    <definedName name="_50__123Graph_ACHART_6" hidden="1">'[17]Employment Data Sectors (wages)'!$Y$49:$Y$8103</definedName>
    <definedName name="_50__123Graph_CCHART_6" hidden="1">'[13]Employment Data Sectors (wages)'!$U$49:$U$8103</definedName>
    <definedName name="_52__123Graph_ACHART_7" localSheetId="28" hidden="1">'[18]Employment Data Sectors (wages)'!$Y$8175:$Y$8186</definedName>
    <definedName name="_52__123Graph_CCHART_7" hidden="1">'[13]Employment Data Sectors (wages)'!$Y$14:$Y$25</definedName>
    <definedName name="_54__123Graph_CCHART_8" hidden="1">'[13]Employment Data Sectors (wages)'!$W$14:$W$25</definedName>
    <definedName name="_55__123Graph_ACHART_7" localSheetId="28" hidden="1">'[16]Employment Data Sectors (wages)'!$Y$8175:$Y$8186</definedName>
    <definedName name="_55__123Graph_ACHART_7" hidden="1">'[17]Employment Data Sectors (wages)'!$Y$8175:$Y$8186</definedName>
    <definedName name="_56__123Graph_DCHART_7" hidden="1">'[13]Employment Data Sectors (wages)'!$Y$26:$Y$37</definedName>
    <definedName name="_57__123Graph_ACHART_8" localSheetId="28" hidden="1">'[18]Employment Data Sectors (wages)'!$W$8175:$W$8186</definedName>
    <definedName name="_58__123Graph_DCHART_8" hidden="1">'[13]Employment Data Sectors (wages)'!$W$26:$W$37</definedName>
    <definedName name="_5Macros_Import_.qbop" localSheetId="28">[19]!'[Macros Import].qbop'</definedName>
    <definedName name="_6__123Graph_ACHART_4" hidden="1">'[14]Employment Data Sectors (wages)'!$A$12:$A$23</definedName>
    <definedName name="_6__123Graph_ACHART_5" hidden="1">'[15]Employment Data Sectors (wages)'!$A$24:$A$35</definedName>
    <definedName name="_60__123Graph_ACHART_8" localSheetId="28" hidden="1">'[16]Employment Data Sectors (wages)'!$W$8175:$W$8186</definedName>
    <definedName name="_60__123Graph_ACHART_8" hidden="1">'[17]Employment Data Sectors (wages)'!$W$8175:$W$8186</definedName>
    <definedName name="_60__123Graph_ECHART_7" hidden="1">'[13]Employment Data Sectors (wages)'!$Y$38:$Y$49</definedName>
    <definedName name="_62__123Graph_BCHART_1" localSheetId="28" hidden="1">'[18]Employment Data Sectors (wages)'!$B$8173:$B$8184</definedName>
    <definedName name="_62__123Graph_ECHART_8" hidden="1">'[13]Employment Data Sectors (wages)'!$H$86:$H$99</definedName>
    <definedName name="_64__123Graph_FCHART_8" hidden="1">'[13]Employment Data Sectors (wages)'!$H$6:$H$17</definedName>
    <definedName name="_65__123Graph_BCHART_1" localSheetId="28" hidden="1">'[16]Employment Data Sectors (wages)'!$B$8173:$B$8184</definedName>
    <definedName name="_65__123Graph_BCHART_1" hidden="1">'[17]Employment Data Sectors (wages)'!$B$8173:$B$8184</definedName>
    <definedName name="_67__123Graph_BCHART_2" localSheetId="28" hidden="1">'[18]Employment Data Sectors (wages)'!$B$8173:$B$8184</definedName>
    <definedName name="_6Macros_Import_.qbop" localSheetId="20">[19]!'[Macros Import].qbop'</definedName>
    <definedName name="_6Macros_Import_.qbop">[19]!'[Macros Import].qbop'</definedName>
    <definedName name="_7__123Graph_ACHART_5" hidden="1">'[14]Employment Data Sectors (wages)'!$A$24:$A$35</definedName>
    <definedName name="_7__123Graph_ACHART_6" hidden="1">'[15]Employment Data Sectors (wages)'!$Y$49:$Y$8103</definedName>
    <definedName name="_70__123Graph_BCHART_2" localSheetId="28" hidden="1">'[16]Employment Data Sectors (wages)'!$B$8173:$B$8184</definedName>
    <definedName name="_70__123Graph_BCHART_2" hidden="1">'[17]Employment Data Sectors (wages)'!$B$8173:$B$8184</definedName>
    <definedName name="_72__123Graph_BCHART_3" localSheetId="28" hidden="1">'[18]Employment Data Sectors (wages)'!$B$11:$B$8185</definedName>
    <definedName name="_75__123Graph_BCHART_3" localSheetId="28" hidden="1">'[16]Employment Data Sectors (wages)'!$B$11:$B$8185</definedName>
    <definedName name="_75__123Graph_BCHART_3" hidden="1">'[17]Employment Data Sectors (wages)'!$B$11:$B$8185</definedName>
    <definedName name="_77__123Graph_BCHART_4" localSheetId="28" hidden="1">'[18]Employment Data Sectors (wages)'!$B$12:$B$23</definedName>
    <definedName name="_8__123Graph_ACHART_1" hidden="1">'[13]Employment Data Sectors (wages)'!$A$8173:$A$8184</definedName>
    <definedName name="_8__123Graph_ACHART_6" hidden="1">'[14]Employment Data Sectors (wages)'!$Y$49:$Y$8103</definedName>
    <definedName name="_8__123Graph_ACHART_7" hidden="1">'[15]Employment Data Sectors (wages)'!$Y$8175:$Y$8186</definedName>
    <definedName name="_80__123Graph_BCHART_4" localSheetId="28" hidden="1">'[16]Employment Data Sectors (wages)'!$B$12:$B$23</definedName>
    <definedName name="_80__123Graph_BCHART_4" hidden="1">'[17]Employment Data Sectors (wages)'!$B$12:$B$23</definedName>
    <definedName name="_82__123Graph_BCHART_5" localSheetId="28" hidden="1">'[18]Employment Data Sectors (wages)'!$B$24:$B$35</definedName>
    <definedName name="_85__123Graph_BCHART_5" localSheetId="28" hidden="1">'[16]Employment Data Sectors (wages)'!$B$24:$B$35</definedName>
    <definedName name="_85__123Graph_BCHART_5" hidden="1">'[17]Employment Data Sectors (wages)'!$B$24:$B$35</definedName>
    <definedName name="_87__123Graph_BCHART_6" localSheetId="28" hidden="1">'[18]Employment Data Sectors (wages)'!$AS$49:$AS$8103</definedName>
    <definedName name="_9__123Graph_ACHART_7" hidden="1">'[14]Employment Data Sectors (wages)'!$Y$8175:$Y$8186</definedName>
    <definedName name="_9__123Graph_ACHART_8" hidden="1">'[15]Employment Data Sectors (wages)'!$W$8175:$W$8186</definedName>
    <definedName name="_90__123Graph_BCHART_6" localSheetId="28" hidden="1">'[16]Employment Data Sectors (wages)'!$AS$49:$AS$8103</definedName>
    <definedName name="_90__123Graph_BCHART_6" hidden="1">'[17]Employment Data Sectors (wages)'!$AS$49:$AS$8103</definedName>
    <definedName name="_92__123Graph_BCHART_7" localSheetId="28" hidden="1">'[18]Employment Data Sectors (wages)'!$Y$13:$Y$8187</definedName>
    <definedName name="_95__123Graph_BCHART_7" localSheetId="28" hidden="1">'[16]Employment Data Sectors (wages)'!$Y$13:$Y$8187</definedName>
    <definedName name="_95__123Graph_BCHART_7" hidden="1">'[17]Employment Data Sectors (wages)'!$Y$13:$Y$8187</definedName>
    <definedName name="_97__123Graph_BCHART_8" localSheetId="28" hidden="1">'[18]Employment Data Sectors (wages)'!$W$13:$W$8187</definedName>
    <definedName name="_BOP1" localSheetId="20">#REF!</definedName>
    <definedName name="_BOP1" localSheetId="28">#REF!</definedName>
    <definedName name="_BOP1" localSheetId="29">#REF!</definedName>
    <definedName name="_BOP1">#REF!</definedName>
    <definedName name="_BOP2" localSheetId="20">[1]BoP!#REF!</definedName>
    <definedName name="_BOP2" localSheetId="28">[1]BoP!#REF!</definedName>
    <definedName name="_BOP2" localSheetId="29">[1]BoP!#REF!</definedName>
    <definedName name="_BOP2">[1]BoP!#REF!</definedName>
    <definedName name="_dat1" localSheetId="20">'[2]work Q real'!#REF!</definedName>
    <definedName name="_dat1" localSheetId="28">'[2]work Q real'!#REF!</definedName>
    <definedName name="_dat1" localSheetId="29">'[2]work Q real'!#REF!</definedName>
    <definedName name="_dat1">'[2]work Q real'!#REF!</definedName>
    <definedName name="_dat2" localSheetId="20">#REF!</definedName>
    <definedName name="_dat2" localSheetId="28">#REF!</definedName>
    <definedName name="_dat2" localSheetId="29">#REF!</definedName>
    <definedName name="_dat2">#REF!</definedName>
    <definedName name="_EXP5" localSheetId="20">#REF!</definedName>
    <definedName name="_EXP5" localSheetId="28">#REF!</definedName>
    <definedName name="_EXP5" localSheetId="29">#REF!</definedName>
    <definedName name="_EXP5">#REF!</definedName>
    <definedName name="_EXP6" localSheetId="20">#REF!</definedName>
    <definedName name="_EXP6" localSheetId="28">#REF!</definedName>
    <definedName name="_EXP6" localSheetId="29">#REF!</definedName>
    <definedName name="_EXP6">#REF!</definedName>
    <definedName name="_EXP7" localSheetId="20">#REF!</definedName>
    <definedName name="_EXP7" localSheetId="28">#REF!</definedName>
    <definedName name="_EXP7">#REF!</definedName>
    <definedName name="_EXP9" localSheetId="20">#REF!</definedName>
    <definedName name="_EXP9" localSheetId="28">#REF!</definedName>
    <definedName name="_EXP9">#REF!</definedName>
    <definedName name="_Fill" localSheetId="20" hidden="1">#REF!</definedName>
    <definedName name="_Fill" localSheetId="28" hidden="1">#REF!</definedName>
    <definedName name="_Fill" localSheetId="35" hidden="1">#REF!</definedName>
    <definedName name="_Fill" hidden="1">#REF!</definedName>
    <definedName name="_ftn1" localSheetId="11">'Graf 14'!$B$8</definedName>
    <definedName name="_ftnref1" localSheetId="11">'Graf 14'!$B$5</definedName>
    <definedName name="_IMP10" localSheetId="20">#REF!</definedName>
    <definedName name="_IMP10" localSheetId="28">#REF!</definedName>
    <definedName name="_IMP10">#REF!</definedName>
    <definedName name="_IMP2" localSheetId="20">#REF!</definedName>
    <definedName name="_IMP2" localSheetId="28">#REF!</definedName>
    <definedName name="_IMP2">#REF!</definedName>
    <definedName name="_IMP4" localSheetId="20">#REF!</definedName>
    <definedName name="_IMP4" localSheetId="28">#REF!</definedName>
    <definedName name="_IMP4">#REF!</definedName>
    <definedName name="_IMP6" localSheetId="20">#REF!</definedName>
    <definedName name="_IMP6" localSheetId="28">#REF!</definedName>
    <definedName name="_IMP6">#REF!</definedName>
    <definedName name="_IMP7" localSheetId="20">#REF!</definedName>
    <definedName name="_IMP7" localSheetId="28">#REF!</definedName>
    <definedName name="_IMP7">#REF!</definedName>
    <definedName name="_IMP8" localSheetId="20">#REF!</definedName>
    <definedName name="_IMP8" localSheetId="28">#REF!</definedName>
    <definedName name="_IMP8">#REF!</definedName>
    <definedName name="_MTS2" localSheetId="20">'[3]Annual Tables'!#REF!</definedName>
    <definedName name="_MTS2" localSheetId="28">'[3]Annual Tables'!#REF!</definedName>
    <definedName name="_MTS2">'[3]Annual Tables'!#REF!</definedName>
    <definedName name="_Order1" hidden="1">255</definedName>
    <definedName name="_Order2" hidden="1">255</definedName>
    <definedName name="_OUT1" localSheetId="20">#REF!</definedName>
    <definedName name="_OUT1" localSheetId="28">#REF!</definedName>
    <definedName name="_OUT1" localSheetId="29">#REF!</definedName>
    <definedName name="_OUT1">#REF!</definedName>
    <definedName name="_OUT2" localSheetId="20">#REF!</definedName>
    <definedName name="_OUT2" localSheetId="28">#REF!</definedName>
    <definedName name="_OUT2" localSheetId="29">#REF!</definedName>
    <definedName name="_OUT2">#REF!</definedName>
    <definedName name="_PAG2" localSheetId="20">[3]Index!#REF!</definedName>
    <definedName name="_PAG2" localSheetId="28">[3]Index!#REF!</definedName>
    <definedName name="_PAG2" localSheetId="29">[3]Index!#REF!</definedName>
    <definedName name="_PAG2">[3]Index!#REF!</definedName>
    <definedName name="_PAG3" localSheetId="20">[3]Index!#REF!</definedName>
    <definedName name="_PAG3" localSheetId="28">[3]Index!#REF!</definedName>
    <definedName name="_PAG3" localSheetId="29">[3]Index!#REF!</definedName>
    <definedName name="_PAG3">[3]Index!#REF!</definedName>
    <definedName name="_PAG4" localSheetId="20">[3]Index!#REF!</definedName>
    <definedName name="_PAG4" localSheetId="28">[3]Index!#REF!</definedName>
    <definedName name="_PAG4">[3]Index!#REF!</definedName>
    <definedName name="_PAG5" localSheetId="20">[3]Index!#REF!</definedName>
    <definedName name="_PAG5" localSheetId="28">[3]Index!#REF!</definedName>
    <definedName name="_PAG5">[3]Index!#REF!</definedName>
    <definedName name="_PAG6" localSheetId="20">[3]Index!#REF!</definedName>
    <definedName name="_PAG6" localSheetId="28">[3]Index!#REF!</definedName>
    <definedName name="_PAG6">[3]Index!#REF!</definedName>
    <definedName name="_PAG7" localSheetId="20">#REF!</definedName>
    <definedName name="_PAG7" localSheetId="28">#REF!</definedName>
    <definedName name="_PAG7" localSheetId="29">#REF!</definedName>
    <definedName name="_PAG7">#REF!</definedName>
    <definedName name="_pro2001">[12]pro2001!$A$1:$B$72</definedName>
    <definedName name="_r13">[20]splatnosti!$V$39</definedName>
    <definedName name="_r14">[20]splatnosti!$V$40</definedName>
    <definedName name="_Regression_X" localSheetId="10" hidden="1">#REF!</definedName>
    <definedName name="_Regression_X" localSheetId="11" hidden="1">#REF!</definedName>
    <definedName name="_Regression_X" localSheetId="20" hidden="1">#REF!</definedName>
    <definedName name="_Regression_X" localSheetId="28" hidden="1">#REF!</definedName>
    <definedName name="_Regression_X" localSheetId="35" hidden="1">#REF!</definedName>
    <definedName name="_Regression_X" hidden="1">#REF!</definedName>
    <definedName name="_Regression_Y" localSheetId="10" hidden="1">#REF!</definedName>
    <definedName name="_Regression_Y" localSheetId="20" hidden="1">#REF!</definedName>
    <definedName name="_Regression_Y" localSheetId="28" hidden="1">#REF!</definedName>
    <definedName name="_Regression_Y" localSheetId="35" hidden="1">#REF!</definedName>
    <definedName name="_Regression_Y" hidden="1">#REF!</definedName>
    <definedName name="_RES2" localSheetId="20">[1]RES!#REF!</definedName>
    <definedName name="_RES2" localSheetId="28">[1]RES!#REF!</definedName>
    <definedName name="_RES2">[1]RES!#REF!</definedName>
    <definedName name="_RULC" localSheetId="28">[6]REER!$BA$144:$BA$206</definedName>
    <definedName name="_RULC">[21]REER!$BA$144:$BA$206</definedName>
    <definedName name="_TAB1" localSheetId="20">#REF!</definedName>
    <definedName name="_TAB1" localSheetId="28">#REF!</definedName>
    <definedName name="_TAB1" localSheetId="29">#REF!</definedName>
    <definedName name="_TAB1">#REF!</definedName>
    <definedName name="_TAB10" localSheetId="20">#REF!</definedName>
    <definedName name="_TAB10" localSheetId="28">#REF!</definedName>
    <definedName name="_TAB10" localSheetId="29">#REF!</definedName>
    <definedName name="_TAB10">#REF!</definedName>
    <definedName name="_TAB12" localSheetId="20">#REF!</definedName>
    <definedName name="_TAB12" localSheetId="28">#REF!</definedName>
    <definedName name="_TAB12" localSheetId="29">#REF!</definedName>
    <definedName name="_TAB12">#REF!</definedName>
    <definedName name="_Tab19" localSheetId="20">#REF!</definedName>
    <definedName name="_Tab19" localSheetId="28">#REF!</definedName>
    <definedName name="_Tab19">#REF!</definedName>
    <definedName name="_TAB2" localSheetId="20">#REF!</definedName>
    <definedName name="_TAB2" localSheetId="28">#REF!</definedName>
    <definedName name="_TAB2">#REF!</definedName>
    <definedName name="_Tab20" localSheetId="20">#REF!</definedName>
    <definedName name="_Tab20" localSheetId="28">#REF!</definedName>
    <definedName name="_Tab20">#REF!</definedName>
    <definedName name="_Tab21" localSheetId="20">#REF!</definedName>
    <definedName name="_Tab21" localSheetId="28">#REF!</definedName>
    <definedName name="_Tab21">#REF!</definedName>
    <definedName name="_Tab22" localSheetId="20">#REF!</definedName>
    <definedName name="_Tab22" localSheetId="28">#REF!</definedName>
    <definedName name="_Tab22">#REF!</definedName>
    <definedName name="_Tab23" localSheetId="20">#REF!</definedName>
    <definedName name="_Tab23" localSheetId="28">#REF!</definedName>
    <definedName name="_Tab23">#REF!</definedName>
    <definedName name="_Tab24" localSheetId="20">#REF!</definedName>
    <definedName name="_Tab24" localSheetId="28">#REF!</definedName>
    <definedName name="_Tab24">#REF!</definedName>
    <definedName name="_Tab26" localSheetId="20">#REF!</definedName>
    <definedName name="_Tab26" localSheetId="28">#REF!</definedName>
    <definedName name="_Tab26">#REF!</definedName>
    <definedName name="_Tab27" localSheetId="20">#REF!</definedName>
    <definedName name="_Tab27" localSheetId="28">#REF!</definedName>
    <definedName name="_Tab27">#REF!</definedName>
    <definedName name="_Tab28" localSheetId="20">#REF!</definedName>
    <definedName name="_Tab28" localSheetId="28">#REF!</definedName>
    <definedName name="_Tab28">#REF!</definedName>
    <definedName name="_Tab29" localSheetId="20">#REF!</definedName>
    <definedName name="_Tab29" localSheetId="28">#REF!</definedName>
    <definedName name="_Tab29">#REF!</definedName>
    <definedName name="_TAB3" localSheetId="20">#REF!</definedName>
    <definedName name="_TAB3" localSheetId="28">#REF!</definedName>
    <definedName name="_TAB3">#REF!</definedName>
    <definedName name="_Tab30" localSheetId="20">#REF!</definedName>
    <definedName name="_Tab30" localSheetId="28">#REF!</definedName>
    <definedName name="_Tab30">#REF!</definedName>
    <definedName name="_Tab31" localSheetId="20">#REF!</definedName>
    <definedName name="_Tab31" localSheetId="28">#REF!</definedName>
    <definedName name="_Tab31">#REF!</definedName>
    <definedName name="_Tab32" localSheetId="20">#REF!</definedName>
    <definedName name="_Tab32" localSheetId="28">#REF!</definedName>
    <definedName name="_Tab32">#REF!</definedName>
    <definedName name="_Tab33" localSheetId="20">#REF!</definedName>
    <definedName name="_Tab33" localSheetId="28">#REF!</definedName>
    <definedName name="_Tab33">#REF!</definedName>
    <definedName name="_Tab34" localSheetId="20">#REF!</definedName>
    <definedName name="_Tab34" localSheetId="28">#REF!</definedName>
    <definedName name="_Tab34">#REF!</definedName>
    <definedName name="_Tab35" localSheetId="20">#REF!</definedName>
    <definedName name="_Tab35" localSheetId="28">#REF!</definedName>
    <definedName name="_Tab35">#REF!</definedName>
    <definedName name="_TAB4" localSheetId="20">#REF!</definedName>
    <definedName name="_TAB4" localSheetId="28">#REF!</definedName>
    <definedName name="_TAB4">#REF!</definedName>
    <definedName name="_TAB5" localSheetId="20">#REF!</definedName>
    <definedName name="_TAB5" localSheetId="28">#REF!</definedName>
    <definedName name="_TAB5">#REF!</definedName>
    <definedName name="_tab6" localSheetId="20">#REF!</definedName>
    <definedName name="_tab6" localSheetId="28">#REF!</definedName>
    <definedName name="_tab6">#REF!</definedName>
    <definedName name="_TAB7" localSheetId="20">#REF!</definedName>
    <definedName name="_TAB7" localSheetId="28">#REF!</definedName>
    <definedName name="_TAB7">#REF!</definedName>
    <definedName name="_TAB8" localSheetId="20">#REF!</definedName>
    <definedName name="_TAB8" localSheetId="28">#REF!</definedName>
    <definedName name="_TAB8">#REF!</definedName>
    <definedName name="_tab9" localSheetId="20">#REF!</definedName>
    <definedName name="_tab9" localSheetId="28">#REF!</definedName>
    <definedName name="_tab9">#REF!</definedName>
    <definedName name="_TB41" localSheetId="20">#REF!</definedName>
    <definedName name="_TB41" localSheetId="28">#REF!</definedName>
    <definedName name="_TB41">#REF!</definedName>
    <definedName name="_Toc21886708" localSheetId="26">'Tabuľka 10+11'!$C$3</definedName>
    <definedName name="_Toc21886709" localSheetId="26">'Tabuľka 10+11'!$C$17</definedName>
    <definedName name="_Toc21886711" localSheetId="0">Obsah!$C$40</definedName>
    <definedName name="_Toc21886718" localSheetId="0">Obsah!$C$50</definedName>
    <definedName name="_Toc21894785" localSheetId="9">'Graf 11+12'!$B$33</definedName>
    <definedName name="_Toc21894789" localSheetId="13">'Graf 16'!$B$2</definedName>
    <definedName name="_Toc21894800" localSheetId="27">'Graf 26+27'!$B$29</definedName>
    <definedName name="_Toc463861271" localSheetId="29">'Graf 29 '!$B$23</definedName>
    <definedName name="_Toc495334756" localSheetId="16">'Tab 3 + Graf 18'!$B$5</definedName>
    <definedName name="_Toc495395911" localSheetId="11">'Graf 14'!$B$5</definedName>
    <definedName name="_Toc495395955" localSheetId="34">'Tabuľka 15'!$B$4</definedName>
    <definedName name="_Toc495395979" localSheetId="37">'Tabuľka 17 '!$B$3</definedName>
    <definedName name="_Toc526688278" localSheetId="38">'Tabuľka 20'!$B$2</definedName>
    <definedName name="_Toc526688280" localSheetId="24">'Tabuľka 7 '!$B$5</definedName>
    <definedName name="_WEO1" localSheetId="20">#REF!</definedName>
    <definedName name="_WEO1" localSheetId="28">#REF!</definedName>
    <definedName name="_WEO1" localSheetId="29">#REF!</definedName>
    <definedName name="_WEO1">#REF!</definedName>
    <definedName name="_WEO2" localSheetId="20">#REF!</definedName>
    <definedName name="_WEO2" localSheetId="28">#REF!</definedName>
    <definedName name="_WEO2" localSheetId="29">#REF!</definedName>
    <definedName name="_WEO2">#REF!</definedName>
    <definedName name="a" hidden="1">[21]REER!$AZ$144:$AZ$210</definedName>
    <definedName name="aaa" localSheetId="20" hidden="1">'[10]i2-KA'!#REF!</definedName>
    <definedName name="aaa" hidden="1">'[10]i2-KA'!#REF!</definedName>
    <definedName name="aaaaaaaaaaaaaa" localSheetId="28">'Graf 28'!aaaaaaaaaaaaaa</definedName>
    <definedName name="aaaaaaaaaaaaaa">[22]!aaaaaaaaaaaaaa</definedName>
    <definedName name="aas" localSheetId="28">[23]Contents!$A$1:$C$25</definedName>
    <definedName name="aas">[24]Contents!$A$1:$C$25</definedName>
    <definedName name="aloha" localSheetId="10" hidden="1">'[25]i2-KA'!#REF!</definedName>
    <definedName name="aloha" localSheetId="20" hidden="1">'[25]i2-KA'!#REF!</definedName>
    <definedName name="aloha" localSheetId="28" hidden="1">'[25]i2-KA'!#REF!</definedName>
    <definedName name="aloha" localSheetId="29" hidden="1">'[25]i2-KA'!#REF!</definedName>
    <definedName name="aloha" localSheetId="35" hidden="1">'[25]i2-KA'!#REF!</definedName>
    <definedName name="aloha" hidden="1">'[25]i2-KA'!#REF!</definedName>
    <definedName name="ANNUALNOM" localSheetId="20">#REF!</definedName>
    <definedName name="ANNUALNOM" localSheetId="28">#REF!</definedName>
    <definedName name="ANNUALNOM" localSheetId="29">#REF!</definedName>
    <definedName name="ANNUALNOM">#REF!</definedName>
    <definedName name="as" localSheetId="28">'[23]i-REER'!$A$2:$F$104</definedName>
    <definedName name="as">'[24]i-REER'!$A$2:$F$104</definedName>
    <definedName name="ASSUM" localSheetId="20">#REF!</definedName>
    <definedName name="ASSUM" localSheetId="28">#REF!</definedName>
    <definedName name="ASSUM" localSheetId="29">#REF!</definedName>
    <definedName name="ASSUM">#REF!</definedName>
    <definedName name="ASSUMB" localSheetId="20">#REF!</definedName>
    <definedName name="ASSUMB" localSheetId="28">#REF!</definedName>
    <definedName name="ASSUMB" localSheetId="29">#REF!</definedName>
    <definedName name="ASSUMB">#REF!</definedName>
    <definedName name="atrade" localSheetId="20">[19]!atrade</definedName>
    <definedName name="atrade" localSheetId="28">[19]!atrade</definedName>
    <definedName name="atrade">[19]!atrade</definedName>
    <definedName name="b" localSheetId="20">#REF!</definedName>
    <definedName name="b" localSheetId="28">#REF!</definedName>
    <definedName name="b" localSheetId="29">#REF!</definedName>
    <definedName name="b">#REF!</definedName>
    <definedName name="BAKLANBOPB" localSheetId="20">#REF!</definedName>
    <definedName name="BAKLANBOPB" localSheetId="28">#REF!</definedName>
    <definedName name="BAKLANBOPB" localSheetId="29">#REF!</definedName>
    <definedName name="BAKLANBOPB">#REF!</definedName>
    <definedName name="BAKLANDEBT2B" localSheetId="20">#REF!</definedName>
    <definedName name="BAKLANDEBT2B" localSheetId="28">#REF!</definedName>
    <definedName name="BAKLANDEBT2B" localSheetId="29">#REF!</definedName>
    <definedName name="BAKLANDEBT2B">#REF!</definedName>
    <definedName name="BAKLDEBT1B" localSheetId="20">#REF!</definedName>
    <definedName name="BAKLDEBT1B">#REF!</definedName>
    <definedName name="BASDAT" localSheetId="20">'[3]Annual Tables'!#REF!</definedName>
    <definedName name="BASDAT" localSheetId="28">'[3]Annual Tables'!#REF!</definedName>
    <definedName name="BASDAT">'[3]Annual Tables'!#REF!</definedName>
    <definedName name="bb" localSheetId="8" hidden="1">{"Riqfin97",#N/A,FALSE,"Tran";"Riqfinpro",#N/A,FALSE,"Tran"}</definedName>
    <definedName name="bb" localSheetId="11" hidden="1">{"Riqfin97",#N/A,FALSE,"Tran";"Riqfinpro",#N/A,FALSE,"Tran"}</definedName>
    <definedName name="bb" localSheetId="22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1" hidden="1">{"Riqfin97",#N/A,FALSE,"Tran";"Riqfinpro",#N/A,FALSE,"Tran"}</definedName>
    <definedName name="bb" localSheetId="16" hidden="1">{"Riqfin97",#N/A,FALSE,"Tran";"Riqfinpro",#N/A,FALSE,"Tran"}</definedName>
    <definedName name="bb" localSheetId="33" hidden="1">{"Riqfin97",#N/A,FALSE,"Tran";"Riqfinpro",#N/A,FALSE,"Tran"}</definedName>
    <definedName name="bb" localSheetId="14" hidden="1">{"Riqfin97",#N/A,FALSE,"Tran";"Riqfinpro",#N/A,FALSE,"Tran"}</definedName>
    <definedName name="bb" localSheetId="23" hidden="1">{"Riqfin97",#N/A,FALSE,"Tran";"Riqfinpro",#N/A,FALSE,"Tran"}</definedName>
    <definedName name="bb" hidden="1">{"Riqfin97",#N/A,FALSE,"Tran";"Riqfinpro",#N/A,FALSE,"Tran"}</definedName>
    <definedName name="bbb" localSheetId="8" hidden="1">{"Riqfin97",#N/A,FALSE,"Tran";"Riqfinpro",#N/A,FALSE,"Tran"}</definedName>
    <definedName name="bbb" localSheetId="11" hidden="1">{"Riqfin97",#N/A,FALSE,"Tran";"Riqfinpro",#N/A,FALSE,"Tran"}</definedName>
    <definedName name="bbb" localSheetId="22" hidden="1">{"Riqfin97",#N/A,FALSE,"Tran";"Riqfinpro",#N/A,FALSE,"Tran"}</definedName>
    <definedName name="bbb" localSheetId="28" hidden="1">{"Riqfin97",#N/A,FALSE,"Tran";"Riqfinpro",#N/A,FALSE,"Tran"}</definedName>
    <definedName name="bbb" localSheetId="29" hidden="1">{"Riqfin97",#N/A,FALSE,"Tran";"Riqfinpro",#N/A,FALSE,"Tran"}</definedName>
    <definedName name="bbb" localSheetId="4" hidden="1">{"Riqfin97",#N/A,FALSE,"Tran";"Riqfinpro",#N/A,FALSE,"Tran"}</definedName>
    <definedName name="bbb" localSheetId="35" hidden="1">{"Riqfin97",#N/A,FALSE,"Tran";"Riqfinpro",#N/A,FALSE,"Tran"}</definedName>
    <definedName name="bbb" localSheetId="36" hidden="1">{"Riqfin97",#N/A,FALSE,"Tran";"Riqfinpro",#N/A,FALSE,"Tran"}</definedName>
    <definedName name="bbb" localSheetId="5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localSheetId="1" hidden="1">{"Riqfin97",#N/A,FALSE,"Tran";"Riqfinpro",#N/A,FALSE,"Tran"}</definedName>
    <definedName name="bbb" localSheetId="16" hidden="1">{"Riqfin97",#N/A,FALSE,"Tran";"Riqfinpro",#N/A,FALSE,"Tran"}</definedName>
    <definedName name="bbb" localSheetId="33" hidden="1">{"Riqfin97",#N/A,FALSE,"Tran";"Riqfinpro",#N/A,FALSE,"Tran"}</definedName>
    <definedName name="bbb" localSheetId="14" hidden="1">{"Riqfin97",#N/A,FALSE,"Tran";"Riqfinpro",#N/A,FALSE,"Tran"}</definedName>
    <definedName name="bbb" localSheetId="23" hidden="1">{"Riqfin97",#N/A,FALSE,"Tran";"Riqfinpro",#N/A,FALSE,"Tran"}</definedName>
    <definedName name="bbb" hidden="1">{"Riqfin97",#N/A,FALSE,"Tran";"Riqfinpro",#N/A,FALSE,"Tran"}</definedName>
    <definedName name="bbbbbbbbbbbbbb" localSheetId="28">'Graf 28'!bbbbbbbbbbbbbb</definedName>
    <definedName name="bbbbbbbbbbbbbb">[22]!bbbbbbbbbbbbbb</definedName>
    <definedName name="BCA">#N/A</definedName>
    <definedName name="BCA_GDP">#N/A</definedName>
    <definedName name="BE">#N/A</definedName>
    <definedName name="BEA" localSheetId="20">'[26]WEO-BOP'!#REF!</definedName>
    <definedName name="BEA" localSheetId="28">'[26]WEO-BOP'!#REF!</definedName>
    <definedName name="BEA" localSheetId="29">'[26]WEO-BOP'!#REF!</definedName>
    <definedName name="BEA">'[26]WEO-BOP'!#REF!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20">#REF!</definedName>
    <definedName name="BEDE" localSheetId="28">#REF!</definedName>
    <definedName name="BEDE" localSheetId="29">#REF!</definedName>
    <definedName name="BEDE">#REF!</definedName>
    <definedName name="BER" localSheetId="20">'[26]WEO-BOP'!#REF!</definedName>
    <definedName name="BER" localSheetId="28">'[26]WEO-BOP'!#REF!</definedName>
    <definedName name="BER" localSheetId="29">'[26]WEO-BOP'!#REF!</definedName>
    <definedName name="BER">'[26]WEO-BOP'!#REF!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0">'[26]WEO-BOP'!#REF!</definedName>
    <definedName name="BFD" localSheetId="28">'[26]WEO-BOP'!#REF!</definedName>
    <definedName name="BFD" localSheetId="29">'[26]WEO-BOP'!#REF!</definedName>
    <definedName name="BFD">'[26]WEO-BOP'!#REF!</definedName>
    <definedName name="BFDI" localSheetId="20">'[26]WEO-BOP'!#REF!</definedName>
    <definedName name="BFDI" localSheetId="28">'[26]WEO-BOP'!#REF!</definedName>
    <definedName name="BFDI" localSheetId="29">'[26]WEO-BOP'!#REF!</definedName>
    <definedName name="BFDI">'[26]WEO-BOP'!#REF!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28">'Graf 28'!BFLD_DF</definedName>
    <definedName name="BFLD_DF">[22]!BFLD_DF</definedName>
    <definedName name="BFLG">#N/A</definedName>
    <definedName name="BFLG_D">#N/A</definedName>
    <definedName name="BFLG_DF">#N/A</definedName>
    <definedName name="BFO" localSheetId="20">'[26]WEO-BOP'!#REF!</definedName>
    <definedName name="BFO" localSheetId="28">'[26]WEO-BOP'!#REF!</definedName>
    <definedName name="BFO" localSheetId="29">'[26]WEO-BOP'!#REF!</definedName>
    <definedName name="BFO">'[26]WEO-BOP'!#REF!</definedName>
    <definedName name="BFOA" localSheetId="20">'[26]WEO-BOP'!#REF!</definedName>
    <definedName name="BFOA" localSheetId="28">'[26]WEO-BOP'!#REF!</definedName>
    <definedName name="BFOA" localSheetId="29">'[26]WEO-BOP'!#REF!</definedName>
    <definedName name="BFOA">'[26]WEO-BOP'!#REF!</definedName>
    <definedName name="BFOAG" localSheetId="20">'[26]WEO-BOP'!#REF!</definedName>
    <definedName name="BFOAG" localSheetId="28">'[26]WEO-BOP'!#REF!</definedName>
    <definedName name="BFOAG" localSheetId="29">'[26]WEO-BOP'!#REF!</definedName>
    <definedName name="BFOAG">'[26]WEO-BOP'!#REF!</definedName>
    <definedName name="BFOG" localSheetId="20">'[26]WEO-BOP'!#REF!</definedName>
    <definedName name="BFOG" localSheetId="28">'[26]WEO-BOP'!#REF!</definedName>
    <definedName name="BFOG">'[26]WEO-BOP'!#REF!</definedName>
    <definedName name="BFOL" localSheetId="20">'[26]WEO-BOP'!#REF!</definedName>
    <definedName name="BFOL" localSheetId="28">'[26]WEO-BOP'!#REF!</definedName>
    <definedName name="BFOL">'[26]WEO-BOP'!#REF!</definedName>
    <definedName name="BFOL_B" localSheetId="20">'[26]WEO-BOP'!#REF!</definedName>
    <definedName name="BFOL_B" localSheetId="28">'[26]WEO-BOP'!#REF!</definedName>
    <definedName name="BFOL_B">'[26]WEO-BOP'!#REF!</definedName>
    <definedName name="BFOL_G" localSheetId="20">'[26]WEO-BOP'!#REF!</definedName>
    <definedName name="BFOL_G" localSheetId="28">'[26]WEO-BOP'!#REF!</definedName>
    <definedName name="BFOL_G">'[26]WEO-BOP'!#REF!</definedName>
    <definedName name="BFOLG" localSheetId="20">'[26]WEO-BOP'!#REF!</definedName>
    <definedName name="BFOLG" localSheetId="28">'[26]WEO-BOP'!#REF!</definedName>
    <definedName name="BFOLG">'[26]WEO-BOP'!#REF!</definedName>
    <definedName name="BFP" localSheetId="20">'[26]WEO-BOP'!#REF!</definedName>
    <definedName name="BFP" localSheetId="28">'[26]WEO-BOP'!#REF!</definedName>
    <definedName name="BFP">'[26]WEO-BOP'!#REF!</definedName>
    <definedName name="BFPA" localSheetId="20">'[26]WEO-BOP'!#REF!</definedName>
    <definedName name="BFPA" localSheetId="28">'[26]WEO-BOP'!#REF!</definedName>
    <definedName name="BFPA">'[26]WEO-BOP'!#REF!</definedName>
    <definedName name="BFPAG" localSheetId="20">'[26]WEO-BOP'!#REF!</definedName>
    <definedName name="BFPAG" localSheetId="28">'[26]WEO-BOP'!#REF!</definedName>
    <definedName name="BFPAG">'[26]WEO-BOP'!#REF!</definedName>
    <definedName name="BFPG" localSheetId="20">'[26]WEO-BOP'!#REF!</definedName>
    <definedName name="BFPG" localSheetId="28">'[26]WEO-BOP'!#REF!</definedName>
    <definedName name="BFPG">'[26]WEO-BOP'!#REF!</definedName>
    <definedName name="BFPL" localSheetId="20">'[26]WEO-BOP'!#REF!</definedName>
    <definedName name="BFPL" localSheetId="28">'[26]WEO-BOP'!#REF!</definedName>
    <definedName name="BFPL">'[26]WEO-BOP'!#REF!</definedName>
    <definedName name="BFPLD" localSheetId="20">'[26]WEO-BOP'!#REF!</definedName>
    <definedName name="BFPLD" localSheetId="28">'[26]WEO-BOP'!#REF!</definedName>
    <definedName name="BFPLD">'[26]WEO-BOP'!#REF!</definedName>
    <definedName name="BFPLDG" localSheetId="20">'[26]WEO-BOP'!#REF!</definedName>
    <definedName name="BFPLDG" localSheetId="28">'[26]WEO-BOP'!#REF!</definedName>
    <definedName name="BFPLDG">'[26]WEO-BOP'!#REF!</definedName>
    <definedName name="BFPLE" localSheetId="20">'[26]WEO-BOP'!#REF!</definedName>
    <definedName name="BFPLE" localSheetId="28">'[26]WEO-BOP'!#REF!</definedName>
    <definedName name="BFPLE">'[26]WEO-BOP'!#REF!</definedName>
    <definedName name="BFRA">#N/A</definedName>
    <definedName name="BGS" localSheetId="20">'[26]WEO-BOP'!#REF!</definedName>
    <definedName name="BGS" localSheetId="28">'[26]WEO-BOP'!#REF!</definedName>
    <definedName name="BGS">'[26]WEO-BOP'!#REF!</definedName>
    <definedName name="BI">#N/A</definedName>
    <definedName name="BID" localSheetId="20">'[26]WEO-BOP'!#REF!</definedName>
    <definedName name="BID" localSheetId="28">'[26]WEO-BOP'!#REF!</definedName>
    <definedName name="BID">'[26]WEO-BOP'!#REF!</definedName>
    <definedName name="BK">#N/A</definedName>
    <definedName name="BKF">#N/A</definedName>
    <definedName name="BMG">[27]Q6!$E$28:$AH$28</definedName>
    <definedName name="BMII">#N/A</definedName>
    <definedName name="BMIIB">#N/A</definedName>
    <definedName name="BMIIG">#N/A</definedName>
    <definedName name="BMS" localSheetId="8">'[26]WEO-BOP'!#REF!</definedName>
    <definedName name="BMS" localSheetId="20">'[26]WEO-BOP'!#REF!</definedName>
    <definedName name="BMS" localSheetId="22">'[26]WEO-BOP'!#REF!</definedName>
    <definedName name="BMS" localSheetId="28">'[26]WEO-BOP'!#REF!</definedName>
    <definedName name="BMS" localSheetId="29">'[26]WEO-BOP'!#REF!</definedName>
    <definedName name="BMS" localSheetId="4">'[26]WEO-BOP'!#REF!</definedName>
    <definedName name="BMS" localSheetId="36">'[26]WEO-BOP'!#REF!</definedName>
    <definedName name="BMS" localSheetId="5">'[26]WEO-BOP'!#REF!</definedName>
    <definedName name="BMS" localSheetId="6">'[26]WEO-BOP'!#REF!</definedName>
    <definedName name="BMS" localSheetId="7">'[26]WEO-BOP'!#REF!</definedName>
    <definedName name="BMS" localSheetId="33">'[26]WEO-BOP'!#REF!</definedName>
    <definedName name="BMS" localSheetId="23">'[26]WEO-BOP'!#REF!</definedName>
    <definedName name="BMS">'[26]WEO-BOP'!#REF!</definedName>
    <definedName name="Bolivia" localSheetId="20">#REF!</definedName>
    <definedName name="Bolivia" localSheetId="28">#REF!</definedName>
    <definedName name="Bolivia" localSheetId="29">#REF!</definedName>
    <definedName name="Bolivia">#REF!</definedName>
    <definedName name="BOP">#N/A</definedName>
    <definedName name="BOPB" localSheetId="20">#REF!</definedName>
    <definedName name="BOPB" localSheetId="28">#REF!</definedName>
    <definedName name="BOPB" localSheetId="29">#REF!</definedName>
    <definedName name="BOPB">#REF!</definedName>
    <definedName name="BOPMEMOB" localSheetId="20">#REF!</definedName>
    <definedName name="BOPMEMOB" localSheetId="28">#REF!</definedName>
    <definedName name="BOPMEMOB" localSheetId="29">#REF!</definedName>
    <definedName name="BOPMEMOB">#REF!</definedName>
    <definedName name="bracket_2" localSheetId="20">[28]Graf14_Graf15!#REF!</definedName>
    <definedName name="bracket_2" localSheetId="28">[28]Graf14_Graf15!#REF!</definedName>
    <definedName name="bracket_2" localSheetId="29">[28]Graf14_Graf15!#REF!</definedName>
    <definedName name="bracket_2">[28]Graf14_Graf15!#REF!</definedName>
    <definedName name="BRASS" localSheetId="20">'[26]WEO-BOP'!#REF!</definedName>
    <definedName name="BRASS" localSheetId="28">'[26]WEO-BOP'!#REF!</definedName>
    <definedName name="BRASS" localSheetId="29">'[26]WEO-BOP'!#REF!</definedName>
    <definedName name="BRASS">'[26]WEO-BOP'!#REF!</definedName>
    <definedName name="Brazil" localSheetId="20">#REF!</definedName>
    <definedName name="Brazil" localSheetId="28">#REF!</definedName>
    <definedName name="Brazil" localSheetId="29">#REF!</definedName>
    <definedName name="Brazil">#REF!</definedName>
    <definedName name="BTR" localSheetId="20">'[26]WEO-BOP'!#REF!</definedName>
    <definedName name="BTR" localSheetId="28">'[26]WEO-BOP'!#REF!</definedName>
    <definedName name="BTR" localSheetId="29">'[26]WEO-BOP'!#REF!</definedName>
    <definedName name="BTR">'[26]WEO-BOP'!#REF!</definedName>
    <definedName name="BTRG" localSheetId="20">'[26]WEO-BOP'!#REF!</definedName>
    <definedName name="BTRG" localSheetId="28">'[26]WEO-BOP'!#REF!</definedName>
    <definedName name="BTRG" localSheetId="29">'[26]WEO-BOP'!#REF!</definedName>
    <definedName name="BTRG">'[26]WEO-BOP'!#REF!</definedName>
    <definedName name="BUDGET" localSheetId="20">#REF!</definedName>
    <definedName name="BUDGET" localSheetId="28">#REF!</definedName>
    <definedName name="BUDGET" localSheetId="29">#REF!</definedName>
    <definedName name="BUDGET">#REF!</definedName>
    <definedName name="Budget_expenditure" localSheetId="20">#REF!</definedName>
    <definedName name="Budget_expenditure" localSheetId="28">#REF!</definedName>
    <definedName name="Budget_expenditure" localSheetId="29">#REF!</definedName>
    <definedName name="Budget_expenditure">#REF!</definedName>
    <definedName name="Budget_revenue" localSheetId="20">#REF!</definedName>
    <definedName name="Budget_revenue" localSheetId="28">#REF!</definedName>
    <definedName name="Budget_revenue" localSheetId="29">#REF!</definedName>
    <definedName name="Budget_revenue">#REF!</definedName>
    <definedName name="BXG">[27]Q6!$E$26:$AH$26</definedName>
    <definedName name="BXS" localSheetId="8">'[26]WEO-BOP'!#REF!</definedName>
    <definedName name="BXS" localSheetId="20">'[26]WEO-BOP'!#REF!</definedName>
    <definedName name="BXS" localSheetId="22">'[26]WEO-BOP'!#REF!</definedName>
    <definedName name="BXS" localSheetId="28">'[26]WEO-BOP'!#REF!</definedName>
    <definedName name="BXS" localSheetId="29">'[26]WEO-BOP'!#REF!</definedName>
    <definedName name="BXS" localSheetId="4">'[26]WEO-BOP'!#REF!</definedName>
    <definedName name="BXS" localSheetId="36">'[26]WEO-BOP'!#REF!</definedName>
    <definedName name="BXS" localSheetId="5">'[26]WEO-BOP'!#REF!</definedName>
    <definedName name="BXS" localSheetId="6">'[26]WEO-BOP'!#REF!</definedName>
    <definedName name="BXS" localSheetId="7">'[26]WEO-BOP'!#REF!</definedName>
    <definedName name="BXS" localSheetId="33">'[26]WEO-BOP'!#REF!</definedName>
    <definedName name="BXS" localSheetId="23">'[26]WEO-BOP'!#REF!</definedName>
    <definedName name="BXS">'[26]WEO-BOP'!#REF!</definedName>
    <definedName name="BXTSAq" localSheetId="20">#REF!</definedName>
    <definedName name="BXTSAq" localSheetId="28">#REF!</definedName>
    <definedName name="BXTSAq" localSheetId="29">#REF!</definedName>
    <definedName name="BXTSAq">#REF!</definedName>
    <definedName name="CalcMCV_4" localSheetId="20">#REF!</definedName>
    <definedName name="CalcMCV_4" localSheetId="28">#REF!</definedName>
    <definedName name="CalcMCV_4" localSheetId="29">#REF!</definedName>
    <definedName name="CalcMCV_4">#REF!</definedName>
    <definedName name="calcNGS_NGDP">#N/A</definedName>
    <definedName name="CAPACCB" localSheetId="20">#REF!</definedName>
    <definedName name="CAPACCB" localSheetId="28">#REF!</definedName>
    <definedName name="CAPACCB" localSheetId="29">#REF!</definedName>
    <definedName name="CAPACCB">#REF!</definedName>
    <definedName name="cc" localSheetId="8" hidden="1">{"Riqfin97",#N/A,FALSE,"Tran";"Riqfinpro",#N/A,FALSE,"Tran"}</definedName>
    <definedName name="cc" localSheetId="11" hidden="1">{"Riqfin97",#N/A,FALSE,"Tran";"Riqfinpro",#N/A,FALSE,"Tran"}</definedName>
    <definedName name="cc" localSheetId="22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1" hidden="1">{"Riqfin97",#N/A,FALSE,"Tran";"Riqfinpro",#N/A,FALSE,"Tran"}</definedName>
    <definedName name="cc" localSheetId="16" hidden="1">{"Riqfin97",#N/A,FALSE,"Tran";"Riqfinpro",#N/A,FALSE,"Tran"}</definedName>
    <definedName name="cc" localSheetId="33" hidden="1">{"Riqfin97",#N/A,FALSE,"Tran";"Riqfinpro",#N/A,FALSE,"Tran"}</definedName>
    <definedName name="cc" localSheetId="14" hidden="1">{"Riqfin97",#N/A,FALSE,"Tran";"Riqfinpro",#N/A,FALSE,"Tran"}</definedName>
    <definedName name="cc" localSheetId="23" hidden="1">{"Riqfin97",#N/A,FALSE,"Tran";"Riqfinpro",#N/A,FALSE,"Tran"}</definedName>
    <definedName name="cc" hidden="1">{"Riqfin97",#N/A,FALSE,"Tran";"Riqfinpro",#N/A,FALSE,"Tran"}</definedName>
    <definedName name="ccc" localSheetId="8" hidden="1">{"Riqfin97",#N/A,FALSE,"Tran";"Riqfinpro",#N/A,FALSE,"Tran"}</definedName>
    <definedName name="ccc" localSheetId="11" hidden="1">{"Riqfin97",#N/A,FALSE,"Tran";"Riqfinpro",#N/A,FALSE,"Tran"}</definedName>
    <definedName name="ccc" localSheetId="22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4" hidden="1">{"Riqfin97",#N/A,FALSE,"Tran";"Riqfinpro",#N/A,FALSE,"Tran"}</definedName>
    <definedName name="ccc" localSheetId="35" hidden="1">{"Riqfin97",#N/A,FALSE,"Tran";"Riqfinpro",#N/A,FALSE,"Tran"}</definedName>
    <definedName name="ccc" localSheetId="36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1" hidden="1">{"Riqfin97",#N/A,FALSE,"Tran";"Riqfinpro",#N/A,FALSE,"Tran"}</definedName>
    <definedName name="ccc" localSheetId="16" hidden="1">{"Riqfin97",#N/A,FALSE,"Tran";"Riqfinpro",#N/A,FALSE,"Tran"}</definedName>
    <definedName name="ccc" localSheetId="33" hidden="1">{"Riqfin97",#N/A,FALSE,"Tran";"Riqfinpro",#N/A,FALSE,"Tran"}</definedName>
    <definedName name="ccc" localSheetId="14" hidden="1">{"Riqfin97",#N/A,FALSE,"Tran";"Riqfinpro",#N/A,FALSE,"Tran"}</definedName>
    <definedName name="ccc" localSheetId="23" hidden="1">{"Riqfin97",#N/A,FALSE,"Tran";"Riqfinpro",#N/A,FALSE,"Tran"}</definedName>
    <definedName name="ccc" hidden="1">{"Riqfin97",#N/A,FALSE,"Tran";"Riqfinpro",#N/A,FALSE,"Tran"}</definedName>
    <definedName name="CCODE" localSheetId="20">#REF!</definedName>
    <definedName name="CCODE" localSheetId="28">#REF!</definedName>
    <definedName name="CCODE" localSheetId="29">#REF!</definedName>
    <definedName name="CCODE">#REF!</definedName>
    <definedName name="cgb" localSheetId="20">#REF!</definedName>
    <definedName name="cgb" localSheetId="28">#REF!</definedName>
    <definedName name="cgb" localSheetId="29">#REF!</definedName>
    <definedName name="cgb">#REF!</definedName>
    <definedName name="cge" localSheetId="20">#REF!</definedName>
    <definedName name="cge" localSheetId="28">#REF!</definedName>
    <definedName name="cge" localSheetId="29">#REF!</definedName>
    <definedName name="cge">#REF!</definedName>
    <definedName name="cgr" localSheetId="20">#REF!</definedName>
    <definedName name="cgr" localSheetId="28">#REF!</definedName>
    <definedName name="cgr">#REF!</definedName>
    <definedName name="CONCK" localSheetId="20">#REF!</definedName>
    <definedName name="CONCK">#REF!</definedName>
    <definedName name="Cons" localSheetId="20">#REF!</definedName>
    <definedName name="Cons">#REF!</definedName>
    <definedName name="CORULCSA" localSheetId="28">[29]E!$V$15:$V$98</definedName>
    <definedName name="CORULCSA">[30]E!$V$15:$V$98</definedName>
    <definedName name="CountryCode">[31]readme!$B$2</definedName>
    <definedName name="CurrVintage">[32]Current!$D$66</definedName>
    <definedName name="d" localSheetId="8" hidden="1">{"Riqfin97",#N/A,FALSE,"Tran";"Riqfinpro",#N/A,FALSE,"Tran"}</definedName>
    <definedName name="d" localSheetId="22" hidden="1">{"Riqfin97",#N/A,FALSE,"Tran";"Riqfinpro",#N/A,FALSE,"Tran"}</definedName>
    <definedName name="d" localSheetId="28">"Graf 5"</definedName>
    <definedName name="d" localSheetId="29" hidden="1">{"Riqfin97",#N/A,FALSE,"Tran";"Riqfinpro",#N/A,FALSE,"Tran"}</definedName>
    <definedName name="d" localSheetId="4" hidden="1">{"Riqfin97",#N/A,FALSE,"Tran";"Riqfinpro",#N/A,FALSE,"Tran"}</definedName>
    <definedName name="d" localSheetId="36" hidden="1">{"Riqfin97",#N/A,FALSE,"Tran";"Riqfinpro",#N/A,FALSE,"Tran"}</definedName>
    <definedName name="d" localSheetId="5" hidden="1">{"Riqfin97",#N/A,FALSE,"Tran";"Riqfinpro",#N/A,FALSE,"Tran"}</definedName>
    <definedName name="d" localSheetId="6" hidden="1">{"Riqfin97",#N/A,FALSE,"Tran";"Riqfinpro",#N/A,FALSE,"Tran"}</definedName>
    <definedName name="d" localSheetId="7" hidden="1">{"Riqfin97",#N/A,FALSE,"Tran";"Riqfinpro",#N/A,FALSE,"Tran"}</definedName>
    <definedName name="d" localSheetId="16" hidden="1">{"Riqfin97",#N/A,FALSE,"Tran";"Riqfinpro",#N/A,FALSE,"Tran"}</definedName>
    <definedName name="d" localSheetId="33" hidden="1">{"Riqfin97",#N/A,FALSE,"Tran";"Riqfinpro",#N/A,FALSE,"Tran"}</definedName>
    <definedName name="d" localSheetId="14" hidden="1">{"Riqfin97",#N/A,FALSE,"Tran";"Riqfinpro",#N/A,FALSE,"Tran"}</definedName>
    <definedName name="d" localSheetId="23" hidden="1">{"Riqfin97",#N/A,FALSE,"Tran";"Riqfinpro",#N/A,FALSE,"Tran"}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20">'[33]daily calculations'!#REF!</definedName>
    <definedName name="daily_interest_rates" localSheetId="28">'[34]daily calculations'!#REF!</definedName>
    <definedName name="daily_interest_rates">'[33]daily calculations'!#REF!</definedName>
    <definedName name="DAproj">#N/A</definedName>
    <definedName name="das" localSheetId="20" hidden="1">[8]G!#REF!</definedName>
    <definedName name="das" localSheetId="28" hidden="1">[8]G!#REF!</definedName>
    <definedName name="das" localSheetId="35" hidden="1">[8]G!#REF!</definedName>
    <definedName name="das" hidden="1">[8]G!#REF!</definedName>
    <definedName name="DASD">#N/A</definedName>
    <definedName name="DASDB">#N/A</definedName>
    <definedName name="DASDG">#N/A</definedName>
    <definedName name="data_area" localSheetId="20">#REF!</definedName>
    <definedName name="data_area" localSheetId="28">#REF!</definedName>
    <definedName name="data_area" localSheetId="29">#REF!</definedName>
    <definedName name="data_area">#REF!</definedName>
    <definedName name="_xlnm.Database" localSheetId="20">#REF!</definedName>
    <definedName name="_xlnm.Database" localSheetId="28">#REF!</definedName>
    <definedName name="_xlnm.Database" localSheetId="29">#REF!</definedName>
    <definedName name="_xlnm.Database">#REF!</definedName>
    <definedName name="DATB" localSheetId="28">[6]REER!$B$144:$B$240</definedName>
    <definedName name="DATB">[21]REER!$B$144:$B$240</definedName>
    <definedName name="datcr" localSheetId="8">'[2]Tab ann curr'!#REF!</definedName>
    <definedName name="datcr" localSheetId="20">'[2]Tab ann curr'!#REF!</definedName>
    <definedName name="datcr" localSheetId="22">'[2]Tab ann curr'!#REF!</definedName>
    <definedName name="datcr" localSheetId="28">'[2]Tab ann curr'!#REF!</definedName>
    <definedName name="datcr" localSheetId="29">'[2]Tab ann curr'!#REF!</definedName>
    <definedName name="datcr" localSheetId="4">'[2]Tab ann curr'!#REF!</definedName>
    <definedName name="datcr" localSheetId="36">'[2]Tab ann curr'!#REF!</definedName>
    <definedName name="datcr" localSheetId="5">'[2]Tab ann curr'!#REF!</definedName>
    <definedName name="datcr" localSheetId="6">'[2]Tab ann curr'!#REF!</definedName>
    <definedName name="datcr" localSheetId="7">'[2]Tab ann curr'!#REF!</definedName>
    <definedName name="datcr" localSheetId="33">'[2]Tab ann curr'!#REF!</definedName>
    <definedName name="datcr" localSheetId="23">'[2]Tab ann curr'!#REF!</definedName>
    <definedName name="datcr">'[2]Tab ann curr'!#REF!</definedName>
    <definedName name="date" localSheetId="20">#REF!</definedName>
    <definedName name="date" localSheetId="28">#REF!</definedName>
    <definedName name="date" localSheetId="29">#REF!</definedName>
    <definedName name="date">#REF!</definedName>
    <definedName name="date_EXP">[35]Sheet1!$B$1:$G$1</definedName>
    <definedName name="date_FISC" localSheetId="20">#REF!</definedName>
    <definedName name="date_FISC" localSheetId="28">#REF!</definedName>
    <definedName name="date_FISC" localSheetId="29">#REF!</definedName>
    <definedName name="date_FISC">#REF!</definedName>
    <definedName name="dateIntLiq" localSheetId="20">#REF!</definedName>
    <definedName name="dateIntLiq" localSheetId="28">#REF!</definedName>
    <definedName name="dateIntLiq" localSheetId="29">#REF!</definedName>
    <definedName name="dateIntLiq">#REF!</definedName>
    <definedName name="dateMoney" localSheetId="20">#REF!</definedName>
    <definedName name="dateMoney" localSheetId="28">#REF!</definedName>
    <definedName name="dateMoney" localSheetId="29">#REF!</definedName>
    <definedName name="dateMoney">#REF!</definedName>
    <definedName name="dateprofit" localSheetId="28">[6]C!$A$9:$A$125</definedName>
    <definedName name="dateprofit">[21]C!$A$9:$A$125</definedName>
    <definedName name="dateRates" localSheetId="20">#REF!</definedName>
    <definedName name="dateRates" localSheetId="28">#REF!</definedName>
    <definedName name="dateRates" localSheetId="29">#REF!</definedName>
    <definedName name="dateRates">#REF!</definedName>
    <definedName name="dateRawQ" localSheetId="20">'[36]Raw Data'!#REF!</definedName>
    <definedName name="dateRawQ" localSheetId="28">'[36]Raw Data'!#REF!</definedName>
    <definedName name="dateRawQ">'[36]Raw Data'!#REF!</definedName>
    <definedName name="dateReal" localSheetId="20">#REF!</definedName>
    <definedName name="dateReal" localSheetId="28">#REF!</definedName>
    <definedName name="dateReal" localSheetId="29">#REF!</definedName>
    <definedName name="dateReal">#REF!</definedName>
    <definedName name="dates" localSheetId="20">#REF!</definedName>
    <definedName name="dates" localSheetId="28">#REF!</definedName>
    <definedName name="dates" localSheetId="29">#REF!</definedName>
    <definedName name="dates">#REF!</definedName>
    <definedName name="dates_w" localSheetId="20">#REF!</definedName>
    <definedName name="dates_w" localSheetId="28">#REF!</definedName>
    <definedName name="dates_w" localSheetId="29">#REF!</definedName>
    <definedName name="dates_w">#REF!</definedName>
    <definedName name="dates1" localSheetId="20">#REF!</definedName>
    <definedName name="dates1">#REF!</definedName>
    <definedName name="dates2" localSheetId="20">#REF!</definedName>
    <definedName name="dates2">#REF!</definedName>
    <definedName name="datesb" localSheetId="28">[29]B!$B$20:$B$134</definedName>
    <definedName name="datesb">[30]B!$B$20:$B$134</definedName>
    <definedName name="datesc" localSheetId="20">#REF!</definedName>
    <definedName name="datesc" localSheetId="28">#REF!</definedName>
    <definedName name="datesc" localSheetId="29">#REF!</definedName>
    <definedName name="datesc">#REF!</definedName>
    <definedName name="datesd" localSheetId="20">#REF!</definedName>
    <definedName name="datesd" localSheetId="28">#REF!</definedName>
    <definedName name="datesd" localSheetId="29">#REF!</definedName>
    <definedName name="datesd">#REF!</definedName>
    <definedName name="DATESG" localSheetId="20">#REF!</definedName>
    <definedName name="DATESG" localSheetId="28">#REF!</definedName>
    <definedName name="DATESG" localSheetId="29">#REF!</definedName>
    <definedName name="DATESG">#REF!</definedName>
    <definedName name="datesm" localSheetId="20">#REF!</definedName>
    <definedName name="datesm">#REF!</definedName>
    <definedName name="datesq" localSheetId="20">#REF!</definedName>
    <definedName name="datesq" localSheetId="28">#REF!</definedName>
    <definedName name="datesq">#REF!</definedName>
    <definedName name="datesr" localSheetId="20">#REF!</definedName>
    <definedName name="datesr">#REF!</definedName>
    <definedName name="datestran" localSheetId="28">[29]transfer!$A$9:$A$116</definedName>
    <definedName name="datestran">[30]transfer!$A$9:$A$116</definedName>
    <definedName name="datgdp" localSheetId="20">#REF!</definedName>
    <definedName name="datgdp" localSheetId="28">#REF!</definedName>
    <definedName name="datgdp" localSheetId="29">#REF!</definedName>
    <definedName name="datgdp">#REF!</definedName>
    <definedName name="datin1" localSheetId="28">[6]REER!$B$9:$B$119</definedName>
    <definedName name="datin1">[21]REER!$B$9:$B$119</definedName>
    <definedName name="datin2" localSheetId="28">[6]REER!$B$144:$B$253</definedName>
    <definedName name="datin2">[21]REER!$B$144:$B$253</definedName>
    <definedName name="datq" localSheetId="20">#REF!</definedName>
    <definedName name="datq" localSheetId="28">#REF!</definedName>
    <definedName name="datq" localSheetId="29">#REF!</definedName>
    <definedName name="datq">#REF!</definedName>
    <definedName name="datq1" localSheetId="20">#REF!</definedName>
    <definedName name="datq1" localSheetId="28">#REF!</definedName>
    <definedName name="datq1" localSheetId="29">#REF!</definedName>
    <definedName name="datq1">#REF!</definedName>
    <definedName name="datq2" localSheetId="20">#REF!</definedName>
    <definedName name="datq2" localSheetId="28">#REF!</definedName>
    <definedName name="datq2" localSheetId="29">#REF!</definedName>
    <definedName name="datq2">#REF!</definedName>
    <definedName name="datreer" localSheetId="28">[6]REER!$B$144:$B$258</definedName>
    <definedName name="datreer">[21]REER!$B$144:$B$258</definedName>
    <definedName name="datt" localSheetId="20">#REF!</definedName>
    <definedName name="datt" localSheetId="28">#REF!</definedName>
    <definedName name="datt" localSheetId="29">#REF!</definedName>
    <definedName name="datt">#REF!</definedName>
    <definedName name="DBproj">#N/A</definedName>
    <definedName name="dd" localSheetId="8" hidden="1">{"Riqfin97",#N/A,FALSE,"Tran";"Riqfinpro",#N/A,FALSE,"Tran"}</definedName>
    <definedName name="dd" localSheetId="11" hidden="1">{"Riqfin97",#N/A,FALSE,"Tran";"Riqfinpro",#N/A,FALSE,"Tran"}</definedName>
    <definedName name="dd" localSheetId="22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1" hidden="1">{"Riqfin97",#N/A,FALSE,"Tran";"Riqfinpro",#N/A,FALSE,"Tran"}</definedName>
    <definedName name="dd" localSheetId="16" hidden="1">{"Riqfin97",#N/A,FALSE,"Tran";"Riqfinpro",#N/A,FALSE,"Tran"}</definedName>
    <definedName name="dd" localSheetId="33" hidden="1">{"Riqfin97",#N/A,FALSE,"Tran";"Riqfinpro",#N/A,FALSE,"Tran"}</definedName>
    <definedName name="dd" localSheetId="14" hidden="1">{"Riqfin97",#N/A,FALSE,"Tran";"Riqfinpro",#N/A,FALSE,"Tran"}</definedName>
    <definedName name="dd" localSheetId="23" hidden="1">{"Riqfin97",#N/A,FALSE,"Tran";"Riqfinpro",#N/A,FALSE,"Tran"}</definedName>
    <definedName name="dd" hidden="1">{"Riqfin97",#N/A,FALSE,"Tran";"Riqfinpro",#N/A,FALSE,"Tran"}</definedName>
    <definedName name="dd_balance" localSheetId="28">[37]!dd_balance1[saldo]</definedName>
    <definedName name="dd_balance" localSheetId="29">[37]!dd_balance1[saldo]</definedName>
    <definedName name="dd_balance">[37]!dd_balance1[saldo]</definedName>
    <definedName name="dd_cyklus" localSheetId="28">[38]!dd_cyclus[cyklus]</definedName>
    <definedName name="dd_cyklus" localSheetId="29">[38]!dd_cyclus[cyklus]</definedName>
    <definedName name="dd_cyklus">[38]!dd_cyclus[cyklus]</definedName>
    <definedName name="dd_oneoff" localSheetId="28">[38]hidden!$B$2:$B$3</definedName>
    <definedName name="dd_oneoff" localSheetId="29">[38]hidden!$B$2:$B$3</definedName>
    <definedName name="dd_oneoff">[38]hidden!$B$2:$B$3</definedName>
    <definedName name="ddd" localSheetId="8" hidden="1">{"Riqfin97",#N/A,FALSE,"Tran";"Riqfinpro",#N/A,FALSE,"Tran"}</definedName>
    <definedName name="ddd" localSheetId="11" hidden="1">{"Riqfin97",#N/A,FALSE,"Tran";"Riqfinpro",#N/A,FALSE,"Tran"}</definedName>
    <definedName name="ddd" localSheetId="22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4" hidden="1">{"Riqfin97",#N/A,FALSE,"Tran";"Riqfinpro",#N/A,FALSE,"Tran"}</definedName>
    <definedName name="ddd" localSheetId="35" hidden="1">{"Riqfin97",#N/A,FALSE,"Tran";"Riqfinpro",#N/A,FALSE,"Tran"}</definedName>
    <definedName name="ddd" localSheetId="36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1" hidden="1">{"Riqfin97",#N/A,FALSE,"Tran";"Riqfinpro",#N/A,FALSE,"Tran"}</definedName>
    <definedName name="ddd" localSheetId="16" hidden="1">{"Riqfin97",#N/A,FALSE,"Tran";"Riqfinpro",#N/A,FALSE,"Tran"}</definedName>
    <definedName name="ddd" localSheetId="33" hidden="1">{"Riqfin97",#N/A,FALSE,"Tran";"Riqfinpro",#N/A,FALSE,"Tran"}</definedName>
    <definedName name="ddd" localSheetId="14" hidden="1">{"Riqfin97",#N/A,FALSE,"Tran";"Riqfinpro",#N/A,FALSE,"Tran"}</definedName>
    <definedName name="ddd" localSheetId="23" hidden="1">{"Riqfin97",#N/A,FALSE,"Tran";"Riqfinpro",#N/A,FALSE,"Tran"}</definedName>
    <definedName name="ddd" hidden="1">{"Riqfin97",#N/A,FALSE,"Tran";"Riqfinpro",#N/A,FALSE,"Tran"}</definedName>
    <definedName name="debt" localSheetId="20">#REF!</definedName>
    <definedName name="debt" localSheetId="28">#REF!</definedName>
    <definedName name="debt" localSheetId="29">#REF!</definedName>
    <definedName name="debt">#REF!</definedName>
    <definedName name="DEBT1" localSheetId="20">#REF!</definedName>
    <definedName name="DEBT1" localSheetId="28">#REF!</definedName>
    <definedName name="DEBT1" localSheetId="29">#REF!</definedName>
    <definedName name="DEBT1">#REF!</definedName>
    <definedName name="DEBT10" localSheetId="20">#REF!</definedName>
    <definedName name="DEBT10" localSheetId="28">#REF!</definedName>
    <definedName name="DEBT10" localSheetId="29">#REF!</definedName>
    <definedName name="DEBT10">#REF!</definedName>
    <definedName name="DEBT11" localSheetId="20">#REF!</definedName>
    <definedName name="DEBT11">#REF!</definedName>
    <definedName name="DEBT12" localSheetId="20">#REF!</definedName>
    <definedName name="DEBT12">#REF!</definedName>
    <definedName name="DEBT13" localSheetId="20">#REF!</definedName>
    <definedName name="DEBT13">#REF!</definedName>
    <definedName name="DEBT14" localSheetId="20">#REF!</definedName>
    <definedName name="DEBT14">#REF!</definedName>
    <definedName name="DEBT15" localSheetId="20">#REF!</definedName>
    <definedName name="DEBT15">#REF!</definedName>
    <definedName name="DEBT16" localSheetId="20">#REF!</definedName>
    <definedName name="DEBT16">#REF!</definedName>
    <definedName name="DEBT1B" localSheetId="20">#REF!</definedName>
    <definedName name="DEBT1B">#REF!</definedName>
    <definedName name="DEBT2" localSheetId="20">#REF!</definedName>
    <definedName name="DEBT2">#REF!</definedName>
    <definedName name="DEBT2B" localSheetId="20">#REF!</definedName>
    <definedName name="DEBT2B">#REF!</definedName>
    <definedName name="DEBT3" localSheetId="20">#REF!</definedName>
    <definedName name="DEBT3">#REF!</definedName>
    <definedName name="DEBT4" localSheetId="20">#REF!</definedName>
    <definedName name="DEBT4">#REF!</definedName>
    <definedName name="DEBT5" localSheetId="20">#REF!</definedName>
    <definedName name="DEBT5">#REF!</definedName>
    <definedName name="DEBT6" localSheetId="20">#REF!</definedName>
    <definedName name="DEBT6">#REF!</definedName>
    <definedName name="DEBT7" localSheetId="20">#REF!</definedName>
    <definedName name="DEBT7">#REF!</definedName>
    <definedName name="DEBT8" localSheetId="20">#REF!</definedName>
    <definedName name="DEBT8">#REF!</definedName>
    <definedName name="DEBT9" localSheetId="20">#REF!</definedName>
    <definedName name="DEBT9">#REF!</definedName>
    <definedName name="debtproj" localSheetId="20">#REF!</definedName>
    <definedName name="debtproj">#REF!</definedName>
    <definedName name="DEFLATORS" localSheetId="20">#REF!</definedName>
    <definedName name="DEFLATORS">#REF!</definedName>
    <definedName name="degresivita" localSheetId="20">[28]Graf14_Graf15!#REF!</definedName>
    <definedName name="degresivita">[28]Graf14_Graf15!#REF!</definedName>
    <definedName name="degresivita_2" localSheetId="20">[28]Graf14_Graf15!#REF!</definedName>
    <definedName name="degresivita_2">[28]Graf14_Graf15!#REF!</definedName>
    <definedName name="deleteme1" localSheetId="20" hidden="1">#REF!</definedName>
    <definedName name="deleteme1" localSheetId="28" hidden="1">#REF!</definedName>
    <definedName name="deleteme1" localSheetId="29" hidden="1">#REF!</definedName>
    <definedName name="deleteme1" hidden="1">#REF!</definedName>
    <definedName name="deleteme3" localSheetId="20" hidden="1">#REF!</definedName>
    <definedName name="deleteme3" localSheetId="28" hidden="1">#REF!</definedName>
    <definedName name="deleteme3" localSheetId="29" hidden="1">#REF!</definedName>
    <definedName name="deleteme3" hidden="1">#REF!</definedName>
    <definedName name="Department" localSheetId="20">[39]REER!#REF!</definedName>
    <definedName name="Department" localSheetId="28">[40]REER!#REF!</definedName>
    <definedName name="Department" localSheetId="29">[39]REER!#REF!</definedName>
    <definedName name="Department">[39]REER!#REF!</definedName>
    <definedName name="DGproj">#N/A</definedName>
    <definedName name="DLX1.USE" localSheetId="28">[41]Haver!$A$2:$N$8</definedName>
    <definedName name="DLX1.USE">[42]Haver!$A$2:$N$8</definedName>
    <definedName name="DOC" localSheetId="20">#REF!</definedName>
    <definedName name="DOC" localSheetId="28">#REF!</definedName>
    <definedName name="DOC" localSheetId="29">#REF!</definedName>
    <definedName name="DOC">#REF!</definedName>
    <definedName name="dp">[43]DP!$A$1:$E$65536</definedName>
    <definedName name="Dproj">#N/A</definedName>
    <definedName name="dre" localSheetId="20" hidden="1">[44]M!#REF!</definedName>
    <definedName name="dre" localSheetId="28" hidden="1">[44]M!#REF!</definedName>
    <definedName name="dre" localSheetId="29" hidden="1">[44]M!#REF!</definedName>
    <definedName name="dre" localSheetId="16" hidden="1">[44]M!#REF!</definedName>
    <definedName name="dre" localSheetId="14" hidden="1">[44]M!#REF!</definedName>
    <definedName name="dre" hidden="1">[44]M!#REF!</definedName>
    <definedName name="DSD">#N/A</definedName>
    <definedName name="DSD_S">#N/A</definedName>
    <definedName name="DSDB">#N/A</definedName>
    <definedName name="DSDG">#N/A</definedName>
    <definedName name="dsfsdds" localSheetId="8" hidden="1">{"Riqfin97",#N/A,FALSE,"Tran";"Riqfinpro",#N/A,FALSE,"Tran"}</definedName>
    <definedName name="dsfsdds" localSheetId="22" hidden="1">{"Riqfin97",#N/A,FALSE,"Tran";"Riqfinpro",#N/A,FALSE,"Tran"}</definedName>
    <definedName name="dsfsdds" localSheetId="28" hidden="1">{"Riqfin97",#N/A,FALSE,"Tran";"Riqfinpro",#N/A,FALSE,"Tran"}</definedName>
    <definedName name="dsfsdds" localSheetId="29" hidden="1">{"Riqfin97",#N/A,FALSE,"Tran";"Riqfinpro",#N/A,FALSE,"Tran"}</definedName>
    <definedName name="dsfsdds" localSheetId="4" hidden="1">{"Riqfin97",#N/A,FALSE,"Tran";"Riqfinpro",#N/A,FALSE,"Tran"}</definedName>
    <definedName name="dsfsdds" localSheetId="36" hidden="1">{"Riqfin97",#N/A,FALSE,"Tran";"Riqfinpro",#N/A,FALSE,"Tran"}</definedName>
    <definedName name="dsfsdds" localSheetId="5" hidden="1">{"Riqfin97",#N/A,FALSE,"Tran";"Riqfinpro",#N/A,FALSE,"Tran"}</definedName>
    <definedName name="dsfsdds" localSheetId="6" hidden="1">{"Riqfin97",#N/A,FALSE,"Tran";"Riqfinpro",#N/A,FALSE,"Tran"}</definedName>
    <definedName name="dsfsdds" localSheetId="7" hidden="1">{"Riqfin97",#N/A,FALSE,"Tran";"Riqfinpro",#N/A,FALSE,"Tran"}</definedName>
    <definedName name="dsfsdds" localSheetId="33" hidden="1">{"Riqfin97",#N/A,FALSE,"Tran";"Riqfinpro",#N/A,FALSE,"Tran"}</definedName>
    <definedName name="dsfsdds" localSheetId="23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20">#REF!</definedName>
    <definedName name="e12db" localSheetId="28">#REF!</definedName>
    <definedName name="e12db" localSheetId="29">#REF!</definedName>
    <definedName name="e12db">#REF!</definedName>
    <definedName name="e9db">[45]e9!$A$1:$V$49</definedName>
    <definedName name="EDNA">#N/A</definedName>
    <definedName name="EDSSDESCRIPTOR" localSheetId="20">#REF!</definedName>
    <definedName name="EDSSDESCRIPTOR" localSheetId="28">#REF!</definedName>
    <definedName name="EDSSDESCRIPTOR" localSheetId="29">#REF!</definedName>
    <definedName name="EDSSDESCRIPTOR">#REF!</definedName>
    <definedName name="EDSSFILE" localSheetId="20">#REF!</definedName>
    <definedName name="EDSSFILE" localSheetId="28">#REF!</definedName>
    <definedName name="EDSSFILE" localSheetId="29">#REF!</definedName>
    <definedName name="EDSSFILE">#REF!</definedName>
    <definedName name="EDSSNAME" localSheetId="20">#REF!</definedName>
    <definedName name="EDSSNAME" localSheetId="28">#REF!</definedName>
    <definedName name="EDSSNAME" localSheetId="29">#REF!</definedName>
    <definedName name="EDSSNAME">#REF!</definedName>
    <definedName name="EDSSTIME" localSheetId="20">#REF!</definedName>
    <definedName name="EDSSTIME">#REF!</definedName>
    <definedName name="ee" localSheetId="8" hidden="1">{"Tab1",#N/A,FALSE,"P";"Tab2",#N/A,FALSE,"P"}</definedName>
    <definedName name="ee" localSheetId="11" hidden="1">{"Tab1",#N/A,FALSE,"P";"Tab2",#N/A,FALSE,"P"}</definedName>
    <definedName name="ee" localSheetId="22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1" hidden="1">{"Tab1",#N/A,FALSE,"P";"Tab2",#N/A,FALSE,"P"}</definedName>
    <definedName name="ee" localSheetId="16" hidden="1">{"Tab1",#N/A,FALSE,"P";"Tab2",#N/A,FALSE,"P"}</definedName>
    <definedName name="ee" localSheetId="33" hidden="1">{"Tab1",#N/A,FALSE,"P";"Tab2",#N/A,FALSE,"P"}</definedName>
    <definedName name="ee" localSheetId="14" hidden="1">{"Tab1",#N/A,FALSE,"P";"Tab2",#N/A,FALSE,"P"}</definedName>
    <definedName name="ee" localSheetId="23" hidden="1">{"Tab1",#N/A,FALSE,"P";"Tab2",#N/A,FALSE,"P"}</definedName>
    <definedName name="ee" hidden="1">{"Tab1",#N/A,FALSE,"P";"Tab2",#N/A,FALSE,"P"}</definedName>
    <definedName name="EECB" localSheetId="20">#REF!</definedName>
    <definedName name="EECB" localSheetId="28">#REF!</definedName>
    <definedName name="EECB" localSheetId="29">#REF!</definedName>
    <definedName name="EECB">#REF!</definedName>
    <definedName name="eedx" localSheetId="8" hidden="1">{"Tab1",#N/A,FALSE,"P";"Tab2",#N/A,FALSE,"P"}</definedName>
    <definedName name="eedx" localSheetId="22" hidden="1">{"Tab1",#N/A,FALSE,"P";"Tab2",#N/A,FALSE,"P"}</definedName>
    <definedName name="eedx" localSheetId="28" hidden="1">{"Tab1",#N/A,FALSE,"P";"Tab2",#N/A,FALSE,"P"}</definedName>
    <definedName name="eedx" localSheetId="29" hidden="1">{"Tab1",#N/A,FALSE,"P";"Tab2",#N/A,FALSE,"P"}</definedName>
    <definedName name="eedx" localSheetId="4" hidden="1">{"Tab1",#N/A,FALSE,"P";"Tab2",#N/A,FALSE,"P"}</definedName>
    <definedName name="eedx" localSheetId="36" hidden="1">{"Tab1",#N/A,FALSE,"P";"Tab2",#N/A,FALSE,"P"}</definedName>
    <definedName name="eedx" localSheetId="5" hidden="1">{"Tab1",#N/A,FALSE,"P";"Tab2",#N/A,FALSE,"P"}</definedName>
    <definedName name="eedx" localSheetId="6" hidden="1">{"Tab1",#N/A,FALSE,"P";"Tab2",#N/A,FALSE,"P"}</definedName>
    <definedName name="eedx" localSheetId="7" hidden="1">{"Tab1",#N/A,FALSE,"P";"Tab2",#N/A,FALSE,"P"}</definedName>
    <definedName name="eedx" localSheetId="33" hidden="1">{"Tab1",#N/A,FALSE,"P";"Tab2",#N/A,FALSE,"P"}</definedName>
    <definedName name="eedx" localSheetId="23" hidden="1">{"Tab1",#N/A,FALSE,"P";"Tab2",#N/A,FALSE,"P"}</definedName>
    <definedName name="eedx" hidden="1">{"Tab1",#N/A,FALSE,"P";"Tab2",#N/A,FALSE,"P"}</definedName>
    <definedName name="eee" localSheetId="8" hidden="1">{"Tab1",#N/A,FALSE,"P";"Tab2",#N/A,FALSE,"P"}</definedName>
    <definedName name="eee" localSheetId="11" hidden="1">{"Tab1",#N/A,FALSE,"P";"Tab2",#N/A,FALSE,"P"}</definedName>
    <definedName name="eee" localSheetId="22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1" hidden="1">{"Tab1",#N/A,FALSE,"P";"Tab2",#N/A,FALSE,"P"}</definedName>
    <definedName name="eee" localSheetId="16" hidden="1">{"Tab1",#N/A,FALSE,"P";"Tab2",#N/A,FALSE,"P"}</definedName>
    <definedName name="eee" localSheetId="33" hidden="1">{"Tab1",#N/A,FALSE,"P";"Tab2",#N/A,FALSE,"P"}</definedName>
    <definedName name="eee" localSheetId="14" hidden="1">{"Tab1",#N/A,FALSE,"P";"Tab2",#N/A,FALSE,"P"}</definedName>
    <definedName name="eee" localSheetId="23" hidden="1">{"Tab1",#N/A,FALSE,"P";"Tab2",#N/A,FALSE,"P"}</definedName>
    <definedName name="eee" hidden="1">{"Tab1",#N/A,FALSE,"P";"Tab2",#N/A,FALSE,"P"}</definedName>
    <definedName name="EISCODE" localSheetId="20">#REF!</definedName>
    <definedName name="EISCODE" localSheetId="28">#REF!</definedName>
    <definedName name="EISCODE" localSheetId="29">#REF!</definedName>
    <definedName name="EISCODE">#REF!</definedName>
    <definedName name="elect" localSheetId="20">#REF!</definedName>
    <definedName name="elect" localSheetId="28">#REF!</definedName>
    <definedName name="elect" localSheetId="29">#REF!</definedName>
    <definedName name="elect">#REF!</definedName>
    <definedName name="Emerging_HTML_AREA" localSheetId="20">#REF!</definedName>
    <definedName name="Emerging_HTML_AREA" localSheetId="28">#REF!</definedName>
    <definedName name="Emerging_HTML_AREA" localSheetId="29">#REF!</definedName>
    <definedName name="Emerging_HTML_AREA">#REF!</definedName>
    <definedName name="EMETEL" localSheetId="20">#REF!</definedName>
    <definedName name="EMETEL">#REF!</definedName>
    <definedName name="ENDA">#N/A</definedName>
    <definedName name="equal_TLC" localSheetId="20">[28]Graf14_Graf15!#REF!</definedName>
    <definedName name="equal_TLC">[28]Graf14_Graf15!#REF!</definedName>
    <definedName name="ExitWRS">[46]Main!$AB$25</definedName>
    <definedName name="fdfs" localSheetId="8" hidden="1">{"Riqfin97",#N/A,FALSE,"Tran";"Riqfinpro",#N/A,FALSE,"Tran"}</definedName>
    <definedName name="fdfs" localSheetId="22" hidden="1">{"Riqfin97",#N/A,FALSE,"Tran";"Riqfinpro",#N/A,FALSE,"Tran"}</definedName>
    <definedName name="fdfs" localSheetId="28" hidden="1">{"Riqfin97",#N/A,FALSE,"Tran";"Riqfinpro",#N/A,FALSE,"Tran"}</definedName>
    <definedName name="fdfs" localSheetId="29" hidden="1">{"Riqfin97",#N/A,FALSE,"Tran";"Riqfinpro",#N/A,FALSE,"Tran"}</definedName>
    <definedName name="fdfs" localSheetId="4" hidden="1">{"Riqfin97",#N/A,FALSE,"Tran";"Riqfinpro",#N/A,FALSE,"Tran"}</definedName>
    <definedName name="fdfs" localSheetId="36" hidden="1">{"Riqfin97",#N/A,FALSE,"Tran";"Riqfinpro",#N/A,FALSE,"Tran"}</definedName>
    <definedName name="fdfs" localSheetId="5" hidden="1">{"Riqfin97",#N/A,FALSE,"Tran";"Riqfinpro",#N/A,FALSE,"Tran"}</definedName>
    <definedName name="fdfs" localSheetId="6" hidden="1">{"Riqfin97",#N/A,FALSE,"Tran";"Riqfinpro",#N/A,FALSE,"Tran"}</definedName>
    <definedName name="fdfs" localSheetId="7" hidden="1">{"Riqfin97",#N/A,FALSE,"Tran";"Riqfinpro",#N/A,FALSE,"Tran"}</definedName>
    <definedName name="fdfs" localSheetId="1" hidden="1">{"Riqfin97",#N/A,FALSE,"Tran";"Riqfinpro",#N/A,FALSE,"Tran"}</definedName>
    <definedName name="fdfs" localSheetId="16" hidden="1">{"Riqfin97",#N/A,FALSE,"Tran";"Riqfinpro",#N/A,FALSE,"Tran"}</definedName>
    <definedName name="fdfs" localSheetId="33" hidden="1">{"Riqfin97",#N/A,FALSE,"Tran";"Riqfinpro",#N/A,FALSE,"Tran"}</definedName>
    <definedName name="fdfs" localSheetId="14" hidden="1">{"Riqfin97",#N/A,FALSE,"Tran";"Riqfinpro",#N/A,FALSE,"Tran"}</definedName>
    <definedName name="fdfs" localSheetId="23" hidden="1">{"Riqfin97",#N/A,FALSE,"Tran";"Riqfinpro",#N/A,FALSE,"Tran"}</definedName>
    <definedName name="fdfs" hidden="1">{"Riqfin97",#N/A,FALSE,"Tran";"Riqfinpro",#N/A,FALSE,"Tran"}</definedName>
    <definedName name="ff" localSheetId="8" hidden="1">{"Tab1",#N/A,FALSE,"P";"Tab2",#N/A,FALSE,"P"}</definedName>
    <definedName name="ff" localSheetId="11" hidden="1">{"Tab1",#N/A,FALSE,"P";"Tab2",#N/A,FALSE,"P"}</definedName>
    <definedName name="ff" localSheetId="22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4" hidden="1">{"Tab1",#N/A,FALSE,"P";"Tab2",#N/A,FALSE,"P"}</definedName>
    <definedName name="ff" localSheetId="35" hidden="1">{"Tab1",#N/A,FALSE,"P";"Tab2",#N/A,FALSE,"P"}</definedName>
    <definedName name="ff" localSheetId="36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1" hidden="1">{"Tab1",#N/A,FALSE,"P";"Tab2",#N/A,FALSE,"P"}</definedName>
    <definedName name="ff" localSheetId="16" hidden="1">{"Tab1",#N/A,FALSE,"P";"Tab2",#N/A,FALSE,"P"}</definedName>
    <definedName name="ff" localSheetId="33" hidden="1">{"Tab1",#N/A,FALSE,"P";"Tab2",#N/A,FALSE,"P"}</definedName>
    <definedName name="ff" localSheetId="14" hidden="1">{"Tab1",#N/A,FALSE,"P";"Tab2",#N/A,FALSE,"P"}</definedName>
    <definedName name="ff" localSheetId="23" hidden="1">{"Tab1",#N/A,FALSE,"P";"Tab2",#N/A,FALSE,"P"}</definedName>
    <definedName name="ff" hidden="1">{"Tab1",#N/A,FALSE,"P";"Tab2",#N/A,FALSE,"P"}</definedName>
    <definedName name="fff" localSheetId="8" hidden="1">{"Tab1",#N/A,FALSE,"P";"Tab2",#N/A,FALSE,"P"}</definedName>
    <definedName name="fff" localSheetId="11" hidden="1">{"Tab1",#N/A,FALSE,"P";"Tab2",#N/A,FALSE,"P"}</definedName>
    <definedName name="fff" localSheetId="22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4" hidden="1">{"Tab1",#N/A,FALSE,"P";"Tab2",#N/A,FALSE,"P"}</definedName>
    <definedName name="fff" localSheetId="35" hidden="1">{"Tab1",#N/A,FALSE,"P";"Tab2",#N/A,FALSE,"P"}</definedName>
    <definedName name="fff" localSheetId="36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1" hidden="1">{"Tab1",#N/A,FALSE,"P";"Tab2",#N/A,FALSE,"P"}</definedName>
    <definedName name="fff" localSheetId="16" hidden="1">{"Tab1",#N/A,FALSE,"P";"Tab2",#N/A,FALSE,"P"}</definedName>
    <definedName name="fff" localSheetId="33" hidden="1">{"Tab1",#N/A,FALSE,"P";"Tab2",#N/A,FALSE,"P"}</definedName>
    <definedName name="fff" localSheetId="14" hidden="1">{"Tab1",#N/A,FALSE,"P";"Tab2",#N/A,FALSE,"P"}</definedName>
    <definedName name="fff" localSheetId="23" hidden="1">{"Tab1",#N/A,FALSE,"P";"Tab2",#N/A,FALSE,"P"}</definedName>
    <definedName name="fff" hidden="1">{"Tab1",#N/A,FALSE,"P";"Tab2",#N/A,FALSE,"P"}</definedName>
    <definedName name="Fig8.2a" localSheetId="20">#REF!</definedName>
    <definedName name="Fig8.2a" localSheetId="28">#REF!</definedName>
    <definedName name="Fig8.2a" localSheetId="29">#REF!</definedName>
    <definedName name="Fig8.2a">#REF!</definedName>
    <definedName name="fill" hidden="1">'[47]Macroframework-Ver.1'!$A$1:$A$267</definedName>
    <definedName name="finan" localSheetId="20">#REF!</definedName>
    <definedName name="finan" localSheetId="28">#REF!</definedName>
    <definedName name="finan" localSheetId="29">#REF!</definedName>
    <definedName name="finan">#REF!</definedName>
    <definedName name="finan1" localSheetId="20">#REF!</definedName>
    <definedName name="finan1" localSheetId="28">#REF!</definedName>
    <definedName name="finan1" localSheetId="29">#REF!</definedName>
    <definedName name="finan1">#REF!</definedName>
    <definedName name="Financing" localSheetId="8" hidden="1">{"Tab1",#N/A,FALSE,"P";"Tab2",#N/A,FALSE,"P"}</definedName>
    <definedName name="Financing" localSheetId="11" hidden="1">{"Tab1",#N/A,FALSE,"P";"Tab2",#N/A,FALSE,"P"}</definedName>
    <definedName name="Financing" localSheetId="22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1" hidden="1">{"Tab1",#N/A,FALSE,"P";"Tab2",#N/A,FALSE,"P"}</definedName>
    <definedName name="Financing" localSheetId="16" hidden="1">{"Tab1",#N/A,FALSE,"P";"Tab2",#N/A,FALSE,"P"}</definedName>
    <definedName name="Financing" localSheetId="33" hidden="1">{"Tab1",#N/A,FALSE,"P";"Tab2",#N/A,FALSE,"P"}</definedName>
    <definedName name="Financing" localSheetId="14" hidden="1">{"Tab1",#N/A,FALSE,"P";"Tab2",#N/A,FALSE,"P"}</definedName>
    <definedName name="Financing" localSheetId="23" hidden="1">{"Tab1",#N/A,FALSE,"P";"Tab2",#N/A,FALSE,"P"}</definedName>
    <definedName name="Financing" hidden="1">{"Tab1",#N/A,FALSE,"P";"Tab2",#N/A,FALSE,"P"}</definedName>
    <definedName name="FISUM" localSheetId="20">#REF!</definedName>
    <definedName name="FISUM" localSheetId="28">#REF!</definedName>
    <definedName name="FISUM" localSheetId="29">#REF!</definedName>
    <definedName name="FISUM">#REF!</definedName>
    <definedName name="FLOPEC" localSheetId="20">#REF!</definedName>
    <definedName name="FLOPEC" localSheetId="28">#REF!</definedName>
    <definedName name="FLOPEC" localSheetId="29">#REF!</definedName>
    <definedName name="FLOPEC">#REF!</definedName>
    <definedName name="FMB" localSheetId="20">#REF!</definedName>
    <definedName name="FMB" localSheetId="28">#REF!</definedName>
    <definedName name="FMB" localSheetId="29">#REF!</definedName>
    <definedName name="FMB">#REF!</definedName>
    <definedName name="FODESEC" localSheetId="20">#REF!</definedName>
    <definedName name="FODESEC">#REF!</definedName>
    <definedName name="FOREXPORT" localSheetId="28">[6]H!$A$2:$F$86</definedName>
    <definedName name="FOREXPORT">[21]H!$A$2:$F$86</definedName>
    <definedName name="fsd" localSheetId="20" hidden="1">#REF!</definedName>
    <definedName name="fsd" localSheetId="28" hidden="1">#REF!</definedName>
    <definedName name="fsd" localSheetId="29" hidden="1">#REF!</definedName>
    <definedName name="fsd" localSheetId="35" hidden="1">#REF!</definedName>
    <definedName name="fsd" hidden="1">#REF!</definedName>
    <definedName name="fsdfsdfasdfasdfasd" localSheetId="20" hidden="1">#REF!</definedName>
    <definedName name="fsdfsdfasdfasdfasd" localSheetId="28" hidden="1">#REF!</definedName>
    <definedName name="fsdfsdfasdfasdfasd" localSheetId="35" hidden="1">#REF!</definedName>
    <definedName name="fsdfsdfasdfasdfasd" hidden="1">#REF!</definedName>
    <definedName name="FUNDOBL" localSheetId="20">#REF!</definedName>
    <definedName name="FUNDOBL" localSheetId="28">#REF!</definedName>
    <definedName name="FUNDOBL">#REF!</definedName>
    <definedName name="FUNDOBLB" localSheetId="20">#REF!</definedName>
    <definedName name="FUNDOBLB">#REF!</definedName>
    <definedName name="g" localSheetId="20">#REF!</definedName>
    <definedName name="g">#REF!</definedName>
    <definedName name="GCB" localSheetId="20">#REF!</definedName>
    <definedName name="GCB" localSheetId="28">#REF!</definedName>
    <definedName name="GCB">#REF!</definedName>
    <definedName name="GCB_NGDP">#N/A</definedName>
    <definedName name="GCEI" localSheetId="20">#REF!</definedName>
    <definedName name="GCEI" localSheetId="28">#REF!</definedName>
    <definedName name="GCEI" localSheetId="29">#REF!</definedName>
    <definedName name="GCEI">#REF!</definedName>
    <definedName name="GCENL" localSheetId="20">#REF!</definedName>
    <definedName name="GCENL" localSheetId="28">#REF!</definedName>
    <definedName name="GCENL" localSheetId="29">#REF!</definedName>
    <definedName name="GCENL">#REF!</definedName>
    <definedName name="GCND" localSheetId="20">#REF!</definedName>
    <definedName name="GCND" localSheetId="28">#REF!</definedName>
    <definedName name="GCND" localSheetId="29">#REF!</definedName>
    <definedName name="GCND">#REF!</definedName>
    <definedName name="GCND_NGDP" localSheetId="20">#REF!</definedName>
    <definedName name="GCND_NGDP" localSheetId="28">#REF!</definedName>
    <definedName name="GCND_NGDP">#REF!</definedName>
    <definedName name="GCRG" localSheetId="20">#REF!</definedName>
    <definedName name="GCRG" localSheetId="28">#REF!</definedName>
    <definedName name="GCRG">#REF!</definedName>
    <definedName name="ggb" localSheetId="28">'[48]budget-G'!$A$1:$W$109</definedName>
    <definedName name="ggb">'[49]budget-G'!$A$1:$W$109</definedName>
    <definedName name="GGB_NGDP">#N/A</definedName>
    <definedName name="ggbeu" localSheetId="20">#REF!</definedName>
    <definedName name="ggbeu" localSheetId="28">#REF!</definedName>
    <definedName name="ggbeu" localSheetId="29">#REF!</definedName>
    <definedName name="ggbeu">#REF!</definedName>
    <definedName name="ggblg" localSheetId="20">#REF!</definedName>
    <definedName name="ggblg" localSheetId="28">#REF!</definedName>
    <definedName name="ggblg" localSheetId="29">#REF!</definedName>
    <definedName name="ggblg">#REF!</definedName>
    <definedName name="ggbls" localSheetId="20">#REF!</definedName>
    <definedName name="ggbls" localSheetId="28">#REF!</definedName>
    <definedName name="ggbls" localSheetId="29">#REF!</definedName>
    <definedName name="ggbls">#REF!</definedName>
    <definedName name="ggbss" localSheetId="20">#REF!</definedName>
    <definedName name="ggbss" localSheetId="28">#REF!</definedName>
    <definedName name="ggbss">#REF!</definedName>
    <definedName name="gge" localSheetId="28">[48]Expenditures!$A$1:$AC$62</definedName>
    <definedName name="gge">[49]Expenditures!$A$1:$AC$62</definedName>
    <definedName name="GGED" localSheetId="20">#REF!</definedName>
    <definedName name="GGED" localSheetId="28">#REF!</definedName>
    <definedName name="GGED" localSheetId="29">#REF!</definedName>
    <definedName name="GGED">#REF!</definedName>
    <definedName name="GGEI" localSheetId="20">#REF!</definedName>
    <definedName name="GGEI" localSheetId="28">#REF!</definedName>
    <definedName name="GGEI" localSheetId="29">#REF!</definedName>
    <definedName name="GGEI">#REF!</definedName>
    <definedName name="GGENL" localSheetId="20">#REF!</definedName>
    <definedName name="GGENL" localSheetId="28">#REF!</definedName>
    <definedName name="GGENL" localSheetId="29">#REF!</definedName>
    <definedName name="GGENL">#REF!</definedName>
    <definedName name="ggg" localSheetId="8" hidden="1">{"Riqfin97",#N/A,FALSE,"Tran";"Riqfinpro",#N/A,FALSE,"Tran"}</definedName>
    <definedName name="ggg" localSheetId="11" hidden="1">{"Riqfin97",#N/A,FALSE,"Tran";"Riqfinpro",#N/A,FALSE,"Tran"}</definedName>
    <definedName name="ggg" localSheetId="22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1" hidden="1">{"Riqfin97",#N/A,FALSE,"Tran";"Riqfinpro",#N/A,FALSE,"Tran"}</definedName>
    <definedName name="ggg" localSheetId="16" hidden="1">{"Riqfin97",#N/A,FALSE,"Tran";"Riqfinpro",#N/A,FALSE,"Tran"}</definedName>
    <definedName name="ggg" localSheetId="33" hidden="1">{"Riqfin97",#N/A,FALSE,"Tran";"Riqfinpro",#N/A,FALSE,"Tran"}</definedName>
    <definedName name="ggg" localSheetId="14" hidden="1">{"Riqfin97",#N/A,FALSE,"Tran";"Riqfinpro",#N/A,FALSE,"Tran"}</definedName>
    <definedName name="ggg" localSheetId="23" hidden="1">{"Riqfin97",#N/A,FALSE,"Tran";"Riqfinpro",#N/A,FALSE,"Tran"}</definedName>
    <definedName name="ggg" hidden="1">{"Riqfin97",#N/A,FALSE,"Tran";"Riqfinpro",#N/A,FALSE,"Tran"}</definedName>
    <definedName name="ggggg" localSheetId="20" hidden="1">'[50]J(Priv.Cap)'!#REF!</definedName>
    <definedName name="ggggg" localSheetId="28" hidden="1">'[50]J(Priv.Cap)'!#REF!</definedName>
    <definedName name="ggggg" localSheetId="35" hidden="1">'[50]J(Priv.Cap)'!#REF!</definedName>
    <definedName name="ggggg" hidden="1">'[50]J(Priv.Cap)'!#REF!</definedName>
    <definedName name="ggggggg" localSheetId="28">'Graf 28'!ggggggg</definedName>
    <definedName name="ggggggg">[22]!ggggggg</definedName>
    <definedName name="GGND" localSheetId="20">#REF!</definedName>
    <definedName name="GGND" localSheetId="28">#REF!</definedName>
    <definedName name="GGND" localSheetId="29">#REF!</definedName>
    <definedName name="GGND">#REF!</definedName>
    <definedName name="ggr" localSheetId="28">[48]Revenues!$A$1:$AD$58</definedName>
    <definedName name="ggr">[49]Revenues!$A$1:$AD$58</definedName>
    <definedName name="GGRG" localSheetId="20">#REF!</definedName>
    <definedName name="GGRG" localSheetId="28">#REF!</definedName>
    <definedName name="GGRG" localSheetId="29">#REF!</definedName>
    <definedName name="GGRG">#REF!</definedName>
    <definedName name="GPee_2" localSheetId="20">[28]Graf14_Graf15!#REF!</definedName>
    <definedName name="GPee_2" localSheetId="28">[28]Graf14_Graf15!#REF!</definedName>
    <definedName name="GPee_2" localSheetId="29">[28]Graf14_Graf15!#REF!</definedName>
    <definedName name="GPee_2">[28]Graf14_Graf15!#REF!</definedName>
    <definedName name="GPer_2" localSheetId="20">[28]Graf14_Graf15!#REF!</definedName>
    <definedName name="GPer_2" localSheetId="28">[28]Graf14_Graf15!#REF!</definedName>
    <definedName name="GPer_2" localSheetId="29">[28]Graf14_Graf15!#REF!</definedName>
    <definedName name="GPer_2">[28]Graf14_Graf15!#REF!</definedName>
    <definedName name="GRAF22" localSheetId="21">'Graf 23'!$O$2</definedName>
    <definedName name="HDPn_2">[51]makro!$C$5</definedName>
    <definedName name="HDPn_2n">[51]makro!$C$27</definedName>
    <definedName name="HDPn_3">[51]makro!$D$5</definedName>
    <definedName name="HDPn_3n">[51]makro!$D$27</definedName>
    <definedName name="HDPn_4">[51]makro!$E$5</definedName>
    <definedName name="HDPn_4n">[51]makro!$E$27</definedName>
    <definedName name="HDPn_5">[51]makro!$F$5</definedName>
    <definedName name="HDPn_5n">[51]makro!$F$27</definedName>
    <definedName name="HDPn_6">[51]makro!$G$5</definedName>
    <definedName name="HDPn_6n">[51]makro!$G$27</definedName>
    <definedName name="HDPnbk_2">[51]makro!$C$16</definedName>
    <definedName name="HDPnbk_2n">[51]makro!$C$38</definedName>
    <definedName name="HDPnbk_3">[51]makro!$D$16</definedName>
    <definedName name="HDPnbk_3n">[51]makro!$D$38</definedName>
    <definedName name="HDPnbk_4">[51]makro!$E$16</definedName>
    <definedName name="HDPnbk_4n">[51]makro!$E$38</definedName>
    <definedName name="HDPnbk_5">[51]makro!$F$16</definedName>
    <definedName name="HDPnbk_5n">[51]makro!$F$38</definedName>
    <definedName name="HDPnbk_6">[51]makro!$G$16</definedName>
    <definedName name="HDPnbk_6n">[51]makro!$G$38</definedName>
    <definedName name="HDPr_2">[51]makro!$C$4</definedName>
    <definedName name="HDPr_2n">[51]makro!$C$26</definedName>
    <definedName name="HDPr_3">[51]makro!$D$4</definedName>
    <definedName name="HDPr_3n">[51]makro!$D$26</definedName>
    <definedName name="HDPr_4">[51]makro!$E$4</definedName>
    <definedName name="HDPr_4n">[51]makro!$E$26</definedName>
    <definedName name="HDPr_5">[51]makro!$F$4</definedName>
    <definedName name="HDPr_5n">[51]makro!$F$26</definedName>
    <definedName name="HDPr_6">[51]makro!$G$4</definedName>
    <definedName name="HDPr_6n">[51]makro!$G$26</definedName>
    <definedName name="hgfd" localSheetId="8" hidden="1">{#N/A,#N/A,FALSE,"I";#N/A,#N/A,FALSE,"J";#N/A,#N/A,FALSE,"K";#N/A,#N/A,FALSE,"L";#N/A,#N/A,FALSE,"M";#N/A,#N/A,FALSE,"N";#N/A,#N/A,FALSE,"O"}</definedName>
    <definedName name="hgfd" localSheetId="22" hidden="1">{#N/A,#N/A,FALSE,"I";#N/A,#N/A,FALSE,"J";#N/A,#N/A,FALSE,"K";#N/A,#N/A,FALSE,"L";#N/A,#N/A,FALSE,"M";#N/A,#N/A,FALSE,"N";#N/A,#N/A,FALSE,"O"}</definedName>
    <definedName name="hgfd" localSheetId="28" hidden="1">{#N/A,#N/A,FALSE,"I";#N/A,#N/A,FALSE,"J";#N/A,#N/A,FALSE,"K";#N/A,#N/A,FALSE,"L";#N/A,#N/A,FALSE,"M";#N/A,#N/A,FALSE,"N";#N/A,#N/A,FALSE,"O"}</definedName>
    <definedName name="hgfd" localSheetId="29" hidden="1">{#N/A,#N/A,FALSE,"I";#N/A,#N/A,FALSE,"J";#N/A,#N/A,FALSE,"K";#N/A,#N/A,FALSE,"L";#N/A,#N/A,FALSE,"M";#N/A,#N/A,FALSE,"N";#N/A,#N/A,FALSE,"O"}</definedName>
    <definedName name="hgfd" localSheetId="4" hidden="1">{#N/A,#N/A,FALSE,"I";#N/A,#N/A,FALSE,"J";#N/A,#N/A,FALSE,"K";#N/A,#N/A,FALSE,"L";#N/A,#N/A,FALSE,"M";#N/A,#N/A,FALSE,"N";#N/A,#N/A,FALSE,"O"}</definedName>
    <definedName name="hgfd" localSheetId="36" hidden="1">{#N/A,#N/A,FALSE,"I";#N/A,#N/A,FALSE,"J";#N/A,#N/A,FALSE,"K";#N/A,#N/A,FALSE,"L";#N/A,#N/A,FALSE,"M";#N/A,#N/A,FALSE,"N";#N/A,#N/A,FALSE,"O"}</definedName>
    <definedName name="hgfd" localSheetId="5" hidden="1">{#N/A,#N/A,FALSE,"I";#N/A,#N/A,FALSE,"J";#N/A,#N/A,FALSE,"K";#N/A,#N/A,FALSE,"L";#N/A,#N/A,FALSE,"M";#N/A,#N/A,FALSE,"N";#N/A,#N/A,FALSE,"O"}</definedName>
    <definedName name="hgfd" localSheetId="6" hidden="1">{#N/A,#N/A,FALSE,"I";#N/A,#N/A,FALSE,"J";#N/A,#N/A,FALSE,"K";#N/A,#N/A,FALSE,"L";#N/A,#N/A,FALSE,"M";#N/A,#N/A,FALSE,"N";#N/A,#N/A,FALSE,"O"}</definedName>
    <definedName name="hgfd" localSheetId="7" hidden="1">{#N/A,#N/A,FALSE,"I";#N/A,#N/A,FALSE,"J";#N/A,#N/A,FALSE,"K";#N/A,#N/A,FALSE,"L";#N/A,#N/A,FALSE,"M";#N/A,#N/A,FALSE,"N";#N/A,#N/A,FALSE,"O"}</definedName>
    <definedName name="hgfd" localSheetId="33" hidden="1">{#N/A,#N/A,FALSE,"I";#N/A,#N/A,FALSE,"J";#N/A,#N/A,FALSE,"K";#N/A,#N/A,FALSE,"L";#N/A,#N/A,FALSE,"M";#N/A,#N/A,FALSE,"N";#N/A,#N/A,FALSE,"O"}</definedName>
    <definedName name="hgfd" localSheetId="23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10" hidden="1">'[52]J(Priv.Cap)'!#REF!</definedName>
    <definedName name="hhh" localSheetId="11" hidden="1">'[52]J(Priv.Cap)'!#REF!</definedName>
    <definedName name="hhh" localSheetId="20" hidden="1">'[52]J(Priv.Cap)'!#REF!</definedName>
    <definedName name="hhh" localSheetId="28" hidden="1">'[52]J(Priv.Cap)'!#REF!</definedName>
    <definedName name="hhh" localSheetId="35" hidden="1">'[52]J(Priv.Cap)'!#REF!</definedName>
    <definedName name="hhh" hidden="1">'[52]J(Priv.Cap)'!#REF!</definedName>
    <definedName name="hhhhhhh" localSheetId="28">'Graf 28'!hhhhhhh</definedName>
    <definedName name="hhhhhhh">[22]!hhhhhhh</definedName>
    <definedName name="HTML_CodePage" hidden="1">1252</definedName>
    <definedName name="HTML_Control" localSheetId="8" hidden="1">{"'Resources'!$A$1:$W$34","'Balance Sheet'!$A$1:$W$58","'SFD'!$A$1:$J$52"}</definedName>
    <definedName name="HTML_Control" localSheetId="22" hidden="1">{"'Resources'!$A$1:$W$34","'Balance Sheet'!$A$1:$W$58","'SFD'!$A$1:$J$52"}</definedName>
    <definedName name="HTML_Control" localSheetId="28" hidden="1">{"'Resources'!$A$1:$W$34","'Balance Sheet'!$A$1:$W$58","'SFD'!$A$1:$J$52"}</definedName>
    <definedName name="HTML_Control" localSheetId="29" hidden="1">{"'Resources'!$A$1:$W$34","'Balance Sheet'!$A$1:$W$58","'SFD'!$A$1:$J$52"}</definedName>
    <definedName name="HTML_Control" localSheetId="4" hidden="1">{"'Resources'!$A$1:$W$34","'Balance Sheet'!$A$1:$W$58","'SFD'!$A$1:$J$52"}</definedName>
    <definedName name="HTML_Control" localSheetId="36" hidden="1">{"'Resources'!$A$1:$W$34","'Balance Sheet'!$A$1:$W$58","'SFD'!$A$1:$J$52"}</definedName>
    <definedName name="HTML_Control" localSheetId="5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localSheetId="7" hidden="1">{"'Resources'!$A$1:$W$34","'Balance Sheet'!$A$1:$W$58","'SFD'!$A$1:$J$52"}</definedName>
    <definedName name="HTML_Control" localSheetId="33" hidden="1">{"'Resources'!$A$1:$W$34","'Balance Sheet'!$A$1:$W$58","'SFD'!$A$1:$J$52"}</definedName>
    <definedName name="HTML_Control" localSheetId="23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20">#REF!</definedName>
    <definedName name="CHART" localSheetId="28">#REF!</definedName>
    <definedName name="CHART" localSheetId="29">#REF!</definedName>
    <definedName name="CHART">#REF!</definedName>
    <definedName name="chart4" localSheetId="8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23" hidden="1">{#N/A,#N/A,FALSE,"CB";#N/A,#N/A,FALSE,"CMB";#N/A,#N/A,FALSE,"NBFI"}</definedName>
    <definedName name="chart4" hidden="1">{#N/A,#N/A,FALSE,"CB";#N/A,#N/A,FALSE,"CMB";#N/A,#N/A,FALSE,"NBFI"}</definedName>
    <definedName name="CHILE" localSheetId="20">#REF!</definedName>
    <definedName name="CHILE" localSheetId="28">#REF!</definedName>
    <definedName name="CHILE" localSheetId="29">#REF!</definedName>
    <definedName name="CHILE">#REF!</definedName>
    <definedName name="CHK" localSheetId="20">#REF!</definedName>
    <definedName name="CHK" localSheetId="28">#REF!</definedName>
    <definedName name="CHK" localSheetId="29">#REF!</definedName>
    <definedName name="CHK">#REF!</definedName>
    <definedName name="i" localSheetId="20">#REF!</definedName>
    <definedName name="i" localSheetId="28">#REF!</definedName>
    <definedName name="i" localSheetId="29">#REF!</definedName>
    <definedName name="i">#REF!</definedName>
    <definedName name="IESS" localSheetId="20">#REF!</definedName>
    <definedName name="IESS">#REF!</definedName>
    <definedName name="ii" localSheetId="8" hidden="1">{"Tab1",#N/A,FALSE,"P";"Tab2",#N/A,FALSE,"P"}</definedName>
    <definedName name="ii" localSheetId="11" hidden="1">{"Tab1",#N/A,FALSE,"P";"Tab2",#N/A,FALSE,"P"}</definedName>
    <definedName name="ii" localSheetId="22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1" hidden="1">{"Tab1",#N/A,FALSE,"P";"Tab2",#N/A,FALSE,"P"}</definedName>
    <definedName name="ii" localSheetId="16" hidden="1">{"Tab1",#N/A,FALSE,"P";"Tab2",#N/A,FALSE,"P"}</definedName>
    <definedName name="ii" localSheetId="33" hidden="1">{"Tab1",#N/A,FALSE,"P";"Tab2",#N/A,FALSE,"P"}</definedName>
    <definedName name="ii" localSheetId="14" hidden="1">{"Tab1",#N/A,FALSE,"P";"Tab2",#N/A,FALSE,"P"}</definedName>
    <definedName name="ii" localSheetId="23" hidden="1">{"Tab1",#N/A,FALSE,"P";"Tab2",#N/A,FALSE,"P"}</definedName>
    <definedName name="ii" hidden="1">{"Tab1",#N/A,FALSE,"P";"Tab2",#N/A,FALSE,"P"}</definedName>
    <definedName name="II_pilier_2" localSheetId="20">[28]Graf14_Graf15!#REF!</definedName>
    <definedName name="II_pilier_2">[28]Graf14_Graf15!#REF!</definedName>
    <definedName name="II_pillar_figure" localSheetId="20">[28]Graf14_Graf15!#REF!</definedName>
    <definedName name="II_pillar_figure">[28]Graf14_Graf15!#REF!</definedName>
    <definedName name="ima" localSheetId="20">#REF!</definedName>
    <definedName name="ima" localSheetId="28">#REF!</definedName>
    <definedName name="ima" localSheetId="29">#REF!</definedName>
    <definedName name="ima">#REF!</definedName>
    <definedName name="IMPn_2">[51]makro!$C$17</definedName>
    <definedName name="IMPn_2n">[51]makro!$C$39</definedName>
    <definedName name="IMPn_3">[51]makro!$D$17</definedName>
    <definedName name="IMPn_3n">[51]makro!$D$39</definedName>
    <definedName name="IMPn_4">[51]makro!$E$17</definedName>
    <definedName name="IMPn_4n">[51]makro!$E$39</definedName>
    <definedName name="IMPn_5">[51]makro!$F$17</definedName>
    <definedName name="IMPn_5n">[51]makro!$F$39</definedName>
    <definedName name="IMPn_6">[51]makro!$G$17</definedName>
    <definedName name="IMPn_6n">[51]makro!$G$39</definedName>
    <definedName name="IN1_" localSheetId="20">#REF!</definedName>
    <definedName name="IN1_" localSheetId="28">#REF!</definedName>
    <definedName name="IN1_" localSheetId="29">#REF!</definedName>
    <definedName name="IN1_">#REF!</definedName>
    <definedName name="IN2_" localSheetId="20">#REF!</definedName>
    <definedName name="IN2_" localSheetId="28">#REF!</definedName>
    <definedName name="IN2_" localSheetId="29">#REF!</definedName>
    <definedName name="IN2_">#REF!</definedName>
    <definedName name="INB" localSheetId="28">[29]B!$K$6:$T$6</definedName>
    <definedName name="INB">[30]B!$K$6:$T$6</definedName>
    <definedName name="INC" localSheetId="28">[29]C!$H$6:$I$6</definedName>
    <definedName name="INC">[30]C!$H$6:$I$6</definedName>
    <definedName name="ind" localSheetId="20">#REF!</definedName>
    <definedName name="ind" localSheetId="28">#REF!</definedName>
    <definedName name="ind" localSheetId="29">#REF!</definedName>
    <definedName name="ind">#REF!</definedName>
    <definedName name="INECEL" localSheetId="20">#REF!</definedName>
    <definedName name="INECEL" localSheetId="28">#REF!</definedName>
    <definedName name="INECEL" localSheetId="29">#REF!</definedName>
    <definedName name="INECEL">#REF!</definedName>
    <definedName name="inflation" localSheetId="10" hidden="1">[53]TAB34!#REF!</definedName>
    <definedName name="inflation" localSheetId="11" hidden="1">[54]TAB34!#REF!</definedName>
    <definedName name="inflation" localSheetId="20" hidden="1">[53]TAB34!#REF!</definedName>
    <definedName name="inflation" localSheetId="28" hidden="1">[55]TAB34!#REF!</definedName>
    <definedName name="inflation" localSheetId="35" hidden="1">[53]TAB34!#REF!</definedName>
    <definedName name="inflation" hidden="1">[53]TAB34!#REF!</definedName>
    <definedName name="INPUT_2" localSheetId="20">[1]Input!#REF!</definedName>
    <definedName name="INPUT_2" localSheetId="28">[1]Input!#REF!</definedName>
    <definedName name="INPUT_2">[1]Input!#REF!</definedName>
    <definedName name="INPUT_4" localSheetId="20">[1]Input!#REF!</definedName>
    <definedName name="INPUT_4" localSheetId="28">[1]Input!#REF!</definedName>
    <definedName name="INPUT_4">[1]Input!#REF!</definedName>
    <definedName name="IPee_2" localSheetId="20">[28]Graf14_Graf15!#REF!</definedName>
    <definedName name="IPee_2">[28]Graf14_Graf15!#REF!</definedName>
    <definedName name="IPer_2" localSheetId="20">[28]Graf14_Graf15!#REF!</definedName>
    <definedName name="IPer_2">[28]Graf14_Graf15!#REF!</definedName>
    <definedName name="IT" localSheetId="20">[28]Graf14_Graf15!#REF!</definedName>
    <definedName name="IT">[28]Graf14_Graf15!#REF!</definedName>
    <definedName name="IT_2" localSheetId="20">[28]Graf14_Graf15!#REF!</definedName>
    <definedName name="IT_2">[28]Graf14_Graf15!#REF!</definedName>
    <definedName name="IT_2_bracket_2" localSheetId="20">[28]Graf14_Graf15!#REF!</definedName>
    <definedName name="IT_2_bracket_2">[28]Graf14_Graf15!#REF!</definedName>
    <definedName name="jhgf" localSheetId="8" hidden="1">{"MONA",#N/A,FALSE,"S"}</definedName>
    <definedName name="jhgf" localSheetId="22" hidden="1">{"MONA",#N/A,FALSE,"S"}</definedName>
    <definedName name="jhgf" localSheetId="28" hidden="1">{"MONA",#N/A,FALSE,"S"}</definedName>
    <definedName name="jhgf" localSheetId="29" hidden="1">{"MONA",#N/A,FALSE,"S"}</definedName>
    <definedName name="jhgf" localSheetId="4" hidden="1">{"MONA",#N/A,FALSE,"S"}</definedName>
    <definedName name="jhgf" localSheetId="36" hidden="1">{"MONA",#N/A,FALSE,"S"}</definedName>
    <definedName name="jhgf" localSheetId="5" hidden="1">{"MONA",#N/A,FALSE,"S"}</definedName>
    <definedName name="jhgf" localSheetId="6" hidden="1">{"MONA",#N/A,FALSE,"S"}</definedName>
    <definedName name="jhgf" localSheetId="7" hidden="1">{"MONA",#N/A,FALSE,"S"}</definedName>
    <definedName name="jhgf" localSheetId="33" hidden="1">{"MONA",#N/A,FALSE,"S"}</definedName>
    <definedName name="jhgf" localSheetId="23" hidden="1">{"MONA",#N/A,FALSE,"S"}</definedName>
    <definedName name="jhgf" hidden="1">{"MONA",#N/A,FALSE,"S"}</definedName>
    <definedName name="jj" localSheetId="8" hidden="1">{"Riqfin97",#N/A,FALSE,"Tran";"Riqfinpro",#N/A,FALSE,"Tran"}</definedName>
    <definedName name="jj" localSheetId="11" hidden="1">{"Riqfin97",#N/A,FALSE,"Tran";"Riqfinpro",#N/A,FALSE,"Tran"}</definedName>
    <definedName name="jj" localSheetId="22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4" hidden="1">{"Riqfin97",#N/A,FALSE,"Tran";"Riqfinpro",#N/A,FALSE,"Tran"}</definedName>
    <definedName name="jj" localSheetId="35" hidden="1">{"Riqfin97",#N/A,FALSE,"Tran";"Riqfinpro",#N/A,FALSE,"Tran"}</definedName>
    <definedName name="jj" localSheetId="36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1" hidden="1">{"Riqfin97",#N/A,FALSE,"Tran";"Riqfinpro",#N/A,FALSE,"Tran"}</definedName>
    <definedName name="jj" localSheetId="16" hidden="1">{"Riqfin97",#N/A,FALSE,"Tran";"Riqfinpro",#N/A,FALSE,"Tran"}</definedName>
    <definedName name="jj" localSheetId="33" hidden="1">{"Riqfin97",#N/A,FALSE,"Tran";"Riqfinpro",#N/A,FALSE,"Tran"}</definedName>
    <definedName name="jj" localSheetId="14" hidden="1">{"Riqfin97",#N/A,FALSE,"Tran";"Riqfinpro",#N/A,FALSE,"Tran"}</definedName>
    <definedName name="jj" localSheetId="23" hidden="1">{"Riqfin97",#N/A,FALSE,"Tran";"Riqfinpro",#N/A,FALSE,"Tran"}</definedName>
    <definedName name="jj" hidden="1">{"Riqfin97",#N/A,FALSE,"Tran";"Riqfinpro",#N/A,FALSE,"Tran"}</definedName>
    <definedName name="jjj" localSheetId="20" hidden="1">[56]M!#REF!</definedName>
    <definedName name="jjj" localSheetId="28" hidden="1">[56]M!#REF!</definedName>
    <definedName name="jjj" localSheetId="35" hidden="1">[56]M!#REF!</definedName>
    <definedName name="jjj" hidden="1">[56]M!#REF!</definedName>
    <definedName name="jjjjjj" localSheetId="20" hidden="1">'[50]J(Priv.Cap)'!#REF!</definedName>
    <definedName name="jjjjjj" localSheetId="28" hidden="1">'[50]J(Priv.Cap)'!#REF!</definedName>
    <definedName name="jjjjjj" localSheetId="35" hidden="1">'[50]J(Priv.Cap)'!#REF!</definedName>
    <definedName name="jjjjjj" hidden="1">'[50]J(Priv.Cap)'!#REF!</definedName>
    <definedName name="kjg" localSheetId="8" hidden="1">{#N/A,#N/A,FALSE,"SimInp1";#N/A,#N/A,FALSE,"SimInp2";#N/A,#N/A,FALSE,"SimOut1";#N/A,#N/A,FALSE,"SimOut2";#N/A,#N/A,FALSE,"SimOut3";#N/A,#N/A,FALSE,"SimOut4";#N/A,#N/A,FALSE,"SimOut5"}</definedName>
    <definedName name="kjg" localSheetId="22" hidden="1">{#N/A,#N/A,FALSE,"SimInp1";#N/A,#N/A,FALSE,"SimInp2";#N/A,#N/A,FALSE,"SimOut1";#N/A,#N/A,FALSE,"SimOut2";#N/A,#N/A,FALSE,"SimOut3";#N/A,#N/A,FALSE,"SimOut4";#N/A,#N/A,FALSE,"SimOut5"}</definedName>
    <definedName name="kjg" localSheetId="28" hidden="1">{#N/A,#N/A,FALSE,"SimInp1";#N/A,#N/A,FALSE,"SimInp2";#N/A,#N/A,FALSE,"SimOut1";#N/A,#N/A,FALSE,"SimOut2";#N/A,#N/A,FALSE,"SimOut3";#N/A,#N/A,FALSE,"SimOut4";#N/A,#N/A,FALSE,"SimOut5"}</definedName>
    <definedName name="kjg" localSheetId="29" hidden="1">{#N/A,#N/A,FALSE,"SimInp1";#N/A,#N/A,FALSE,"SimInp2";#N/A,#N/A,FALSE,"SimOut1";#N/A,#N/A,FALSE,"SimOut2";#N/A,#N/A,FALSE,"SimOut3";#N/A,#N/A,FALSE,"SimOut4";#N/A,#N/A,FALSE,"SimOut5"}</definedName>
    <definedName name="kjg" localSheetId="4" hidden="1">{#N/A,#N/A,FALSE,"SimInp1";#N/A,#N/A,FALSE,"SimInp2";#N/A,#N/A,FALSE,"SimOut1";#N/A,#N/A,FALSE,"SimOut2";#N/A,#N/A,FALSE,"SimOut3";#N/A,#N/A,FALSE,"SimOut4";#N/A,#N/A,FALSE,"SimOut5"}</definedName>
    <definedName name="kjg" localSheetId="36" hidden="1">{#N/A,#N/A,FALSE,"SimInp1";#N/A,#N/A,FALSE,"SimInp2";#N/A,#N/A,FALSE,"SimOut1";#N/A,#N/A,FALSE,"SimOut2";#N/A,#N/A,FALSE,"SimOut3";#N/A,#N/A,FALSE,"SimOut4";#N/A,#N/A,FALSE,"SimOut5"}</definedName>
    <definedName name="kjg" localSheetId="5" hidden="1">{#N/A,#N/A,FALSE,"SimInp1";#N/A,#N/A,FALSE,"SimInp2";#N/A,#N/A,FALSE,"SimOut1";#N/A,#N/A,FALSE,"SimOut2";#N/A,#N/A,FALSE,"SimOut3";#N/A,#N/A,FALSE,"SimOut4";#N/A,#N/A,FALSE,"SimOut5"}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localSheetId="7" hidden="1">{#N/A,#N/A,FALSE,"SimInp1";#N/A,#N/A,FALSE,"SimInp2";#N/A,#N/A,FALSE,"SimOut1";#N/A,#N/A,FALSE,"SimOut2";#N/A,#N/A,FALSE,"SimOut3";#N/A,#N/A,FALSE,"SimOut4";#N/A,#N/A,FALSE,"SimOut5"}</definedName>
    <definedName name="kjg" localSheetId="33" hidden="1">{#N/A,#N/A,FALSE,"SimInp1";#N/A,#N/A,FALSE,"SimInp2";#N/A,#N/A,FALSE,"SimOut1";#N/A,#N/A,FALSE,"SimOut2";#N/A,#N/A,FALSE,"SimOut3";#N/A,#N/A,FALSE,"SimOut4";#N/A,#N/A,FALSE,"SimOut5"}</definedName>
    <definedName name="kjg" localSheetId="23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8" hidden="1">{"Tab1",#N/A,FALSE,"P";"Tab2",#N/A,FALSE,"P"}</definedName>
    <definedName name="kk" localSheetId="11" hidden="1">{"Tab1",#N/A,FALSE,"P";"Tab2",#N/A,FALSE,"P"}</definedName>
    <definedName name="kk" localSheetId="22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1" hidden="1">{"Tab1",#N/A,FALSE,"P";"Tab2",#N/A,FALSE,"P"}</definedName>
    <definedName name="kk" localSheetId="16" hidden="1">{"Tab1",#N/A,FALSE,"P";"Tab2",#N/A,FALSE,"P"}</definedName>
    <definedName name="kk" localSheetId="33" hidden="1">{"Tab1",#N/A,FALSE,"P";"Tab2",#N/A,FALSE,"P"}</definedName>
    <definedName name="kk" localSheetId="14" hidden="1">{"Tab1",#N/A,FALSE,"P";"Tab2",#N/A,FALSE,"P"}</definedName>
    <definedName name="kk" localSheetId="23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11" hidden="1">{"Tab1",#N/A,FALSE,"P";"Tab2",#N/A,FALSE,"P"}</definedName>
    <definedName name="kkk" localSheetId="22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1" hidden="1">{"Tab1",#N/A,FALSE,"P";"Tab2",#N/A,FALSE,"P"}</definedName>
    <definedName name="kkk" localSheetId="16" hidden="1">{"Tab1",#N/A,FALSE,"P";"Tab2",#N/A,FALSE,"P"}</definedName>
    <definedName name="kkk" localSheetId="33" hidden="1">{"Tab1",#N/A,FALSE,"P";"Tab2",#N/A,FALSE,"P"}</definedName>
    <definedName name="kkk" localSheetId="14" hidden="1">{"Tab1",#N/A,FALSE,"P";"Tab2",#N/A,FALSE,"P"}</definedName>
    <definedName name="kkk" localSheetId="23" hidden="1">{"Tab1",#N/A,FALSE,"P";"Tab2",#N/A,FALSE,"P"}</definedName>
    <definedName name="kkk" hidden="1">{"Tab1",#N/A,FALSE,"P";"Tab2",#N/A,FALSE,"P"}</definedName>
    <definedName name="kkkk" localSheetId="20" hidden="1">[44]M!#REF!</definedName>
    <definedName name="kkkk" localSheetId="28" hidden="1">[44]M!#REF!</definedName>
    <definedName name="kkkk" localSheetId="35" hidden="1">[44]M!#REF!</definedName>
    <definedName name="kkkk" hidden="1">[44]M!#REF!</definedName>
    <definedName name="Konto" localSheetId="20">#REF!</definedName>
    <definedName name="Konto" localSheetId="28">#REF!</definedName>
    <definedName name="Konto" localSheetId="29">#REF!</definedName>
    <definedName name="Konto">#REF!</definedName>
    <definedName name="KSDn_2">[51]makro!$C$7</definedName>
    <definedName name="KSDn_2_up">[51]makro!$C$8</definedName>
    <definedName name="KSDn_2n">[51]makro!$C$29</definedName>
    <definedName name="KSDn_2n_up">[51]makro!$C$30</definedName>
    <definedName name="KSDn_3">[51]makro!$D$7</definedName>
    <definedName name="KSDn_3_up">[51]makro!$D$8</definedName>
    <definedName name="KSDn_3n">[51]makro!$D$29</definedName>
    <definedName name="KSDn_3n_up">[51]makro!$D$30</definedName>
    <definedName name="KSDn_4">[51]makro!$E$7</definedName>
    <definedName name="KSDn_4_up">[51]makro!$E$8</definedName>
    <definedName name="KSDn_4n">[51]makro!$E$29</definedName>
    <definedName name="KSDn_4n_up">[51]makro!$E$30</definedName>
    <definedName name="KSDn_5">[51]makro!$F$7</definedName>
    <definedName name="KSDn_5_up">[51]makro!$F$8</definedName>
    <definedName name="KSDn_5n">[51]makro!$F$29</definedName>
    <definedName name="KSDn_5n_up">[51]makro!$F$30</definedName>
    <definedName name="KSDn_6">[51]makro!$G$7</definedName>
    <definedName name="KSDn_6_up">[51]makro!$G$8</definedName>
    <definedName name="KSDn_6n">[51]makro!$G$29</definedName>
    <definedName name="KSDn_6n_up">[51]makro!$G$30</definedName>
    <definedName name="KSDr_2">[51]makro!$C$6</definedName>
    <definedName name="KSDr_2n">[51]makro!$C$28</definedName>
    <definedName name="KSDr_3">[51]makro!$D$6</definedName>
    <definedName name="KSDr_3n">[51]makro!$D$28</definedName>
    <definedName name="KSDr_4">[51]makro!$E$6</definedName>
    <definedName name="KSDr_4n">[51]makro!$E$28</definedName>
    <definedName name="KSDr_5">[51]makro!$F$6</definedName>
    <definedName name="KSDr_5n">[51]makro!$F$28</definedName>
    <definedName name="KSDr_6">[51]makro!$G$6</definedName>
    <definedName name="KSDr_6n">[51]makro!$G$28</definedName>
    <definedName name="kumul1" localSheetId="20">#REF!</definedName>
    <definedName name="kumul1" localSheetId="28">#REF!</definedName>
    <definedName name="kumul1" localSheetId="29">#REF!</definedName>
    <definedName name="kumul1">#REF!</definedName>
    <definedName name="kumul2" localSheetId="20">#REF!</definedName>
    <definedName name="kumul2" localSheetId="28">#REF!</definedName>
    <definedName name="kumul2" localSheetId="29">#REF!</definedName>
    <definedName name="kumul2">#REF!</definedName>
    <definedName name="kvart1" localSheetId="20">#REF!</definedName>
    <definedName name="kvart1">#REF!</definedName>
    <definedName name="kvart2" localSheetId="20">#REF!</definedName>
    <definedName name="kvart2">#REF!</definedName>
    <definedName name="kvart3" localSheetId="20">#REF!</definedName>
    <definedName name="kvart3">#REF!</definedName>
    <definedName name="kvart4" localSheetId="20">#REF!</definedName>
    <definedName name="kvart4">#REF!</definedName>
    <definedName name="ll" localSheetId="8" hidden="1">{"Tab1",#N/A,FALSE,"P";"Tab2",#N/A,FALSE,"P"}</definedName>
    <definedName name="ll" localSheetId="11" hidden="1">{"Tab1",#N/A,FALSE,"P";"Tab2",#N/A,FALSE,"P"}</definedName>
    <definedName name="ll" localSheetId="22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1" hidden="1">{"Tab1",#N/A,FALSE,"P";"Tab2",#N/A,FALSE,"P"}</definedName>
    <definedName name="ll" localSheetId="16" hidden="1">{"Tab1",#N/A,FALSE,"P";"Tab2",#N/A,FALSE,"P"}</definedName>
    <definedName name="ll" localSheetId="33" hidden="1">{"Tab1",#N/A,FALSE,"P";"Tab2",#N/A,FALSE,"P"}</definedName>
    <definedName name="ll" localSheetId="14" hidden="1">{"Tab1",#N/A,FALSE,"P";"Tab2",#N/A,FALSE,"P"}</definedName>
    <definedName name="ll" localSheetId="23" hidden="1">{"Tab1",#N/A,FALSE,"P";"Tab2",#N/A,FALSE,"P"}</definedName>
    <definedName name="ll" hidden="1">{"Tab1",#N/A,FALSE,"P";"Tab2",#N/A,FALSE,"P"}</definedName>
    <definedName name="lll" localSheetId="8" hidden="1">{"Riqfin97",#N/A,FALSE,"Tran";"Riqfinpro",#N/A,FALSE,"Tran"}</definedName>
    <definedName name="lll" localSheetId="11" hidden="1">{"Riqfin97",#N/A,FALSE,"Tran";"Riqfinpro",#N/A,FALSE,"Tran"}</definedName>
    <definedName name="lll" localSheetId="22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1" hidden="1">{"Riqfin97",#N/A,FALSE,"Tran";"Riqfinpro",#N/A,FALSE,"Tran"}</definedName>
    <definedName name="lll" localSheetId="16" hidden="1">{"Riqfin97",#N/A,FALSE,"Tran";"Riqfinpro",#N/A,FALSE,"Tran"}</definedName>
    <definedName name="lll" localSheetId="33" hidden="1">{"Riqfin97",#N/A,FALSE,"Tran";"Riqfinpro",#N/A,FALSE,"Tran"}</definedName>
    <definedName name="lll" localSheetId="14" hidden="1">{"Riqfin97",#N/A,FALSE,"Tran";"Riqfinpro",#N/A,FALSE,"Tran"}</definedName>
    <definedName name="lll" localSheetId="23" hidden="1">{"Riqfin97",#N/A,FALSE,"Tran";"Riqfinpro",#N/A,FALSE,"Tran"}</definedName>
    <definedName name="lll" hidden="1">{"Riqfin97",#N/A,FALSE,"Tran";"Riqfinpro",#N/A,FALSE,"Tran"}</definedName>
    <definedName name="llll" localSheetId="20" hidden="1">[56]M!#REF!</definedName>
    <definedName name="llll" localSheetId="28" hidden="1">[56]M!#REF!</definedName>
    <definedName name="llll" localSheetId="35" hidden="1">[56]M!#REF!</definedName>
    <definedName name="llll" hidden="1">[56]M!#REF!</definedName>
    <definedName name="ls">[43]LS!$A$1:$E$65536</definedName>
    <definedName name="LUR">#N/A</definedName>
    <definedName name="Malaysia" localSheetId="20">#REF!</definedName>
    <definedName name="Malaysia" localSheetId="28">#REF!</definedName>
    <definedName name="Malaysia" localSheetId="29">#REF!</definedName>
    <definedName name="Malaysia">#REF!</definedName>
    <definedName name="MB_2">[51]makro!$C$11</definedName>
    <definedName name="MB_2n">[51]makro!$C$33</definedName>
    <definedName name="MB_3">[51]makro!$D$11</definedName>
    <definedName name="MB_3n">[51]makro!$D$33</definedName>
    <definedName name="MB_4">[51]makro!$E$11</definedName>
    <definedName name="MB_4n">[51]makro!$E$33</definedName>
    <definedName name="MB_5">[51]makro!$F$11</definedName>
    <definedName name="MB_5n">[51]makro!$F$33</definedName>
    <definedName name="MB_6">[51]makro!$G$11</definedName>
    <definedName name="MB_6n">[51]makro!$G$33</definedName>
    <definedName name="MCV">#N/A</definedName>
    <definedName name="MCV_B">#N/A</definedName>
    <definedName name="MCV_B1" localSheetId="20">'[26]WEO-BOP'!#REF!</definedName>
    <definedName name="MCV_B1" localSheetId="28">'[26]WEO-BOP'!#REF!</definedName>
    <definedName name="MCV_B1">'[26]WEO-BOP'!#REF!</definedName>
    <definedName name="MCV_D">#N/A</definedName>
    <definedName name="MCV_N">#N/A</definedName>
    <definedName name="MCV_T">#N/A</definedName>
    <definedName name="MENORES" localSheetId="20">#REF!</definedName>
    <definedName name="MENORES" localSheetId="28">#REF!</definedName>
    <definedName name="MENORES" localSheetId="29">#REF!</definedName>
    <definedName name="MENORES">#REF!</definedName>
    <definedName name="mesec1" localSheetId="20">#REF!</definedName>
    <definedName name="mesec1" localSheetId="28">#REF!</definedName>
    <definedName name="mesec1" localSheetId="29">#REF!</definedName>
    <definedName name="mesec1">#REF!</definedName>
    <definedName name="mesec2" localSheetId="20">#REF!</definedName>
    <definedName name="mesec2" localSheetId="28">#REF!</definedName>
    <definedName name="mesec2" localSheetId="29">#REF!</definedName>
    <definedName name="mesec2">#REF!</definedName>
    <definedName name="mf" localSheetId="8" hidden="1">{"Tab1",#N/A,FALSE,"P";"Tab2",#N/A,FALSE,"P"}</definedName>
    <definedName name="mf" localSheetId="11" hidden="1">{"Tab1",#N/A,FALSE,"P";"Tab2",#N/A,FALSE,"P"}</definedName>
    <definedName name="mf" localSheetId="22" hidden="1">{"Tab1",#N/A,FALSE,"P";"Tab2",#N/A,FALSE,"P"}</definedName>
    <definedName name="mf" localSheetId="28" hidden="1">{"Tab1",#N/A,FALSE,"P";"Tab2",#N/A,FALSE,"P"}</definedName>
    <definedName name="mf" localSheetId="29" hidden="1">{"Tab1",#N/A,FALSE,"P";"Tab2",#N/A,FALSE,"P"}</definedName>
    <definedName name="mf" localSheetId="4" hidden="1">{"Tab1",#N/A,FALSE,"P";"Tab2",#N/A,FALSE,"P"}</definedName>
    <definedName name="mf" localSheetId="35" hidden="1">{"Tab1",#N/A,FALSE,"P";"Tab2",#N/A,FALSE,"P"}</definedName>
    <definedName name="mf" localSheetId="36" hidden="1">{"Tab1",#N/A,FALSE,"P";"Tab2",#N/A,FALSE,"P"}</definedName>
    <definedName name="mf" localSheetId="5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localSheetId="1" hidden="1">{"Tab1",#N/A,FALSE,"P";"Tab2",#N/A,FALSE,"P"}</definedName>
    <definedName name="mf" localSheetId="16" hidden="1">{"Tab1",#N/A,FALSE,"P";"Tab2",#N/A,FALSE,"P"}</definedName>
    <definedName name="mf" localSheetId="33" hidden="1">{"Tab1",#N/A,FALSE,"P";"Tab2",#N/A,FALSE,"P"}</definedName>
    <definedName name="mf" localSheetId="14" hidden="1">{"Tab1",#N/A,FALSE,"P";"Tab2",#N/A,FALSE,"P"}</definedName>
    <definedName name="mf" localSheetId="23" hidden="1">{"Tab1",#N/A,FALSE,"P";"Tab2",#N/A,FALSE,"P"}</definedName>
    <definedName name="mf" hidden="1">{"Tab1",#N/A,FALSE,"P";"Tab2",#N/A,FALSE,"P"}</definedName>
    <definedName name="MFISCAL" localSheetId="20">'[3]Annual Raw Data'!#REF!</definedName>
    <definedName name="MFISCAL" localSheetId="28">'[3]Annual Raw Data'!#REF!</definedName>
    <definedName name="MFISCAL">'[3]Annual Raw Data'!#REF!</definedName>
    <definedName name="mflowsa" localSheetId="20">[19]!mflowsa</definedName>
    <definedName name="mflowsa" localSheetId="28">[19]!mflowsa</definedName>
    <definedName name="mflowsa">[19]!mflowsa</definedName>
    <definedName name="mflowsq" localSheetId="20">[19]!mflowsq</definedName>
    <definedName name="mflowsq" localSheetId="28">[19]!mflowsq</definedName>
    <definedName name="mflowsq">[19]!mflowsq</definedName>
    <definedName name="MICRO" localSheetId="20">#REF!</definedName>
    <definedName name="MICRO" localSheetId="28">#REF!</definedName>
    <definedName name="MICRO" localSheetId="29">#REF!</definedName>
    <definedName name="MICRO">#REF!</definedName>
    <definedName name="min_VZ" localSheetId="20">[28]Graf14_Graf15!#REF!</definedName>
    <definedName name="min_VZ" localSheetId="28">[28]Graf14_Graf15!#REF!</definedName>
    <definedName name="min_VZ" localSheetId="29">[28]Graf14_Graf15!#REF!</definedName>
    <definedName name="min_VZ">[28]Graf14_Graf15!#REF!</definedName>
    <definedName name="MISC3" localSheetId="20">#REF!</definedName>
    <definedName name="MISC3" localSheetId="28">#REF!</definedName>
    <definedName name="MISC3" localSheetId="29">#REF!</definedName>
    <definedName name="MISC3">#REF!</definedName>
    <definedName name="MISC4" localSheetId="20">[1]OUTPUT!#REF!</definedName>
    <definedName name="MISC4" localSheetId="28">[1]OUTPUT!#REF!</definedName>
    <definedName name="MISC4" localSheetId="29">[1]OUTPUT!#REF!</definedName>
    <definedName name="MISC4">[1]OUTPUT!#REF!</definedName>
    <definedName name="mmm" localSheetId="8" hidden="1">{"Riqfin97",#N/A,FALSE,"Tran";"Riqfinpro",#N/A,FALSE,"Tran"}</definedName>
    <definedName name="mmm" localSheetId="11" hidden="1">{"Riqfin97",#N/A,FALSE,"Tran";"Riqfinpro",#N/A,FALSE,"Tran"}</definedName>
    <definedName name="mmm" localSheetId="22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1" hidden="1">{"Riqfin97",#N/A,FALSE,"Tran";"Riqfinpro",#N/A,FALSE,"Tran"}</definedName>
    <definedName name="mmm" localSheetId="16" hidden="1">{"Riqfin97",#N/A,FALSE,"Tran";"Riqfinpro",#N/A,FALSE,"Tran"}</definedName>
    <definedName name="mmm" localSheetId="33" hidden="1">{"Riqfin97",#N/A,FALSE,"Tran";"Riqfinpro",#N/A,FALSE,"Tran"}</definedName>
    <definedName name="mmm" localSheetId="14" hidden="1">{"Riqfin97",#N/A,FALSE,"Tran";"Riqfinpro",#N/A,FALSE,"Tran"}</definedName>
    <definedName name="mmm" localSheetId="23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11" hidden="1">{"Tab1",#N/A,FALSE,"P";"Tab2",#N/A,FALSE,"P"}</definedName>
    <definedName name="mmmm" localSheetId="22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1" hidden="1">{"Tab1",#N/A,FALSE,"P";"Tab2",#N/A,FALSE,"P"}</definedName>
    <definedName name="mmmm" localSheetId="16" hidden="1">{"Tab1",#N/A,FALSE,"P";"Tab2",#N/A,FALSE,"P"}</definedName>
    <definedName name="mmmm" localSheetId="33" hidden="1">{"Tab1",#N/A,FALSE,"P";"Tab2",#N/A,FALSE,"P"}</definedName>
    <definedName name="mmmm" localSheetId="14" hidden="1">{"Tab1",#N/A,FALSE,"P";"Tab2",#N/A,FALSE,"P"}</definedName>
    <definedName name="mmmm" localSheetId="23" hidden="1">{"Tab1",#N/A,FALSE,"P";"Tab2",#N/A,FALSE,"P"}</definedName>
    <definedName name="mmmm" hidden="1">{"Tab1",#N/A,FALSE,"P";"Tab2",#N/A,FALSE,"P"}</definedName>
    <definedName name="MON_SM" localSheetId="20">#REF!</definedName>
    <definedName name="MON_SM" localSheetId="28">#REF!</definedName>
    <definedName name="MON_SM" localSheetId="29">#REF!</definedName>
    <definedName name="MON_SM">#REF!</definedName>
    <definedName name="MONF_SM" localSheetId="20">#REF!</definedName>
    <definedName name="MONF_SM" localSheetId="28">#REF!</definedName>
    <definedName name="MONF_SM" localSheetId="29">#REF!</definedName>
    <definedName name="MONF_SM">#REF!</definedName>
    <definedName name="MONTH" localSheetId="28">[6]REER!$D$140:$E$199</definedName>
    <definedName name="MONTH">[21]REER!$D$140:$E$199</definedName>
    <definedName name="mstocksa" localSheetId="20">[19]!mstocksa</definedName>
    <definedName name="mstocksa" localSheetId="28">[19]!mstocksa</definedName>
    <definedName name="mstocksa">[19]!mstocksa</definedName>
    <definedName name="mstocksq" localSheetId="20">[19]!mstocksq</definedName>
    <definedName name="mstocksq" localSheetId="28">[19]!mstocksq</definedName>
    <definedName name="mstocksq">[19]!mstocksq</definedName>
    <definedName name="MTO" localSheetId="20">#REF!</definedName>
    <definedName name="MTO" localSheetId="28">#REF!</definedName>
    <definedName name="MTO" localSheetId="29">#REF!</definedName>
    <definedName name="MTO">#REF!</definedName>
    <definedName name="Municipios" localSheetId="20">#REF!</definedName>
    <definedName name="Municipios" localSheetId="28">#REF!</definedName>
    <definedName name="Municipios" localSheetId="29">#REF!</definedName>
    <definedName name="Municipios">#REF!</definedName>
    <definedName name="MVZ_1.5x" localSheetId="20">[28]Graf14_Graf15!#REF!</definedName>
    <definedName name="MVZ_1.5x" localSheetId="28">[28]Graf14_Graf15!#REF!</definedName>
    <definedName name="MVZ_1.5x" localSheetId="29">[28]Graf14_Graf15!#REF!</definedName>
    <definedName name="MVZ_1.5x">[28]Graf14_Graf15!#REF!</definedName>
    <definedName name="MVZ_4x" localSheetId="20">[28]Graf14_Graf15!#REF!</definedName>
    <definedName name="MVZ_4x" localSheetId="28">[28]Graf14_Graf15!#REF!</definedName>
    <definedName name="MVZ_4x" localSheetId="29">[28]Graf14_Graf15!#REF!</definedName>
    <definedName name="MVZ_4x">[28]Graf14_Graf15!#REF!</definedName>
    <definedName name="MVZ_5x" localSheetId="20">[28]Graf14_Graf15!#REF!</definedName>
    <definedName name="MVZ_5x" localSheetId="28">[28]Graf14_Graf15!#REF!</definedName>
    <definedName name="MVZ_5x" localSheetId="29">[28]Graf14_Graf15!#REF!</definedName>
    <definedName name="MVZ_5x">[28]Graf14_Graf15!#REF!</definedName>
    <definedName name="MW" localSheetId="20">[28]Graf14_Graf15!#REF!</definedName>
    <definedName name="MW" localSheetId="28">[28]Graf14_Graf15!#REF!</definedName>
    <definedName name="MW" localSheetId="29">[28]Graf14_Graf15!#REF!</definedName>
    <definedName name="MW">[28]Graf14_Graf15!#REF!</definedName>
    <definedName name="MW_2" localSheetId="20">[28]Graf14_Graf15!#REF!</definedName>
    <definedName name="MW_2" localSheetId="28">[28]Graf14_Graf15!#REF!</definedName>
    <definedName name="MW_2" localSheetId="29">[28]Graf14_Graf15!#REF!</definedName>
    <definedName name="MW_2">[28]Graf14_Graf15!#REF!</definedName>
    <definedName name="NACTCURRENT" localSheetId="20">#REF!</definedName>
    <definedName name="NACTCURRENT" localSheetId="28">#REF!</definedName>
    <definedName name="NACTCURRENT" localSheetId="29">#REF!</definedName>
    <definedName name="NACTCURRENT">#REF!</definedName>
    <definedName name="nam1out" localSheetId="20">#REF!</definedName>
    <definedName name="nam1out" localSheetId="28">#REF!</definedName>
    <definedName name="nam1out" localSheetId="29">#REF!</definedName>
    <definedName name="nam1out">#REF!</definedName>
    <definedName name="nam2in" localSheetId="20">#REF!</definedName>
    <definedName name="nam2in" localSheetId="28">#REF!</definedName>
    <definedName name="nam2in" localSheetId="29">#REF!</definedName>
    <definedName name="nam2in">#REF!</definedName>
    <definedName name="nam2out" localSheetId="20">#REF!</definedName>
    <definedName name="nam2out">#REF!</definedName>
    <definedName name="NAMB" localSheetId="28">[6]REER!$AY$143:$BB$143</definedName>
    <definedName name="NAMB">[21]REER!$AY$143:$BB$143</definedName>
    <definedName name="namcr" localSheetId="8">'[2]Tab ann curr'!#REF!</definedName>
    <definedName name="namcr" localSheetId="20">'[2]Tab ann curr'!#REF!</definedName>
    <definedName name="namcr" localSheetId="22">'[2]Tab ann curr'!#REF!</definedName>
    <definedName name="namcr" localSheetId="28">'[2]Tab ann curr'!#REF!</definedName>
    <definedName name="namcr" localSheetId="29">'[2]Tab ann curr'!#REF!</definedName>
    <definedName name="namcr" localSheetId="4">'[2]Tab ann curr'!#REF!</definedName>
    <definedName name="namcr" localSheetId="36">'[2]Tab ann curr'!#REF!</definedName>
    <definedName name="namcr" localSheetId="5">'[2]Tab ann curr'!#REF!</definedName>
    <definedName name="namcr" localSheetId="6">'[2]Tab ann curr'!#REF!</definedName>
    <definedName name="namcr" localSheetId="7">'[2]Tab ann curr'!#REF!</definedName>
    <definedName name="namcr" localSheetId="33">'[2]Tab ann curr'!#REF!</definedName>
    <definedName name="namcr" localSheetId="23">'[2]Tab ann curr'!#REF!</definedName>
    <definedName name="namcr">'[2]Tab ann curr'!#REF!</definedName>
    <definedName name="namcs" localSheetId="20">'[2]Tab ann cst'!#REF!</definedName>
    <definedName name="namcs" localSheetId="28">'[2]Tab ann cst'!#REF!</definedName>
    <definedName name="namcs" localSheetId="29">'[2]Tab ann cst'!#REF!</definedName>
    <definedName name="namcs">'[2]Tab ann cst'!#REF!</definedName>
    <definedName name="name_AD">[35]Sheet1!$A$20</definedName>
    <definedName name="name_EXP">[35]Sheet1!$N$54:$N$71</definedName>
    <definedName name="name_FISC" localSheetId="20">#REF!</definedName>
    <definedName name="name_FISC" localSheetId="28">#REF!</definedName>
    <definedName name="name_FISC" localSheetId="29">#REF!</definedName>
    <definedName name="name_FISC">#REF!</definedName>
    <definedName name="nameIntLiq" localSheetId="20">#REF!</definedName>
    <definedName name="nameIntLiq" localSheetId="28">#REF!</definedName>
    <definedName name="nameIntLiq" localSheetId="29">#REF!</definedName>
    <definedName name="nameIntLiq">#REF!</definedName>
    <definedName name="nameMoney" localSheetId="20">#REF!</definedName>
    <definedName name="nameMoney" localSheetId="28">#REF!</definedName>
    <definedName name="nameMoney" localSheetId="29">#REF!</definedName>
    <definedName name="nameMoney">#REF!</definedName>
    <definedName name="nameRATES" localSheetId="20">#REF!</definedName>
    <definedName name="nameRATES">#REF!</definedName>
    <definedName name="nameRAWQ" localSheetId="20">'[36]Raw Data'!#REF!</definedName>
    <definedName name="nameRAWQ" localSheetId="28">'[36]Raw Data'!#REF!</definedName>
    <definedName name="nameRAWQ">'[36]Raw Data'!#REF!</definedName>
    <definedName name="nameReal" localSheetId="20">#REF!</definedName>
    <definedName name="nameReal" localSheetId="28">#REF!</definedName>
    <definedName name="nameReal" localSheetId="29">#REF!</definedName>
    <definedName name="nameReal">#REF!</definedName>
    <definedName name="names" localSheetId="20">#REF!</definedName>
    <definedName name="names" localSheetId="28">#REF!</definedName>
    <definedName name="names" localSheetId="29">#REF!</definedName>
    <definedName name="names">#REF!</definedName>
    <definedName name="NAMES_fidr_r" localSheetId="20">[33]monthly!#REF!</definedName>
    <definedName name="NAMES_fidr_r" localSheetId="28">[34]monthly!#REF!</definedName>
    <definedName name="NAMES_fidr_r" localSheetId="29">[33]monthly!#REF!</definedName>
    <definedName name="NAMES_fidr_r">[33]monthly!#REF!</definedName>
    <definedName name="names_figb_r" localSheetId="20">[33]monthly!#REF!</definedName>
    <definedName name="names_figb_r" localSheetId="28">[34]monthly!#REF!</definedName>
    <definedName name="names_figb_r" localSheetId="29">[33]monthly!#REF!</definedName>
    <definedName name="names_figb_r">[33]monthly!#REF!</definedName>
    <definedName name="names_w" localSheetId="20">#REF!</definedName>
    <definedName name="names_w" localSheetId="28">#REF!</definedName>
    <definedName name="names_w" localSheetId="29">#REF!</definedName>
    <definedName name="names_w">#REF!</definedName>
    <definedName name="names1in" localSheetId="20">#REF!</definedName>
    <definedName name="names1in" localSheetId="28">#REF!</definedName>
    <definedName name="names1in" localSheetId="29">#REF!</definedName>
    <definedName name="names1in">#REF!</definedName>
    <definedName name="NAMESB" localSheetId="20">#REF!</definedName>
    <definedName name="NAMESB" localSheetId="28">#REF!</definedName>
    <definedName name="NAMESB" localSheetId="29">#REF!</definedName>
    <definedName name="NAMESB">#REF!</definedName>
    <definedName name="namesc" localSheetId="20">#REF!</definedName>
    <definedName name="namesc">#REF!</definedName>
    <definedName name="NAMESG" localSheetId="20">#REF!</definedName>
    <definedName name="NAMESG" localSheetId="28">#REF!</definedName>
    <definedName name="NAMESG">#REF!</definedName>
    <definedName name="namesm" localSheetId="20">#REF!</definedName>
    <definedName name="namesm">#REF!</definedName>
    <definedName name="NAMESQ" localSheetId="20">#REF!</definedName>
    <definedName name="NAMESQ">#REF!</definedName>
    <definedName name="namesr" localSheetId="20">#REF!</definedName>
    <definedName name="namesr">#REF!</definedName>
    <definedName name="namestran" localSheetId="28">[29]transfer!$C$1:$O$1</definedName>
    <definedName name="namestran">[30]transfer!$C$1:$O$1</definedName>
    <definedName name="namgdp" localSheetId="20">#REF!</definedName>
    <definedName name="namgdp" localSheetId="28">#REF!</definedName>
    <definedName name="namgdp" localSheetId="29">#REF!</definedName>
    <definedName name="namgdp">#REF!</definedName>
    <definedName name="NAMIN" localSheetId="20">#REF!</definedName>
    <definedName name="NAMIN" localSheetId="28">#REF!</definedName>
    <definedName name="NAMIN" localSheetId="29">#REF!</definedName>
    <definedName name="NAMIN">#REF!</definedName>
    <definedName name="namin1" localSheetId="28">[6]REER!$F$1:$BP$1</definedName>
    <definedName name="namin1">[21]REER!$F$1:$BP$1</definedName>
    <definedName name="namin2" localSheetId="28">[6]REER!$F$138:$AA$138</definedName>
    <definedName name="namin2">[21]REER!$F$138:$AA$138</definedName>
    <definedName name="namind" localSheetId="8">'[2]work Q real'!#REF!</definedName>
    <definedName name="namind" localSheetId="20">'[2]work Q real'!#REF!</definedName>
    <definedName name="namind" localSheetId="22">'[2]work Q real'!#REF!</definedName>
    <definedName name="namind" localSheetId="28">'[2]work Q real'!#REF!</definedName>
    <definedName name="namind" localSheetId="29">'[2]work Q real'!#REF!</definedName>
    <definedName name="namind" localSheetId="4">'[2]work Q real'!#REF!</definedName>
    <definedName name="namind" localSheetId="36">'[2]work Q real'!#REF!</definedName>
    <definedName name="namind" localSheetId="5">'[2]work Q real'!#REF!</definedName>
    <definedName name="namind" localSheetId="6">'[2]work Q real'!#REF!</definedName>
    <definedName name="namind" localSheetId="7">'[2]work Q real'!#REF!</definedName>
    <definedName name="namind" localSheetId="33">'[2]work Q real'!#REF!</definedName>
    <definedName name="namind" localSheetId="23">'[2]work Q real'!#REF!</definedName>
    <definedName name="namind">'[2]work Q real'!#REF!</definedName>
    <definedName name="naminm" localSheetId="20">#REF!</definedName>
    <definedName name="naminm" localSheetId="28">#REF!</definedName>
    <definedName name="naminm" localSheetId="29">#REF!</definedName>
    <definedName name="naminm">#REF!</definedName>
    <definedName name="naminq" localSheetId="20">#REF!</definedName>
    <definedName name="naminq" localSheetId="28">#REF!</definedName>
    <definedName name="naminq" localSheetId="29">#REF!</definedName>
    <definedName name="naminq">#REF!</definedName>
    <definedName name="namm" localSheetId="20">#REF!</definedName>
    <definedName name="namm" localSheetId="28">#REF!</definedName>
    <definedName name="namm" localSheetId="29">#REF!</definedName>
    <definedName name="namm">#REF!</definedName>
    <definedName name="NAMOUT" localSheetId="20">#REF!</definedName>
    <definedName name="NAMOUT">#REF!</definedName>
    <definedName name="namout1" localSheetId="28">[6]REER!$F$2:$AA$2</definedName>
    <definedName name="namout1">[21]REER!$F$2:$AA$2</definedName>
    <definedName name="namoutm" localSheetId="20">#REF!</definedName>
    <definedName name="namoutm" localSheetId="28">#REF!</definedName>
    <definedName name="namoutm" localSheetId="29">#REF!</definedName>
    <definedName name="namoutm">#REF!</definedName>
    <definedName name="namoutq" localSheetId="20">#REF!</definedName>
    <definedName name="namoutq" localSheetId="28">#REF!</definedName>
    <definedName name="namoutq" localSheetId="29">#REF!</definedName>
    <definedName name="namoutq">#REF!</definedName>
    <definedName name="namprofit" localSheetId="28">[6]C!$O$1:$Z$1</definedName>
    <definedName name="namprofit">[21]C!$O$1:$Z$1</definedName>
    <definedName name="namq" localSheetId="20">#REF!</definedName>
    <definedName name="namq" localSheetId="28">#REF!</definedName>
    <definedName name="namq" localSheetId="29">#REF!</definedName>
    <definedName name="namq">#REF!</definedName>
    <definedName name="namq1" localSheetId="20">#REF!</definedName>
    <definedName name="namq1" localSheetId="28">#REF!</definedName>
    <definedName name="namq1" localSheetId="29">#REF!</definedName>
    <definedName name="namq1">#REF!</definedName>
    <definedName name="namq2" localSheetId="20">#REF!</definedName>
    <definedName name="namq2" localSheetId="28">#REF!</definedName>
    <definedName name="namq2" localSheetId="29">#REF!</definedName>
    <definedName name="namq2">#REF!</definedName>
    <definedName name="namreer" localSheetId="28">[6]REER!$AY$143:$BF$143</definedName>
    <definedName name="namreer">[21]REER!$AY$143:$BF$143</definedName>
    <definedName name="namsgdp" localSheetId="20">#REF!</definedName>
    <definedName name="namsgdp" localSheetId="28">#REF!</definedName>
    <definedName name="namsgdp" localSheetId="29">#REF!</definedName>
    <definedName name="namsgdp">#REF!</definedName>
    <definedName name="namtin" localSheetId="20">#REF!</definedName>
    <definedName name="namtin" localSheetId="28">#REF!</definedName>
    <definedName name="namtin" localSheetId="29">#REF!</definedName>
    <definedName name="namtin">#REF!</definedName>
    <definedName name="namtout" localSheetId="20">#REF!</definedName>
    <definedName name="namtout" localSheetId="28">#REF!</definedName>
    <definedName name="namtout" localSheetId="29">#REF!</definedName>
    <definedName name="namtout">#REF!</definedName>
    <definedName name="namulc" localSheetId="28">[6]REER!$BI$1:$BP$1</definedName>
    <definedName name="namulc">[21]REER!$BI$1:$BP$1</definedName>
    <definedName name="_xlnm.Print_Titles" localSheetId="20">#REF!,#REF!</definedName>
    <definedName name="_xlnm.Print_Titles" localSheetId="28">#REF!,#REF!</definedName>
    <definedName name="_xlnm.Print_Titles" localSheetId="29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8">[28]Graf14_Graf15!#REF!</definedName>
    <definedName name="NCZD" localSheetId="20">[28]Graf14_Graf15!#REF!</definedName>
    <definedName name="NCZD" localSheetId="22">[28]Graf14_Graf15!#REF!</definedName>
    <definedName name="NCZD" localSheetId="28">[28]Graf14_Graf15!#REF!</definedName>
    <definedName name="NCZD" localSheetId="29">[28]Graf14_Graf15!#REF!</definedName>
    <definedName name="NCZD" localSheetId="4">[28]Graf14_Graf15!#REF!</definedName>
    <definedName name="NCZD" localSheetId="36">[28]Graf14_Graf15!#REF!</definedName>
    <definedName name="NCZD" localSheetId="5">[28]Graf14_Graf15!#REF!</definedName>
    <definedName name="NCZD" localSheetId="6">[28]Graf14_Graf15!#REF!</definedName>
    <definedName name="NCZD" localSheetId="7">[28]Graf14_Graf15!#REF!</definedName>
    <definedName name="NCZD" localSheetId="33">[28]Graf14_Graf15!#REF!</definedName>
    <definedName name="NCZD" localSheetId="23">[28]Graf14_Graf15!#REF!</definedName>
    <definedName name="NCZD">[28]Graf14_Graf15!#REF!</definedName>
    <definedName name="NCZD_2" localSheetId="20">[28]Graf14_Graf15!#REF!</definedName>
    <definedName name="NCZD_2" localSheetId="28">[28]Graf14_Graf15!#REF!</definedName>
    <definedName name="NCZD_2" localSheetId="29">[28]Graf14_Graf15!#REF!</definedName>
    <definedName name="NCZD_2">[28]Graf14_Graf15!#REF!</definedName>
    <definedName name="NEER" localSheetId="28">[6]REER!$AY$144:$AY$206</definedName>
    <definedName name="NEER">[21]REER!$AY$144:$AY$206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20">#REF!</definedName>
    <definedName name="NGDPA" localSheetId="28">#REF!</definedName>
    <definedName name="NGDPA" localSheetId="29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8" hidden="1">{"Riqfin97",#N/A,FALSE,"Tran";"Riqfinpro",#N/A,FALSE,"Tran"}</definedName>
    <definedName name="nn" localSheetId="11" hidden="1">{"Riqfin97",#N/A,FALSE,"Tran";"Riqfinpro",#N/A,FALSE,"Tran"}</definedName>
    <definedName name="nn" localSheetId="22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1" hidden="1">{"Riqfin97",#N/A,FALSE,"Tran";"Riqfinpro",#N/A,FALSE,"Tran"}</definedName>
    <definedName name="nn" localSheetId="16" hidden="1">{"Riqfin97",#N/A,FALSE,"Tran";"Riqfinpro",#N/A,FALSE,"Tran"}</definedName>
    <definedName name="nn" localSheetId="33" hidden="1">{"Riqfin97",#N/A,FALSE,"Tran";"Riqfinpro",#N/A,FALSE,"Tran"}</definedName>
    <definedName name="nn" localSheetId="14" hidden="1">{"Riqfin97",#N/A,FALSE,"Tran";"Riqfinpro",#N/A,FALSE,"Tran"}</definedName>
    <definedName name="nn" localSheetId="23" hidden="1">{"Riqfin97",#N/A,FALSE,"Tran";"Riqfinpro",#N/A,FALSE,"Tran"}</definedName>
    <definedName name="nn" hidden="1">{"Riqfin97",#N/A,FALSE,"Tran";"Riqfinpro",#N/A,FALSE,"Tran"}</definedName>
    <definedName name="nnn" localSheetId="8" hidden="1">{"Tab1",#N/A,FALSE,"P";"Tab2",#N/A,FALSE,"P"}</definedName>
    <definedName name="nnn" localSheetId="11" hidden="1">{"Tab1",#N/A,FALSE,"P";"Tab2",#N/A,FALSE,"P"}</definedName>
    <definedName name="nnn" localSheetId="22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1" hidden="1">{"Tab1",#N/A,FALSE,"P";"Tab2",#N/A,FALSE,"P"}</definedName>
    <definedName name="nnn" localSheetId="16" hidden="1">{"Tab1",#N/A,FALSE,"P";"Tab2",#N/A,FALSE,"P"}</definedName>
    <definedName name="nnn" localSheetId="33" hidden="1">{"Tab1",#N/A,FALSE,"P";"Tab2",#N/A,FALSE,"P"}</definedName>
    <definedName name="nnn" localSheetId="14" hidden="1">{"Tab1",#N/A,FALSE,"P";"Tab2",#N/A,FALSE,"P"}</definedName>
    <definedName name="nnn" localSheetId="23" hidden="1">{"Tab1",#N/A,FALSE,"P";"Tab2",#N/A,FALSE,"P"}</definedName>
    <definedName name="nnn" hidden="1">{"Tab1",#N/A,FALSE,"P";"Tab2",#N/A,FALSE,"P"}</definedName>
    <definedName name="NOMINAL" localSheetId="20">#REF!</definedName>
    <definedName name="NOMINAL" localSheetId="28">#REF!</definedName>
    <definedName name="NOMINAL" localSheetId="29">#REF!</definedName>
    <definedName name="NOMINAL">#REF!</definedName>
    <definedName name="NPee_2" localSheetId="20">[28]Graf14_Graf15!#REF!</definedName>
    <definedName name="NPee_2" localSheetId="28">[28]Graf14_Graf15!#REF!</definedName>
    <definedName name="NPee_2" localSheetId="29">[28]Graf14_Graf15!#REF!</definedName>
    <definedName name="NPee_2">[28]Graf14_Graf15!#REF!</definedName>
    <definedName name="NPer_2" localSheetId="20">[28]Graf14_Graf15!#REF!</definedName>
    <definedName name="NPer_2" localSheetId="28">[28]Graf14_Graf15!#REF!</definedName>
    <definedName name="NPer_2" localSheetId="29">[28]Graf14_Graf15!#REF!</definedName>
    <definedName name="NPer_2">[28]Graf14_Graf15!#REF!</definedName>
    <definedName name="NTDD_RG" localSheetId="28">'Graf 28'!NTDD_RG</definedName>
    <definedName name="NTDD_RG">[22]!NTDD_RG</definedName>
    <definedName name="NX">#N/A</definedName>
    <definedName name="NX_R">#N/A</definedName>
    <definedName name="NXG_RG">#N/A</definedName>
    <definedName name="_xlnm.Print_Area">#N/A</definedName>
    <definedName name="Odh" localSheetId="20">#REF!</definedName>
    <definedName name="Odh" localSheetId="28">#REF!</definedName>
    <definedName name="Odh" localSheetId="29">#REF!</definedName>
    <definedName name="Odh">#REF!</definedName>
    <definedName name="oliu" localSheetId="8" hidden="1">{"WEO",#N/A,FALSE,"T"}</definedName>
    <definedName name="oliu" localSheetId="22" hidden="1">{"WEO",#N/A,FALSE,"T"}</definedName>
    <definedName name="oliu" localSheetId="28" hidden="1">{"WEO",#N/A,FALSE,"T"}</definedName>
    <definedName name="oliu" localSheetId="29" hidden="1">{"WEO",#N/A,FALSE,"T"}</definedName>
    <definedName name="oliu" localSheetId="4" hidden="1">{"WEO",#N/A,FALSE,"T"}</definedName>
    <definedName name="oliu" localSheetId="36" hidden="1">{"WEO",#N/A,FALSE,"T"}</definedName>
    <definedName name="oliu" localSheetId="5" hidden="1">{"WEO",#N/A,FALSE,"T"}</definedName>
    <definedName name="oliu" localSheetId="6" hidden="1">{"WEO",#N/A,FALSE,"T"}</definedName>
    <definedName name="oliu" localSheetId="7" hidden="1">{"WEO",#N/A,FALSE,"T"}</definedName>
    <definedName name="oliu" localSheetId="33" hidden="1">{"WEO",#N/A,FALSE,"T"}</definedName>
    <definedName name="oliu" localSheetId="23" hidden="1">{"WEO",#N/A,FALSE,"T"}</definedName>
    <definedName name="oliu" hidden="1">{"WEO",#N/A,FALSE,"T"}</definedName>
    <definedName name="oo" localSheetId="8" hidden="1">{"Riqfin97",#N/A,FALSE,"Tran";"Riqfinpro",#N/A,FALSE,"Tran"}</definedName>
    <definedName name="oo" localSheetId="11" hidden="1">{"Riqfin97",#N/A,FALSE,"Tran";"Riqfinpro",#N/A,FALSE,"Tran"}</definedName>
    <definedName name="oo" localSheetId="22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1" hidden="1">{"Riqfin97",#N/A,FALSE,"Tran";"Riqfinpro",#N/A,FALSE,"Tran"}</definedName>
    <definedName name="oo" localSheetId="16" hidden="1">{"Riqfin97",#N/A,FALSE,"Tran";"Riqfinpro",#N/A,FALSE,"Tran"}</definedName>
    <definedName name="oo" localSheetId="33" hidden="1">{"Riqfin97",#N/A,FALSE,"Tran";"Riqfinpro",#N/A,FALSE,"Tran"}</definedName>
    <definedName name="oo" localSheetId="14" hidden="1">{"Riqfin97",#N/A,FALSE,"Tran";"Riqfinpro",#N/A,FALSE,"Tran"}</definedName>
    <definedName name="oo" localSheetId="23" hidden="1">{"Riqfin97",#N/A,FALSE,"Tran";"Riqfinpro",#N/A,FALSE,"Tran"}</definedName>
    <definedName name="oo" hidden="1">{"Riqfin97",#N/A,FALSE,"Tran";"Riqfinpro",#N/A,FALSE,"Tran"}</definedName>
    <definedName name="ooo" localSheetId="8" hidden="1">{"Tab1",#N/A,FALSE,"P";"Tab2",#N/A,FALSE,"P"}</definedName>
    <definedName name="ooo" localSheetId="11" hidden="1">{"Tab1",#N/A,FALSE,"P";"Tab2",#N/A,FALSE,"P"}</definedName>
    <definedName name="ooo" localSheetId="22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1" hidden="1">{"Tab1",#N/A,FALSE,"P";"Tab2",#N/A,FALSE,"P"}</definedName>
    <definedName name="ooo" localSheetId="16" hidden="1">{"Tab1",#N/A,FALSE,"P";"Tab2",#N/A,FALSE,"P"}</definedName>
    <definedName name="ooo" localSheetId="33" hidden="1">{"Tab1",#N/A,FALSE,"P";"Tab2",#N/A,FALSE,"P"}</definedName>
    <definedName name="ooo" localSheetId="14" hidden="1">{"Tab1",#N/A,FALSE,"P";"Tab2",#N/A,FALSE,"P"}</definedName>
    <definedName name="ooo" localSheetId="23" hidden="1">{"Tab1",#N/A,FALSE,"P";"Tab2",#N/A,FALSE,"P"}</definedName>
    <definedName name="ooo" hidden="1">{"Tab1",#N/A,FALSE,"P";"Tab2",#N/A,FALSE,"P"}</definedName>
    <definedName name="OS2015_new" localSheetId="20">#REF!</definedName>
    <definedName name="OS2015_new">#REF!</definedName>
    <definedName name="other" localSheetId="20">#REF!</definedName>
    <definedName name="other" localSheetId="28">#REF!</definedName>
    <definedName name="other" localSheetId="29">#REF!</definedName>
    <definedName name="other">#REF!</definedName>
    <definedName name="Otras_Residuales" localSheetId="20">#REF!</definedName>
    <definedName name="Otras_Residuales" localSheetId="28">#REF!</definedName>
    <definedName name="Otras_Residuales" localSheetId="29">#REF!</definedName>
    <definedName name="Otras_Residuales">#REF!</definedName>
    <definedName name="out">[57]output!$A$3:$P$128</definedName>
    <definedName name="OUTB" localSheetId="28">[29]B!$D$6:$H$6</definedName>
    <definedName name="OUTB">[30]B!$D$6:$H$6</definedName>
    <definedName name="outc" localSheetId="28">[29]C!$C$6:$D$6</definedName>
    <definedName name="outc">[30]C!$C$6:$D$6</definedName>
    <definedName name="output" localSheetId="20">#REF!</definedName>
    <definedName name="output" localSheetId="28">#REF!</definedName>
    <definedName name="output" localSheetId="29">#REF!</definedName>
    <definedName name="output">#REF!</definedName>
    <definedName name="output_projections">[58]projections!$A$3:$R$108</definedName>
    <definedName name="output1">[25]output!$A$1:$J$122</definedName>
    <definedName name="p" localSheetId="8" hidden="1">{"Riqfin97",#N/A,FALSE,"Tran";"Riqfinpro",#N/A,FALSE,"Tran"}</definedName>
    <definedName name="p" localSheetId="11" hidden="1">{"Riqfin97",#N/A,FALSE,"Tran";"Riqfinpro",#N/A,FALSE,"Tran"}</definedName>
    <definedName name="p" localSheetId="22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1" hidden="1">{"Riqfin97",#N/A,FALSE,"Tran";"Riqfinpro",#N/A,FALSE,"Tran"}</definedName>
    <definedName name="p" localSheetId="16" hidden="1">{"Riqfin97",#N/A,FALSE,"Tran";"Riqfinpro",#N/A,FALSE,"Tran"}</definedName>
    <definedName name="p" localSheetId="33" hidden="1">{"Riqfin97",#N/A,FALSE,"Tran";"Riqfinpro",#N/A,FALSE,"Tran"}</definedName>
    <definedName name="p" localSheetId="14" hidden="1">{"Riqfin97",#N/A,FALSE,"Tran";"Riqfinpro",#N/A,FALSE,"Tran"}</definedName>
    <definedName name="p" localSheetId="23" hidden="1">{"Riqfin97",#N/A,FALSE,"Tran";"Riqfinpro",#N/A,FALSE,"Tran"}</definedName>
    <definedName name="p" hidden="1">{"Riqfin97",#N/A,FALSE,"Tran";"Riqfinpro",#N/A,FALSE,"Tran"}</definedName>
    <definedName name="Page_4" localSheetId="20">#REF!</definedName>
    <definedName name="Page_4" localSheetId="28">#REF!</definedName>
    <definedName name="Page_4" localSheetId="29">#REF!</definedName>
    <definedName name="Page_4">#REF!</definedName>
    <definedName name="page2" localSheetId="20">#REF!</definedName>
    <definedName name="page2" localSheetId="28">#REF!</definedName>
    <definedName name="page2" localSheetId="29">#REF!</definedName>
    <definedName name="page2">#REF!</definedName>
    <definedName name="pata" localSheetId="8" hidden="1">{"Tab1",#N/A,FALSE,"P";"Tab2",#N/A,FALSE,"P"}</definedName>
    <definedName name="pata" localSheetId="11" hidden="1">{"Tab1",#N/A,FALSE,"P";"Tab2",#N/A,FALSE,"P"}</definedName>
    <definedName name="pata" localSheetId="22" hidden="1">{"Tab1",#N/A,FALSE,"P";"Tab2",#N/A,FALSE,"P"}</definedName>
    <definedName name="pata" localSheetId="28" hidden="1">{"Tab1",#N/A,FALSE,"P";"Tab2",#N/A,FALSE,"P"}</definedName>
    <definedName name="pata" localSheetId="29" hidden="1">{"Tab1",#N/A,FALSE,"P";"Tab2",#N/A,FALSE,"P"}</definedName>
    <definedName name="pata" localSheetId="4" hidden="1">{"Tab1",#N/A,FALSE,"P";"Tab2",#N/A,FALSE,"P"}</definedName>
    <definedName name="pata" localSheetId="35" hidden="1">{"Tab1",#N/A,FALSE,"P";"Tab2",#N/A,FALSE,"P"}</definedName>
    <definedName name="pata" localSheetId="36" hidden="1">{"Tab1",#N/A,FALSE,"P";"Tab2",#N/A,FALSE,"P"}</definedName>
    <definedName name="pata" localSheetId="5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localSheetId="1" hidden="1">{"Tab1",#N/A,FALSE,"P";"Tab2",#N/A,FALSE,"P"}</definedName>
    <definedName name="pata" localSheetId="16" hidden="1">{"Tab1",#N/A,FALSE,"P";"Tab2",#N/A,FALSE,"P"}</definedName>
    <definedName name="pata" localSheetId="33" hidden="1">{"Tab1",#N/A,FALSE,"P";"Tab2",#N/A,FALSE,"P"}</definedName>
    <definedName name="pata" localSheetId="14" hidden="1">{"Tab1",#N/A,FALSE,"P";"Tab2",#N/A,FALSE,"P"}</definedName>
    <definedName name="pata" localSheetId="23" hidden="1">{"Tab1",#N/A,FALSE,"P";"Tab2",#N/A,FALSE,"P"}</definedName>
    <definedName name="pata" hidden="1">{"Tab1",#N/A,FALSE,"P";"Tab2",#N/A,FALSE,"P"}</definedName>
    <definedName name="PCPIG">#N/A</definedName>
    <definedName name="Petroecuador" localSheetId="20">#REF!</definedName>
    <definedName name="Petroecuador" localSheetId="28">#REF!</definedName>
    <definedName name="Petroecuador" localSheetId="29">#REF!</definedName>
    <definedName name="Petroecuador">#REF!</definedName>
    <definedName name="pchar00memu.m" localSheetId="20">[33]monthly!#REF!</definedName>
    <definedName name="pchar00memu.m" localSheetId="28">[34]monthly!#REF!</definedName>
    <definedName name="pchar00memu.m">[33]monthly!#REF!</definedName>
    <definedName name="podatki" localSheetId="20">#REF!</definedName>
    <definedName name="podatki" localSheetId="28">#REF!</definedName>
    <definedName name="podatki" localSheetId="29">#REF!</definedName>
    <definedName name="podatki">#REF!</definedName>
    <definedName name="Ports" localSheetId="20">#REF!</definedName>
    <definedName name="Ports" localSheetId="28">#REF!</definedName>
    <definedName name="Ports" localSheetId="29">#REF!</definedName>
    <definedName name="Ports">#REF!</definedName>
    <definedName name="pp" localSheetId="8" hidden="1">{"Riqfin97",#N/A,FALSE,"Tran";"Riqfinpro",#N/A,FALSE,"Tran"}</definedName>
    <definedName name="pp" localSheetId="11" hidden="1">{"Riqfin97",#N/A,FALSE,"Tran";"Riqfinpro",#N/A,FALSE,"Tran"}</definedName>
    <definedName name="pp" localSheetId="22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4" hidden="1">{"Riqfin97",#N/A,FALSE,"Tran";"Riqfinpro",#N/A,FALSE,"Tran"}</definedName>
    <definedName name="pp" localSheetId="35" hidden="1">{"Riqfin97",#N/A,FALSE,"Tran";"Riqfinpro",#N/A,FALSE,"Tran"}</definedName>
    <definedName name="pp" localSheetId="36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1" hidden="1">{"Riqfin97",#N/A,FALSE,"Tran";"Riqfinpro",#N/A,FALSE,"Tran"}</definedName>
    <definedName name="pp" localSheetId="16" hidden="1">{"Riqfin97",#N/A,FALSE,"Tran";"Riqfinpro",#N/A,FALSE,"Tran"}</definedName>
    <definedName name="pp" localSheetId="33" hidden="1">{"Riqfin97",#N/A,FALSE,"Tran";"Riqfinpro",#N/A,FALSE,"Tran"}</definedName>
    <definedName name="pp" localSheetId="14" hidden="1">{"Riqfin97",#N/A,FALSE,"Tran";"Riqfinpro",#N/A,FALSE,"Tran"}</definedName>
    <definedName name="pp" localSheetId="23" hidden="1">{"Riqfin97",#N/A,FALSE,"Tran";"Riqfinpro",#N/A,FALSE,"Tran"}</definedName>
    <definedName name="pp" hidden="1">{"Riqfin97",#N/A,FALSE,"Tran";"Riqfinpro",#N/A,FALSE,"Tran"}</definedName>
    <definedName name="ppp" localSheetId="8" hidden="1">{"Riqfin97",#N/A,FALSE,"Tran";"Riqfinpro",#N/A,FALSE,"Tran"}</definedName>
    <definedName name="ppp" localSheetId="11" hidden="1">{"Riqfin97",#N/A,FALSE,"Tran";"Riqfinpro",#N/A,FALSE,"Tran"}</definedName>
    <definedName name="ppp" localSheetId="22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1" hidden="1">{"Riqfin97",#N/A,FALSE,"Tran";"Riqfinpro",#N/A,FALSE,"Tran"}</definedName>
    <definedName name="ppp" localSheetId="16" hidden="1">{"Riqfin97",#N/A,FALSE,"Tran";"Riqfinpro",#N/A,FALSE,"Tran"}</definedName>
    <definedName name="ppp" localSheetId="33" hidden="1">{"Riqfin97",#N/A,FALSE,"Tran";"Riqfinpro",#N/A,FALSE,"Tran"}</definedName>
    <definedName name="ppp" localSheetId="14" hidden="1">{"Riqfin97",#N/A,FALSE,"Tran";"Riqfinpro",#N/A,FALSE,"Tran"}</definedName>
    <definedName name="ppp" localSheetId="23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20">#REF!</definedName>
    <definedName name="pri" localSheetId="28">#REF!</definedName>
    <definedName name="pri" localSheetId="29">#REF!</definedName>
    <definedName name="pri">#REF!</definedName>
    <definedName name="Print" localSheetId="20">#REF!</definedName>
    <definedName name="Print" localSheetId="28">#REF!</definedName>
    <definedName name="Print" localSheetId="29">#REF!</definedName>
    <definedName name="Print">#REF!</definedName>
    <definedName name="PRINT1" localSheetId="20">[59]Index!#REF!</definedName>
    <definedName name="PRINT1" localSheetId="28">[59]Index!#REF!</definedName>
    <definedName name="PRINT1" localSheetId="29">[59]Index!#REF!</definedName>
    <definedName name="PRINT1">[59]Index!#REF!</definedName>
    <definedName name="PRINT2" localSheetId="20">[59]Index!#REF!</definedName>
    <definedName name="PRINT2" localSheetId="28">[59]Index!#REF!</definedName>
    <definedName name="PRINT2" localSheetId="29">[59]Index!#REF!</definedName>
    <definedName name="PRINT2">[59]Index!#REF!</definedName>
    <definedName name="PRINT3" localSheetId="20">[59]Index!#REF!</definedName>
    <definedName name="PRINT3" localSheetId="28">[59]Index!#REF!</definedName>
    <definedName name="PRINT3" localSheetId="29">[59]Index!#REF!</definedName>
    <definedName name="PRINT3">[59]Index!#REF!</definedName>
    <definedName name="PrintThis_Links">[46]Links!$A$1:$F$33</definedName>
    <definedName name="profit" localSheetId="28">[6]C!$O$1:$T$1</definedName>
    <definedName name="profit">[21]C!$O$1:$T$1</definedName>
    <definedName name="prorač">[60]Prorač!$A:$IV</definedName>
    <definedName name="PvNee_2" localSheetId="20">[28]Graf14_Graf15!#REF!</definedName>
    <definedName name="PvNee_2">[28]Graf14_Graf15!#REF!</definedName>
    <definedName name="PvNer_2" localSheetId="20">[28]Graf14_Graf15!#REF!</definedName>
    <definedName name="PvNer_2">[28]Graf14_Graf15!#REF!</definedName>
    <definedName name="Q6_" localSheetId="20">#REF!</definedName>
    <definedName name="Q6_" localSheetId="28">#REF!</definedName>
    <definedName name="Q6_" localSheetId="29">#REF!</definedName>
    <definedName name="Q6_">#REF!</definedName>
    <definedName name="QFISCAL" localSheetId="8">'[3]Quarterly Raw Data'!#REF!</definedName>
    <definedName name="QFISCAL" localSheetId="20">'[3]Quarterly Raw Data'!#REF!</definedName>
    <definedName name="QFISCAL" localSheetId="22">'[3]Quarterly Raw Data'!#REF!</definedName>
    <definedName name="QFISCAL" localSheetId="28">'[3]Quarterly Raw Data'!#REF!</definedName>
    <definedName name="QFISCAL" localSheetId="29">'[3]Quarterly Raw Data'!#REF!</definedName>
    <definedName name="QFISCAL" localSheetId="4">'[3]Quarterly Raw Data'!#REF!</definedName>
    <definedName name="QFISCAL" localSheetId="36">'[3]Quarterly Raw Data'!#REF!</definedName>
    <definedName name="QFISCAL" localSheetId="5">'[3]Quarterly Raw Data'!#REF!</definedName>
    <definedName name="QFISCAL" localSheetId="6">'[3]Quarterly Raw Data'!#REF!</definedName>
    <definedName name="QFISCAL" localSheetId="7">'[3]Quarterly Raw Data'!#REF!</definedName>
    <definedName name="QFISCAL" localSheetId="33">'[3]Quarterly Raw Data'!#REF!</definedName>
    <definedName name="QFISCAL" localSheetId="23">'[3]Quarterly Raw Data'!#REF!</definedName>
    <definedName name="QFISCAL">'[3]Quarterly Raw Data'!#REF!</definedName>
    <definedName name="qq" localSheetId="10" hidden="1">'[52]J(Priv.Cap)'!#REF!</definedName>
    <definedName name="qq" localSheetId="11" hidden="1">'[52]J(Priv.Cap)'!#REF!</definedName>
    <definedName name="qq" localSheetId="20" hidden="1">'[52]J(Priv.Cap)'!#REF!</definedName>
    <definedName name="qq" localSheetId="28" hidden="1">'[52]J(Priv.Cap)'!#REF!</definedName>
    <definedName name="qq" localSheetId="35" hidden="1">'[52]J(Priv.Cap)'!#REF!</definedName>
    <definedName name="qq" localSheetId="1" hidden="1">'[52]J(Priv.Cap)'!#REF!</definedName>
    <definedName name="qq" localSheetId="16" hidden="1">'[52]J(Priv.Cap)'!#REF!</definedName>
    <definedName name="qq" localSheetId="14" hidden="1">'[52]J(Priv.Cap)'!#REF!</definedName>
    <definedName name="qq" hidden="1">'[52]J(Priv.Cap)'!#REF!</definedName>
    <definedName name="qtab_35" localSheetId="20">'[61]i1-CA'!#REF!</definedName>
    <definedName name="qtab_35" localSheetId="28">'[61]i1-CA'!#REF!</definedName>
    <definedName name="qtab_35">'[61]i1-CA'!#REF!</definedName>
    <definedName name="QTAB7" localSheetId="20">'[3]Quarterly MacroFlow'!#REF!</definedName>
    <definedName name="QTAB7" localSheetId="28">'[3]Quarterly MacroFlow'!#REF!</definedName>
    <definedName name="QTAB7">'[3]Quarterly MacroFlow'!#REF!</definedName>
    <definedName name="QTAB7A" localSheetId="20">'[3]Quarterly MacroFlow'!#REF!</definedName>
    <definedName name="QTAB7A" localSheetId="28">'[3]Quarterly MacroFlow'!#REF!</definedName>
    <definedName name="QTAB7A">'[3]Quarterly MacroFlow'!#REF!</definedName>
    <definedName name="quest1" localSheetId="20">#REF!</definedName>
    <definedName name="quest1" localSheetId="28">#REF!</definedName>
    <definedName name="quest1" localSheetId="29">#REF!</definedName>
    <definedName name="quest1">#REF!</definedName>
    <definedName name="quest2" localSheetId="20">#REF!</definedName>
    <definedName name="quest2" localSheetId="28">#REF!</definedName>
    <definedName name="quest2" localSheetId="29">#REF!</definedName>
    <definedName name="quest2">#REF!</definedName>
    <definedName name="quest3" localSheetId="20">#REF!</definedName>
    <definedName name="quest3" localSheetId="28">#REF!</definedName>
    <definedName name="quest3" localSheetId="29">#REF!</definedName>
    <definedName name="quest3">#REF!</definedName>
    <definedName name="quest4" localSheetId="20">#REF!</definedName>
    <definedName name="quest4">#REF!</definedName>
    <definedName name="quest5" localSheetId="20">#REF!</definedName>
    <definedName name="quest5">#REF!</definedName>
    <definedName name="quest6" localSheetId="20">#REF!</definedName>
    <definedName name="quest6">#REF!</definedName>
    <definedName name="quest7" localSheetId="20">#REF!</definedName>
    <definedName name="quest7">#REF!</definedName>
    <definedName name="QW" localSheetId="20">#REF!</definedName>
    <definedName name="QW">#REF!</definedName>
    <definedName name="REAL" localSheetId="20">#REF!</definedName>
    <definedName name="REAL">#REF!</definedName>
    <definedName name="REALANNUAL" localSheetId="20">#REF!</definedName>
    <definedName name="REALANNUAL">#REF!</definedName>
    <definedName name="realizacia">[62]Sheet1!$A$1:$I$406</definedName>
    <definedName name="realizacija">[62]Sheet1!$A$1:$I$406</definedName>
    <definedName name="REALNACT" localSheetId="20">#REF!</definedName>
    <definedName name="REALNACT" localSheetId="28">#REF!</definedName>
    <definedName name="REALNACT" localSheetId="29">#REF!</definedName>
    <definedName name="REALNACT">#REF!</definedName>
    <definedName name="red_26" localSheetId="20">#REF!</definedName>
    <definedName name="red_26" localSheetId="28">#REF!</definedName>
    <definedName name="red_26" localSheetId="29">#REF!</definedName>
    <definedName name="red_26">#REF!</definedName>
    <definedName name="red_33" localSheetId="20">#REF!</definedName>
    <definedName name="red_33" localSheetId="28">#REF!</definedName>
    <definedName name="red_33" localSheetId="29">#REF!</definedName>
    <definedName name="red_33">#REF!</definedName>
    <definedName name="red_34" localSheetId="20">#REF!</definedName>
    <definedName name="red_34">#REF!</definedName>
    <definedName name="red_35" localSheetId="20">#REF!</definedName>
    <definedName name="red_35">#REF!</definedName>
    <definedName name="REDTbl3" localSheetId="20">#REF!</definedName>
    <definedName name="REDTbl3">#REF!</definedName>
    <definedName name="REDTbl4" localSheetId="20">#REF!</definedName>
    <definedName name="REDTbl4">#REF!</definedName>
    <definedName name="REDTbl5" localSheetId="20">#REF!</definedName>
    <definedName name="REDTbl5">#REF!</definedName>
    <definedName name="REDTbl6" localSheetId="20">#REF!</definedName>
    <definedName name="REDTbl6">#REF!</definedName>
    <definedName name="REDTbl7" localSheetId="20">#REF!</definedName>
    <definedName name="REDTbl7">#REF!</definedName>
    <definedName name="REERCPI" localSheetId="28">[6]REER!$AZ$144:$AZ$206</definedName>
    <definedName name="REERCPI">[21]REER!$AZ$144:$AZ$206</definedName>
    <definedName name="REERPPI" localSheetId="28">[6]REER!$BB$144:$BB$206</definedName>
    <definedName name="REERPPI">[21]REER!$BB$144:$BB$206</definedName>
    <definedName name="RefVintage">[31]readme!$B$4</definedName>
    <definedName name="REGISTERALL" localSheetId="20">#REF!</definedName>
    <definedName name="REGISTERALL" localSheetId="28">#REF!</definedName>
    <definedName name="REGISTERALL" localSheetId="29">#REF!</definedName>
    <definedName name="REGISTERALL">#REF!</definedName>
    <definedName name="RFSee_2" localSheetId="20">[28]Graf14_Graf15!#REF!</definedName>
    <definedName name="RFSee_2" localSheetId="28">[28]Graf14_Graf15!#REF!</definedName>
    <definedName name="RFSee_2" localSheetId="29">[28]Graf14_Graf15!#REF!</definedName>
    <definedName name="RFSee_2">[28]Graf14_Graf15!#REF!</definedName>
    <definedName name="RFSer_2" localSheetId="20">[28]Graf14_Graf15!#REF!</definedName>
    <definedName name="RFSer_2" localSheetId="28">[28]Graf14_Graf15!#REF!</definedName>
    <definedName name="RFSer_2" localSheetId="29">[28]Graf14_Graf15!#REF!</definedName>
    <definedName name="RFSer_2">[28]Graf14_Graf15!#REF!</definedName>
    <definedName name="RGDPA" localSheetId="20">#REF!</definedName>
    <definedName name="RGDPA" localSheetId="28">#REF!</definedName>
    <definedName name="RGDPA" localSheetId="29">#REF!</definedName>
    <definedName name="RGDPA">#REF!</definedName>
    <definedName name="RgFdPartCsource" localSheetId="20">#REF!</definedName>
    <definedName name="RgFdPartCsource" localSheetId="28">#REF!</definedName>
    <definedName name="RgFdPartCsource" localSheetId="29">#REF!</definedName>
    <definedName name="RgFdPartCsource">#REF!</definedName>
    <definedName name="RgFdPartEseries" localSheetId="20">#REF!</definedName>
    <definedName name="RgFdPartEseries" localSheetId="28">#REF!</definedName>
    <definedName name="RgFdPartEseries" localSheetId="29">#REF!</definedName>
    <definedName name="RgFdPartEseries">#REF!</definedName>
    <definedName name="RgFdPartEsource" localSheetId="20">#REF!</definedName>
    <definedName name="RgFdPartEsource" localSheetId="28">#REF!</definedName>
    <definedName name="RgFdPartEsource">#REF!</definedName>
    <definedName name="RgFdReptCSeries" localSheetId="20">#REF!</definedName>
    <definedName name="RgFdReptCSeries" localSheetId="28">#REF!</definedName>
    <definedName name="RgFdReptCSeries">#REF!</definedName>
    <definedName name="RgFdReptCsource" localSheetId="20">#REF!</definedName>
    <definedName name="RgFdReptCsource" localSheetId="28">#REF!</definedName>
    <definedName name="RgFdReptCsource">#REF!</definedName>
    <definedName name="RgFdReptEseries" localSheetId="20">#REF!</definedName>
    <definedName name="RgFdReptEseries" localSheetId="28">#REF!</definedName>
    <definedName name="RgFdReptEseries">#REF!</definedName>
    <definedName name="RgFdReptEsource" localSheetId="20">#REF!</definedName>
    <definedName name="RgFdReptEsource" localSheetId="28">#REF!</definedName>
    <definedName name="RgFdReptEsource">#REF!</definedName>
    <definedName name="RgFdSAMethod" localSheetId="20">#REF!</definedName>
    <definedName name="RgFdSAMethod" localSheetId="28">#REF!</definedName>
    <definedName name="RgFdSAMethod">#REF!</definedName>
    <definedName name="RgFdTbBper" localSheetId="20">#REF!</definedName>
    <definedName name="RgFdTbBper" localSheetId="28">#REF!</definedName>
    <definedName name="RgFdTbBper">#REF!</definedName>
    <definedName name="RgFdTbCreate" localSheetId="20">#REF!</definedName>
    <definedName name="RgFdTbCreate" localSheetId="28">#REF!</definedName>
    <definedName name="RgFdTbCreate">#REF!</definedName>
    <definedName name="RgFdTbEper" localSheetId="20">#REF!</definedName>
    <definedName name="RgFdTbEper" localSheetId="28">#REF!</definedName>
    <definedName name="RgFdTbEper">#REF!</definedName>
    <definedName name="RGFdTbFoot" localSheetId="20">#REF!</definedName>
    <definedName name="RGFdTbFoot" localSheetId="28">#REF!</definedName>
    <definedName name="RGFdTbFoot">#REF!</definedName>
    <definedName name="RgFdTbFreq" localSheetId="20">#REF!</definedName>
    <definedName name="RgFdTbFreq" localSheetId="28">#REF!</definedName>
    <definedName name="RgFdTbFreq">#REF!</definedName>
    <definedName name="RgFdTbFreqVal" localSheetId="20">#REF!</definedName>
    <definedName name="RgFdTbFreqVal" localSheetId="28">#REF!</definedName>
    <definedName name="RgFdTbFreqVal">#REF!</definedName>
    <definedName name="RgFdTbSendto" localSheetId="20">#REF!</definedName>
    <definedName name="RgFdTbSendto" localSheetId="28">#REF!</definedName>
    <definedName name="RgFdTbSendto">#REF!</definedName>
    <definedName name="RgFdWgtMethod" localSheetId="20">#REF!</definedName>
    <definedName name="RgFdWgtMethod" localSheetId="28">#REF!</definedName>
    <definedName name="RgFdWgtMethod">#REF!</definedName>
    <definedName name="RGSPA" localSheetId="20">#REF!</definedName>
    <definedName name="RGSPA" localSheetId="28">#REF!</definedName>
    <definedName name="RGSPA">#REF!</definedName>
    <definedName name="rngBefore">[46]Main!$AB$26</definedName>
    <definedName name="rngDepartmentDrive">[46]Main!$AB$23</definedName>
    <definedName name="rngEMailAddress">[46]Main!$AB$20</definedName>
    <definedName name="rngErrorSort">[46]ErrCheck!$A$4</definedName>
    <definedName name="rngLastSave">[46]Main!$G$19</definedName>
    <definedName name="rngLastSent">[46]Main!$G$18</definedName>
    <definedName name="rngLastUpdate">[46]Links!$D$2</definedName>
    <definedName name="rngNeedsUpdate">[46]Links!$E$2</definedName>
    <definedName name="rngNews">[46]Main!$AB$27</definedName>
    <definedName name="rngQuestChecked">[46]ErrCheck!$A$3</definedName>
    <definedName name="rounding" localSheetId="20">[28]Graf14_Graf15!#REF!</definedName>
    <definedName name="rounding">[28]Graf14_Graf15!#REF!</definedName>
    <definedName name="rr" localSheetId="8" hidden="1">{"Riqfin97",#N/A,FALSE,"Tran";"Riqfinpro",#N/A,FALSE,"Tran"}</definedName>
    <definedName name="rr" localSheetId="11" hidden="1">{"Riqfin97",#N/A,FALSE,"Tran";"Riqfinpro",#N/A,FALSE,"Tran"}</definedName>
    <definedName name="rr" localSheetId="22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4" hidden="1">{"Riqfin97",#N/A,FALSE,"Tran";"Riqfinpro",#N/A,FALSE,"Tran"}</definedName>
    <definedName name="rr" localSheetId="35" hidden="1">{"Riqfin97",#N/A,FALSE,"Tran";"Riqfinpro",#N/A,FALSE,"Tran"}</definedName>
    <definedName name="rr" localSheetId="36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1" hidden="1">{"Riqfin97",#N/A,FALSE,"Tran";"Riqfinpro",#N/A,FALSE,"Tran"}</definedName>
    <definedName name="rr" localSheetId="16" hidden="1">{"Riqfin97",#N/A,FALSE,"Tran";"Riqfinpro",#N/A,FALSE,"Tran"}</definedName>
    <definedName name="rr" localSheetId="33" hidden="1">{"Riqfin97",#N/A,FALSE,"Tran";"Riqfinpro",#N/A,FALSE,"Tran"}</definedName>
    <definedName name="rr" localSheetId="14" hidden="1">{"Riqfin97",#N/A,FALSE,"Tran";"Riqfinpro",#N/A,FALSE,"Tran"}</definedName>
    <definedName name="rr" localSheetId="23" hidden="1">{"Riqfin97",#N/A,FALSE,"Tran";"Riqfinpro",#N/A,FALSE,"Tran"}</definedName>
    <definedName name="rr" hidden="1">{"Riqfin97",#N/A,FALSE,"Tran";"Riqfinpro",#N/A,FALSE,"Tran"}</definedName>
    <definedName name="rrr" localSheetId="8" hidden="1">{"Riqfin97",#N/A,FALSE,"Tran";"Riqfinpro",#N/A,FALSE,"Tran"}</definedName>
    <definedName name="rrr" localSheetId="11" hidden="1">{"Riqfin97",#N/A,FALSE,"Tran";"Riqfinpro",#N/A,FALSE,"Tran"}</definedName>
    <definedName name="rrr" localSheetId="22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1" hidden="1">{"Riqfin97",#N/A,FALSE,"Tran";"Riqfinpro",#N/A,FALSE,"Tran"}</definedName>
    <definedName name="rrr" localSheetId="16" hidden="1">{"Riqfin97",#N/A,FALSE,"Tran";"Riqfinpro",#N/A,FALSE,"Tran"}</definedName>
    <definedName name="rrr" localSheetId="33" hidden="1">{"Riqfin97",#N/A,FALSE,"Tran";"Riqfinpro",#N/A,FALSE,"Tran"}</definedName>
    <definedName name="rrr" localSheetId="14" hidden="1">{"Riqfin97",#N/A,FALSE,"Tran";"Riqfinpro",#N/A,FALSE,"Tran"}</definedName>
    <definedName name="rrr" localSheetId="23" hidden="1">{"Riqfin97",#N/A,FALSE,"Tran";"Riqfinpro",#N/A,FALSE,"Tran"}</definedName>
    <definedName name="rrr" hidden="1">{"Riqfin97",#N/A,FALSE,"Tran";"Riqfinpro",#N/A,FALSE,"Tran"}</definedName>
    <definedName name="RULCPPI" localSheetId="28">[6]C!$O$9:$O$71</definedName>
    <definedName name="RULCPPI">[21]C!$O$9:$O$71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20">#REF!</definedName>
    <definedName name="SECTORS" localSheetId="28">#REF!</definedName>
    <definedName name="SECTORS" localSheetId="29">#REF!</definedName>
    <definedName name="SECTORS">#REF!</definedName>
    <definedName name="seitable" localSheetId="28">'[63]Sel. Ind. Tbl'!$A$3:$G$75</definedName>
    <definedName name="seitable">'[64]Sel. Ind. Tbl'!$A$3:$G$75</definedName>
    <definedName name="sencount" hidden="1">2</definedName>
    <definedName name="SPee_2" localSheetId="8">[28]Graf14_Graf15!#REF!</definedName>
    <definedName name="SPee_2" localSheetId="20">[28]Graf14_Graf15!#REF!</definedName>
    <definedName name="SPee_2" localSheetId="22">[28]Graf14_Graf15!#REF!</definedName>
    <definedName name="SPee_2" localSheetId="28">[28]Graf14_Graf15!#REF!</definedName>
    <definedName name="SPee_2" localSheetId="29">[28]Graf14_Graf15!#REF!</definedName>
    <definedName name="SPee_2" localSheetId="4">[28]Graf14_Graf15!#REF!</definedName>
    <definedName name="SPee_2" localSheetId="36">[28]Graf14_Graf15!#REF!</definedName>
    <definedName name="SPee_2" localSheetId="5">[28]Graf14_Graf15!#REF!</definedName>
    <definedName name="SPee_2" localSheetId="6">[28]Graf14_Graf15!#REF!</definedName>
    <definedName name="SPee_2" localSheetId="7">[28]Graf14_Graf15!#REF!</definedName>
    <definedName name="SPee_2" localSheetId="33">[28]Graf14_Graf15!#REF!</definedName>
    <definedName name="SPee_2" localSheetId="23">[28]Graf14_Graf15!#REF!</definedName>
    <definedName name="SPee_2">[28]Graf14_Graf15!#REF!</definedName>
    <definedName name="SPer_2" localSheetId="20">[28]Graf14_Graf15!#REF!</definedName>
    <definedName name="SPer_2" localSheetId="28">[28]Graf14_Graf15!#REF!</definedName>
    <definedName name="SPer_2" localSheetId="29">[28]Graf14_Graf15!#REF!</definedName>
    <definedName name="SPer_2">[28]Graf14_Graf15!#REF!</definedName>
    <definedName name="SprejetiProracun" localSheetId="20">#REF!</definedName>
    <definedName name="SprejetiProracun" localSheetId="28">#REF!</definedName>
    <definedName name="SprejetiProracun" localSheetId="29">#REF!</definedName>
    <definedName name="SprejetiProracun">#REF!</definedName>
    <definedName name="SR_3" localSheetId="20">#REF!</definedName>
    <definedName name="SR_3" localSheetId="28">#REF!</definedName>
    <definedName name="SR_3" localSheetId="29">#REF!</definedName>
    <definedName name="SR_3">#REF!</definedName>
    <definedName name="SR_5" localSheetId="20">#REF!</definedName>
    <definedName name="SR_5" localSheetId="28">#REF!</definedName>
    <definedName name="SR_5" localSheetId="29">#REF!</definedName>
    <definedName name="SR_5">#REF!</definedName>
    <definedName name="SS">[65]IMATA!$B$45:$B$108</definedName>
    <definedName name="StatusTable">[31]readme!$A$12:$B$21</definedName>
    <definedName name="T1.13" localSheetId="20">#REF!</definedName>
    <definedName name="T1.13" localSheetId="28">#REF!</definedName>
    <definedName name="T1.13" localSheetId="29">#REF!</definedName>
    <definedName name="T1.13">#REF!</definedName>
    <definedName name="t2q" localSheetId="20">#REF!</definedName>
    <definedName name="t2q" localSheetId="28">#REF!</definedName>
    <definedName name="t2q" localSheetId="29">#REF!</definedName>
    <definedName name="t2q">#REF!</definedName>
    <definedName name="TAB1A" localSheetId="20">#REF!</definedName>
    <definedName name="TAB1A" localSheetId="28">#REF!</definedName>
    <definedName name="TAB1A" localSheetId="29">#REF!</definedName>
    <definedName name="TAB1A">#REF!</definedName>
    <definedName name="TAB1CK" localSheetId="20">#REF!</definedName>
    <definedName name="TAB1CK">#REF!</definedName>
    <definedName name="Tab25a" localSheetId="20">#REF!</definedName>
    <definedName name="Tab25a">#REF!</definedName>
    <definedName name="Tab25b" localSheetId="20">#REF!</definedName>
    <definedName name="Tab25b">#REF!</definedName>
    <definedName name="TAB2A" localSheetId="20">#REF!</definedName>
    <definedName name="TAB2A">#REF!</definedName>
    <definedName name="TAB5A" localSheetId="20">#REF!</definedName>
    <definedName name="TAB5A">#REF!</definedName>
    <definedName name="TAB6A" localSheetId="20">'[3]Annual Tables'!#REF!</definedName>
    <definedName name="TAB6A" localSheetId="28">'[3]Annual Tables'!#REF!</definedName>
    <definedName name="TAB6A">'[3]Annual Tables'!#REF!</definedName>
    <definedName name="TAB6B" localSheetId="20">'[3]Annual Tables'!#REF!</definedName>
    <definedName name="TAB6B" localSheetId="28">'[3]Annual Tables'!#REF!</definedName>
    <definedName name="TAB6B">'[3]Annual Tables'!#REF!</definedName>
    <definedName name="TAB6C" localSheetId="20">#REF!</definedName>
    <definedName name="TAB6C" localSheetId="28">#REF!</definedName>
    <definedName name="TAB6C" localSheetId="29">#REF!</definedName>
    <definedName name="TAB6C">#REF!</definedName>
    <definedName name="TAB7A" localSheetId="20">#REF!</definedName>
    <definedName name="TAB7A" localSheetId="28">#REF!</definedName>
    <definedName name="TAB7A" localSheetId="29">#REF!</definedName>
    <definedName name="TAB7A">#REF!</definedName>
    <definedName name="tabC1" localSheetId="20">#REF!</definedName>
    <definedName name="tabC1" localSheetId="28">#REF!</definedName>
    <definedName name="tabC1" localSheetId="29">#REF!</definedName>
    <definedName name="tabC1">#REF!</definedName>
    <definedName name="tabC2" localSheetId="20">#REF!</definedName>
    <definedName name="tabC2">#REF!</definedName>
    <definedName name="Tabela_6a" localSheetId="20">#REF!</definedName>
    <definedName name="Tabela_6a">#REF!</definedName>
    <definedName name="tabela3a" localSheetId="20">'[66]Table 1'!#REF!</definedName>
    <definedName name="tabela3a" localSheetId="28">'[66]Table 1'!#REF!</definedName>
    <definedName name="tabela3a">'[66]Table 1'!#REF!</definedName>
    <definedName name="Tabelaxx" localSheetId="20">#REF!</definedName>
    <definedName name="Tabelaxx" localSheetId="28">#REF!</definedName>
    <definedName name="Tabelaxx" localSheetId="29">#REF!</definedName>
    <definedName name="Tabelaxx">#REF!</definedName>
    <definedName name="tabF" localSheetId="20">#REF!</definedName>
    <definedName name="tabF" localSheetId="28">#REF!</definedName>
    <definedName name="tabF" localSheetId="29">#REF!</definedName>
    <definedName name="tabF">#REF!</definedName>
    <definedName name="tabH" localSheetId="20">#REF!</definedName>
    <definedName name="tabH" localSheetId="28">#REF!</definedName>
    <definedName name="tabH" localSheetId="29">#REF!</definedName>
    <definedName name="tabH">#REF!</definedName>
    <definedName name="tabI" localSheetId="20">#REF!</definedName>
    <definedName name="tabI">#REF!</definedName>
    <definedName name="Table__47">[67]RED47!$A$1:$I$53</definedName>
    <definedName name="Table_2._Country_X___Public_Sector_Financing_1" localSheetId="20">#REF!</definedName>
    <definedName name="Table_2._Country_X___Public_Sector_Financing_1" localSheetId="28">#REF!</definedName>
    <definedName name="Table_2._Country_X___Public_Sector_Financing_1" localSheetId="29">#REF!</definedName>
    <definedName name="Table_2._Country_X___Public_Sector_Financing_1">#REF!</definedName>
    <definedName name="Table_4SR" localSheetId="20">#REF!</definedName>
    <definedName name="Table_4SR" localSheetId="28">#REF!</definedName>
    <definedName name="Table_4SR" localSheetId="29">#REF!</definedName>
    <definedName name="Table_4SR">#REF!</definedName>
    <definedName name="Table_debt">[68]Table!$A$3:$AB$73</definedName>
    <definedName name="TABLE1" localSheetId="20">#REF!</definedName>
    <definedName name="TABLE1" localSheetId="28">#REF!</definedName>
    <definedName name="TABLE1" localSheetId="29">#REF!</definedName>
    <definedName name="TABLE1">#REF!</definedName>
    <definedName name="Table1printarea" localSheetId="20">#REF!</definedName>
    <definedName name="Table1printarea" localSheetId="28">#REF!</definedName>
    <definedName name="Table1printarea" localSheetId="29">#REF!</definedName>
    <definedName name="Table1printarea">#REF!</definedName>
    <definedName name="table30" localSheetId="20">#REF!</definedName>
    <definedName name="table30" localSheetId="28">#REF!</definedName>
    <definedName name="table30" localSheetId="29">#REF!</definedName>
    <definedName name="table30">#REF!</definedName>
    <definedName name="TABLE31" localSheetId="20">#REF!</definedName>
    <definedName name="TABLE31">#REF!</definedName>
    <definedName name="TABLE32" localSheetId="20">#REF!</definedName>
    <definedName name="TABLE32">#REF!</definedName>
    <definedName name="TABLE33" localSheetId="20">#REF!</definedName>
    <definedName name="TABLE33">#REF!</definedName>
    <definedName name="TABLE4" localSheetId="20">#REF!</definedName>
    <definedName name="TABLE4">#REF!</definedName>
    <definedName name="table6" localSheetId="20">#REF!</definedName>
    <definedName name="table6" localSheetId="28">#REF!</definedName>
    <definedName name="table6">#REF!</definedName>
    <definedName name="table9" localSheetId="20">#REF!</definedName>
    <definedName name="table9" localSheetId="28">#REF!</definedName>
    <definedName name="table9">#REF!</definedName>
    <definedName name="TAME" localSheetId="20">#REF!</definedName>
    <definedName name="TAME">#REF!</definedName>
    <definedName name="Tbl_GFN">[68]Table_GEF!$B$2:$T$53</definedName>
    <definedName name="tblChecks">[46]ErrCheck!$A$3:$E$5</definedName>
    <definedName name="tblLinks">[46]Links!$A$4:$F$33</definedName>
    <definedName name="TEMP" localSheetId="8">[69]Data!#REF!</definedName>
    <definedName name="TEMP" localSheetId="20">[69]Data!#REF!</definedName>
    <definedName name="TEMP" localSheetId="22">[69]Data!#REF!</definedName>
    <definedName name="TEMP" localSheetId="28">[69]Data!#REF!</definedName>
    <definedName name="TEMP" localSheetId="29">[69]Data!#REF!</definedName>
    <definedName name="TEMP" localSheetId="4">[69]Data!#REF!</definedName>
    <definedName name="TEMP" localSheetId="36">[69]Data!#REF!</definedName>
    <definedName name="TEMP" localSheetId="5">[69]Data!#REF!</definedName>
    <definedName name="TEMP" localSheetId="6">[69]Data!#REF!</definedName>
    <definedName name="TEMP" localSheetId="7">[69]Data!#REF!</definedName>
    <definedName name="TEMP" localSheetId="33">[69]Data!#REF!</definedName>
    <definedName name="TEMP" localSheetId="23">[69]Data!#REF!</definedName>
    <definedName name="TEMP">[69]Data!#REF!</definedName>
    <definedName name="tempo_kles" localSheetId="20">[28]Graf14_Graf15!#REF!</definedName>
    <definedName name="tempo_kles" localSheetId="28">[28]Graf14_Graf15!#REF!</definedName>
    <definedName name="tempo_kles" localSheetId="29">[28]Graf14_Graf15!#REF!</definedName>
    <definedName name="tempo_kles">[28]Graf14_Graf15!#REF!</definedName>
    <definedName name="tempo_kles_2" localSheetId="20">[28]Graf14_Graf15!#REF!</definedName>
    <definedName name="tempo_kles_2" localSheetId="28">[28]Graf14_Graf15!#REF!</definedName>
    <definedName name="tempo_kles_2" localSheetId="29">[28]Graf14_Graf15!#REF!</definedName>
    <definedName name="tempo_kles_2">[28]Graf14_Graf15!#REF!</definedName>
    <definedName name="text" localSheetId="8" hidden="1">{#N/A,#N/A,FALSE,"CB";#N/A,#N/A,FALSE,"CMB";#N/A,#N/A,FALSE,"BSYS";#N/A,#N/A,FALSE,"NBFI";#N/A,#N/A,FALSE,"FSYS"}</definedName>
    <definedName name="text" localSheetId="22" hidden="1">{#N/A,#N/A,FALSE,"CB";#N/A,#N/A,FALSE,"CMB";#N/A,#N/A,FALSE,"BSYS";#N/A,#N/A,FALSE,"NBFI";#N/A,#N/A,FALSE,"FSYS"}</definedName>
    <definedName name="text" localSheetId="28" hidden="1">{#N/A,#N/A,FALSE,"CB";#N/A,#N/A,FALSE,"CMB";#N/A,#N/A,FALSE,"BSYS";#N/A,#N/A,FALSE,"NBFI";#N/A,#N/A,FALSE,"FSYS"}</definedName>
    <definedName name="text" localSheetId="29" hidden="1">{#N/A,#N/A,FALSE,"CB";#N/A,#N/A,FALSE,"CMB";#N/A,#N/A,FALSE,"BSYS";#N/A,#N/A,FALSE,"NBFI";#N/A,#N/A,FALSE,"FSYS"}</definedName>
    <definedName name="text" localSheetId="4" hidden="1">{#N/A,#N/A,FALSE,"CB";#N/A,#N/A,FALSE,"CMB";#N/A,#N/A,FALSE,"BSYS";#N/A,#N/A,FALSE,"NBFI";#N/A,#N/A,FALSE,"FSYS"}</definedName>
    <definedName name="text" localSheetId="36" hidden="1">{#N/A,#N/A,FALSE,"CB";#N/A,#N/A,FALSE,"CMB";#N/A,#N/A,FALSE,"BSYS";#N/A,#N/A,FALSE,"NBFI";#N/A,#N/A,FALSE,"FSYS"}</definedName>
    <definedName name="text" localSheetId="5" hidden="1">{#N/A,#N/A,FALSE,"CB";#N/A,#N/A,FALSE,"CMB";#N/A,#N/A,FALSE,"BSYS";#N/A,#N/A,FALSE,"NBFI";#N/A,#N/A,FALSE,"FSYS"}</definedName>
    <definedName name="text" localSheetId="6" hidden="1">{#N/A,#N/A,FALSE,"CB";#N/A,#N/A,FALSE,"CMB";#N/A,#N/A,FALSE,"BSYS";#N/A,#N/A,FALSE,"NBFI";#N/A,#N/A,FALSE,"FSYS"}</definedName>
    <definedName name="text" localSheetId="7" hidden="1">{#N/A,#N/A,FALSE,"CB";#N/A,#N/A,FALSE,"CMB";#N/A,#N/A,FALSE,"BSYS";#N/A,#N/A,FALSE,"NBFI";#N/A,#N/A,FALSE,"FSYS"}</definedName>
    <definedName name="text" localSheetId="33" hidden="1">{#N/A,#N/A,FALSE,"CB";#N/A,#N/A,FALSE,"CMB";#N/A,#N/A,FALSE,"BSYS";#N/A,#N/A,FALSE,"NBFI";#N/A,#N/A,FALSE,"FSYS"}</definedName>
    <definedName name="text" localSheetId="23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[27]Q5!$E$23:$AH$23</definedName>
    <definedName name="TMGO">#N/A</definedName>
    <definedName name="TOWEO" localSheetId="20">#REF!</definedName>
    <definedName name="TOWEO" localSheetId="28">#REF!</definedName>
    <definedName name="TOWEO" localSheetId="29">#REF!</definedName>
    <definedName name="TOWEO">#REF!</definedName>
    <definedName name="TRADE3" localSheetId="20">[1]Trade!#REF!</definedName>
    <definedName name="TRADE3" localSheetId="28">[1]Trade!#REF!</definedName>
    <definedName name="TRADE3">[1]Trade!#REF!</definedName>
    <definedName name="trans" localSheetId="20">#REF!</definedName>
    <definedName name="trans" localSheetId="28">#REF!</definedName>
    <definedName name="trans" localSheetId="29">#REF!</definedName>
    <definedName name="trans">#REF!</definedName>
    <definedName name="Transfer_check" localSheetId="20">#REF!</definedName>
    <definedName name="Transfer_check" localSheetId="28">#REF!</definedName>
    <definedName name="Transfer_check" localSheetId="29">#REF!</definedName>
    <definedName name="Transfer_check">#REF!</definedName>
    <definedName name="TRANSNAVE" localSheetId="20">#REF!</definedName>
    <definedName name="TRANSNAVE" localSheetId="28">#REF!</definedName>
    <definedName name="TRANSNAVE" localSheetId="29">#REF!</definedName>
    <definedName name="TRANSNAVE">#REF!</definedName>
    <definedName name="tt" localSheetId="8" hidden="1">{"Tab1",#N/A,FALSE,"P";"Tab2",#N/A,FALSE,"P"}</definedName>
    <definedName name="tt" localSheetId="11" hidden="1">{"Tab1",#N/A,FALSE,"P";"Tab2",#N/A,FALSE,"P"}</definedName>
    <definedName name="tt" localSheetId="22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4" hidden="1">{"Tab1",#N/A,FALSE,"P";"Tab2",#N/A,FALSE,"P"}</definedName>
    <definedName name="tt" localSheetId="35" hidden="1">{"Tab1",#N/A,FALSE,"P";"Tab2",#N/A,FALSE,"P"}</definedName>
    <definedName name="tt" localSheetId="36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1" hidden="1">{"Tab1",#N/A,FALSE,"P";"Tab2",#N/A,FALSE,"P"}</definedName>
    <definedName name="tt" localSheetId="16" hidden="1">{"Tab1",#N/A,FALSE,"P";"Tab2",#N/A,FALSE,"P"}</definedName>
    <definedName name="tt" localSheetId="33" hidden="1">{"Tab1",#N/A,FALSE,"P";"Tab2",#N/A,FALSE,"P"}</definedName>
    <definedName name="tt" localSheetId="14" hidden="1">{"Tab1",#N/A,FALSE,"P";"Tab2",#N/A,FALSE,"P"}</definedName>
    <definedName name="tt" localSheetId="23" hidden="1">{"Tab1",#N/A,FALSE,"P";"Tab2",#N/A,FALSE,"P"}</definedName>
    <definedName name="tt" hidden="1">{"Tab1",#N/A,FALSE,"P";"Tab2",#N/A,FALSE,"P"}</definedName>
    <definedName name="ttt" localSheetId="8" hidden="1">{"Tab1",#N/A,FALSE,"P";"Tab2",#N/A,FALSE,"P"}</definedName>
    <definedName name="ttt" localSheetId="11" hidden="1">{"Tab1",#N/A,FALSE,"P";"Tab2",#N/A,FALSE,"P"}</definedName>
    <definedName name="ttt" localSheetId="22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4" hidden="1">{"Tab1",#N/A,FALSE,"P";"Tab2",#N/A,FALSE,"P"}</definedName>
    <definedName name="ttt" localSheetId="35" hidden="1">{"Tab1",#N/A,FALSE,"P";"Tab2",#N/A,FALSE,"P"}</definedName>
    <definedName name="ttt" localSheetId="36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1" hidden="1">{"Tab1",#N/A,FALSE,"P";"Tab2",#N/A,FALSE,"P"}</definedName>
    <definedName name="ttt" localSheetId="16" hidden="1">{"Tab1",#N/A,FALSE,"P";"Tab2",#N/A,FALSE,"P"}</definedName>
    <definedName name="ttt" localSheetId="33" hidden="1">{"Tab1",#N/A,FALSE,"P";"Tab2",#N/A,FALSE,"P"}</definedName>
    <definedName name="ttt" localSheetId="14" hidden="1">{"Tab1",#N/A,FALSE,"P";"Tab2",#N/A,FALSE,"P"}</definedName>
    <definedName name="ttt" localSheetId="23" hidden="1">{"Tab1",#N/A,FALSE,"P";"Tab2",#N/A,FALSE,"P"}</definedName>
    <definedName name="ttt" hidden="1">{"Tab1",#N/A,FALSE,"P";"Tab2",#N/A,FALSE,"P"}</definedName>
    <definedName name="ttttt" localSheetId="10" hidden="1">[56]M!#REF!</definedName>
    <definedName name="ttttt" localSheetId="20" hidden="1">[56]M!#REF!</definedName>
    <definedName name="ttttt" localSheetId="28" hidden="1">[56]M!#REF!</definedName>
    <definedName name="ttttt" localSheetId="35" hidden="1">[56]M!#REF!</definedName>
    <definedName name="ttttt" hidden="1">[56]M!#REF!</definedName>
    <definedName name="TTTTTTTTTTTT" localSheetId="28">'Graf 28'!TTTTTTTTTTTT</definedName>
    <definedName name="TTTTTTTTTTTT">[22]!TTTTTTTTTTTT</definedName>
    <definedName name="TXG_D">#N/A</definedName>
    <definedName name="TXGO">#N/A</definedName>
    <definedName name="u163lnulcm_x_et.m" localSheetId="20">[33]monthly!#REF!</definedName>
    <definedName name="u163lnulcm_x_et.m" localSheetId="28">[34]monthly!#REF!</definedName>
    <definedName name="u163lnulcm_x_et.m" localSheetId="29">[33]monthly!#REF!</definedName>
    <definedName name="u163lnulcm_x_et.m">[33]monthly!#REF!</definedName>
    <definedName name="UB_2">[51]makro!$C$14</definedName>
    <definedName name="UB_2n">[51]makro!$C$36</definedName>
    <definedName name="UB_3">[51]makro!$D$14</definedName>
    <definedName name="UB_3n">[51]makro!$D$36</definedName>
    <definedName name="UB_4">[51]makro!$E$14</definedName>
    <definedName name="UB_4n">[51]makro!$E$36</definedName>
    <definedName name="UB_5">[51]makro!$F$14</definedName>
    <definedName name="UB_5n">[51]makro!$F$36</definedName>
    <definedName name="UB_6">[51]makro!$G$14</definedName>
    <definedName name="UB_6n">[51]makro!$G$36</definedName>
    <definedName name="ULC_CZ" localSheetId="28">[6]REER!$BU$144:$BU$206</definedName>
    <definedName name="ULC_CZ">[21]REER!$BU$144:$BU$206</definedName>
    <definedName name="ULC_PART" localSheetId="28">[6]REER!$BR$144:$BR$206</definedName>
    <definedName name="ULC_PART">[21]REER!$BR$144:$BR$206</definedName>
    <definedName name="Universities" localSheetId="20">#REF!</definedName>
    <definedName name="Universities" localSheetId="28">#REF!</definedName>
    <definedName name="Universities" localSheetId="29">#REF!</definedName>
    <definedName name="Universities">#REF!</definedName>
    <definedName name="UPee_2" localSheetId="20">[28]Graf14_Graf15!#REF!</definedName>
    <definedName name="UPee_2" localSheetId="28">[28]Graf14_Graf15!#REF!</definedName>
    <definedName name="UPee_2" localSheetId="29">[28]Graf14_Graf15!#REF!</definedName>
    <definedName name="UPee_2">[28]Graf14_Graf15!#REF!</definedName>
    <definedName name="UPer_2" localSheetId="20">[28]Graf14_Graf15!#REF!</definedName>
    <definedName name="UPer_2" localSheetId="28">[28]Graf14_Graf15!#REF!</definedName>
    <definedName name="UPer_2" localSheetId="29">[28]Graf14_Graf15!#REF!</definedName>
    <definedName name="UPer_2">[28]Graf14_Graf15!#REF!</definedName>
    <definedName name="Uruguay">'[70]PDR vulnerability table'!$A$3:$E$65</definedName>
    <definedName name="USERNAME" localSheetId="20">#REF!</definedName>
    <definedName name="USERNAME" localSheetId="28">#REF!</definedName>
    <definedName name="USERNAME" localSheetId="29">#REF!</definedName>
    <definedName name="USERNAME">#REF!</definedName>
    <definedName name="uu" localSheetId="8" hidden="1">{"Riqfin97",#N/A,FALSE,"Tran";"Riqfinpro",#N/A,FALSE,"Tran"}</definedName>
    <definedName name="uu" localSheetId="11" hidden="1">{"Riqfin97",#N/A,FALSE,"Tran";"Riqfinpro",#N/A,FALSE,"Tran"}</definedName>
    <definedName name="uu" localSheetId="22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1" hidden="1">{"Riqfin97",#N/A,FALSE,"Tran";"Riqfinpro",#N/A,FALSE,"Tran"}</definedName>
    <definedName name="uu" localSheetId="16" hidden="1">{"Riqfin97",#N/A,FALSE,"Tran";"Riqfinpro",#N/A,FALSE,"Tran"}</definedName>
    <definedName name="uu" localSheetId="33" hidden="1">{"Riqfin97",#N/A,FALSE,"Tran";"Riqfinpro",#N/A,FALSE,"Tran"}</definedName>
    <definedName name="uu" localSheetId="14" hidden="1">{"Riqfin97",#N/A,FALSE,"Tran";"Riqfinpro",#N/A,FALSE,"Tran"}</definedName>
    <definedName name="uu" localSheetId="23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11" hidden="1">{"Riqfin97",#N/A,FALSE,"Tran";"Riqfinpro",#N/A,FALSE,"Tran"}</definedName>
    <definedName name="uuu" localSheetId="22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1" hidden="1">{"Riqfin97",#N/A,FALSE,"Tran";"Riqfinpro",#N/A,FALSE,"Tran"}</definedName>
    <definedName name="uuu" localSheetId="16" hidden="1">{"Riqfin97",#N/A,FALSE,"Tran";"Riqfinpro",#N/A,FALSE,"Tran"}</definedName>
    <definedName name="uuu" localSheetId="33" hidden="1">{"Riqfin97",#N/A,FALSE,"Tran";"Riqfinpro",#N/A,FALSE,"Tran"}</definedName>
    <definedName name="uuu" localSheetId="14" hidden="1">{"Riqfin97",#N/A,FALSE,"Tran";"Riqfinpro",#N/A,FALSE,"Tran"}</definedName>
    <definedName name="uuu" localSheetId="23" hidden="1">{"Riqfin97",#N/A,FALSE,"Tran";"Riqfinpro",#N/A,FALSE,"Tran"}</definedName>
    <definedName name="uuu" hidden="1">{"Riqfin97",#N/A,FALSE,"Tran";"Riqfinpro",#N/A,FALSE,"Tran"}</definedName>
    <definedName name="UUUUUUUUUUU" localSheetId="28">'Graf 28'!UUUUUUUUUUU</definedName>
    <definedName name="UUUUUUUUUUU">[22]!UUUUUUUUUUU</definedName>
    <definedName name="ValidationList" localSheetId="20">#REF!</definedName>
    <definedName name="ValidationList" localSheetId="28">#REF!</definedName>
    <definedName name="ValidationList" localSheetId="29">#REF!</definedName>
    <definedName name="ValidationList">#REF!</definedName>
    <definedName name="VeljavniProracun" localSheetId="20">#REF!</definedName>
    <definedName name="VeljavniProracun" localSheetId="28">#REF!</definedName>
    <definedName name="VeljavniProracun" localSheetId="29">#REF!</definedName>
    <definedName name="VeljavniProracun">#REF!</definedName>
    <definedName name="Venezuela" localSheetId="20">#REF!</definedName>
    <definedName name="Venezuela" localSheetId="28">#REF!</definedName>
    <definedName name="Venezuela" localSheetId="29">#REF!</definedName>
    <definedName name="Venezuela">#REF!</definedName>
    <definedName name="vv" localSheetId="8" hidden="1">{"Tab1",#N/A,FALSE,"P";"Tab2",#N/A,FALSE,"P"}</definedName>
    <definedName name="vv" localSheetId="11" hidden="1">{"Tab1",#N/A,FALSE,"P";"Tab2",#N/A,FALSE,"P"}</definedName>
    <definedName name="vv" localSheetId="22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1" hidden="1">{"Tab1",#N/A,FALSE,"P";"Tab2",#N/A,FALSE,"P"}</definedName>
    <definedName name="vv" localSheetId="16" hidden="1">{"Tab1",#N/A,FALSE,"P";"Tab2",#N/A,FALSE,"P"}</definedName>
    <definedName name="vv" localSheetId="33" hidden="1">{"Tab1",#N/A,FALSE,"P";"Tab2",#N/A,FALSE,"P"}</definedName>
    <definedName name="vv" localSheetId="14" hidden="1">{"Tab1",#N/A,FALSE,"P";"Tab2",#N/A,FALSE,"P"}</definedName>
    <definedName name="vv" localSheetId="23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11" hidden="1">{"Tab1",#N/A,FALSE,"P";"Tab2",#N/A,FALSE,"P"}</definedName>
    <definedName name="vvv" localSheetId="22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1" hidden="1">{"Tab1",#N/A,FALSE,"P";"Tab2",#N/A,FALSE,"P"}</definedName>
    <definedName name="vvv" localSheetId="16" hidden="1">{"Tab1",#N/A,FALSE,"P";"Tab2",#N/A,FALSE,"P"}</definedName>
    <definedName name="vvv" localSheetId="33" hidden="1">{"Tab1",#N/A,FALSE,"P";"Tab2",#N/A,FALSE,"P"}</definedName>
    <definedName name="vvv" localSheetId="14" hidden="1">{"Tab1",#N/A,FALSE,"P";"Tab2",#N/A,FALSE,"P"}</definedName>
    <definedName name="vvv" localSheetId="23" hidden="1">{"Tab1",#N/A,FALSE,"P";"Tab2",#N/A,FALSE,"P"}</definedName>
    <definedName name="vvv" hidden="1">{"Tab1",#N/A,FALSE,"P";"Tab2",#N/A,FALSE,"P"}</definedName>
    <definedName name="we11pcpi.m" localSheetId="20">[33]monthly!#REF!</definedName>
    <definedName name="we11pcpi.m" localSheetId="28">[34]monthly!#REF!</definedName>
    <definedName name="we11pcpi.m">[33]monthly!#REF!</definedName>
    <definedName name="WMENU" localSheetId="20">#REF!</definedName>
    <definedName name="WMENU" localSheetId="28">#REF!</definedName>
    <definedName name="WMENU" localSheetId="29">#REF!</definedName>
    <definedName name="WMENU">#REF!</definedName>
    <definedName name="wrn.1993_2002." localSheetId="8" hidden="1">{"1993_2002",#N/A,FALSE,"UnderlyingData"}</definedName>
    <definedName name="wrn.1993_2002." localSheetId="22" hidden="1">{"1993_2002",#N/A,FALSE,"UnderlyingData"}</definedName>
    <definedName name="wrn.1993_2002." localSheetId="28" hidden="1">{"1993_2002",#N/A,FALSE,"UnderlyingData"}</definedName>
    <definedName name="wrn.1993_2002." localSheetId="29" hidden="1">{"1993_2002",#N/A,FALSE,"UnderlyingData"}</definedName>
    <definedName name="wrn.1993_2002." localSheetId="4" hidden="1">{"1993_2002",#N/A,FALSE,"UnderlyingData"}</definedName>
    <definedName name="wrn.1993_2002." localSheetId="36" hidden="1">{"1993_2002",#N/A,FALSE,"UnderlyingData"}</definedName>
    <definedName name="wrn.1993_2002." localSheetId="5" hidden="1">{"1993_2002",#N/A,FALSE,"UnderlyingData"}</definedName>
    <definedName name="wrn.1993_2002." localSheetId="6" hidden="1">{"1993_2002",#N/A,FALSE,"UnderlyingData"}</definedName>
    <definedName name="wrn.1993_2002." localSheetId="7" hidden="1">{"1993_2002",#N/A,FALSE,"UnderlyingData"}</definedName>
    <definedName name="wrn.1993_2002." localSheetId="33" hidden="1">{"1993_2002",#N/A,FALSE,"UnderlyingData"}</definedName>
    <definedName name="wrn.1993_2002." localSheetId="23" hidden="1">{"1993_2002",#N/A,FALSE,"UnderlyingData"}</definedName>
    <definedName name="wrn.1993_2002." hidden="1">{"1993_2002",#N/A,FALSE,"UnderlyingData"}</definedName>
    <definedName name="wrn.a11._.general._.government." localSheetId="8" hidden="1">{"a11 general government",#N/A,FALSE,"RED Tables"}</definedName>
    <definedName name="wrn.a11._.general._.government." localSheetId="22" hidden="1">{"a11 general government",#N/A,FALSE,"RED Tables"}</definedName>
    <definedName name="wrn.a11._.general._.government." localSheetId="28" hidden="1">{"a11 general government",#N/A,FALSE,"RED Tables"}</definedName>
    <definedName name="wrn.a11._.general._.government." localSheetId="29" hidden="1">{"a11 general government",#N/A,FALSE,"RED Tables"}</definedName>
    <definedName name="wrn.a11._.general._.government." localSheetId="4" hidden="1">{"a11 general government",#N/A,FALSE,"RED Tables"}</definedName>
    <definedName name="wrn.a11._.general._.government." localSheetId="36" hidden="1">{"a11 general government",#N/A,FALSE,"RED Tables"}</definedName>
    <definedName name="wrn.a11._.general._.government." localSheetId="5" hidden="1">{"a11 general government",#N/A,FALSE,"RED Tables"}</definedName>
    <definedName name="wrn.a11._.general._.government." localSheetId="6" hidden="1">{"a11 general government",#N/A,FALSE,"RED Tables"}</definedName>
    <definedName name="wrn.a11._.general._.government." localSheetId="7" hidden="1">{"a11 general government",#N/A,FALSE,"RED Tables"}</definedName>
    <definedName name="wrn.a11._.general._.government." localSheetId="33" hidden="1">{"a11 general government",#N/A,FALSE,"RED Tables"}</definedName>
    <definedName name="wrn.a11._.general._.government." localSheetId="23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8" hidden="1">{"a12 Federal Government",#N/A,FALSE,"RED Tables"}</definedName>
    <definedName name="wrn.a12._.Federal._.Government." localSheetId="22" hidden="1">{"a12 Federal Government",#N/A,FALSE,"RED Tables"}</definedName>
    <definedName name="wrn.a12._.Federal._.Government." localSheetId="28" hidden="1">{"a12 Federal Government",#N/A,FALSE,"RED Tables"}</definedName>
    <definedName name="wrn.a12._.Federal._.Government." localSheetId="29" hidden="1">{"a12 Federal Government",#N/A,FALSE,"RED Tables"}</definedName>
    <definedName name="wrn.a12._.Federal._.Government." localSheetId="4" hidden="1">{"a12 Federal Government",#N/A,FALSE,"RED Tables"}</definedName>
    <definedName name="wrn.a12._.Federal._.Government." localSheetId="36" hidden="1">{"a12 Federal Government",#N/A,FALSE,"RED Tables"}</definedName>
    <definedName name="wrn.a12._.Federal._.Government." localSheetId="5" hidden="1">{"a12 Federal Government",#N/A,FALSE,"RED Tables"}</definedName>
    <definedName name="wrn.a12._.Federal._.Government." localSheetId="6" hidden="1">{"a12 Federal Government",#N/A,FALSE,"RED Tables"}</definedName>
    <definedName name="wrn.a12._.Federal._.Government." localSheetId="7" hidden="1">{"a12 Federal Government",#N/A,FALSE,"RED Tables"}</definedName>
    <definedName name="wrn.a12._.Federal._.Government." localSheetId="33" hidden="1">{"a12 Federal Government",#N/A,FALSE,"RED Tables"}</definedName>
    <definedName name="wrn.a12._.Federal._.Government." localSheetId="23" hidden="1">{"a12 Federal Government",#N/A,FALSE,"RED Tables"}</definedName>
    <definedName name="wrn.a12._.Federal._.Government." hidden="1">{"a12 Federal Government",#N/A,FALSE,"RED Tables"}</definedName>
    <definedName name="wrn.a13._.social._.security." localSheetId="8" hidden="1">{"a13 social security",#N/A,FALSE,"RED Tables"}</definedName>
    <definedName name="wrn.a13._.social._.security." localSheetId="22" hidden="1">{"a13 social security",#N/A,FALSE,"RED Tables"}</definedName>
    <definedName name="wrn.a13._.social._.security." localSheetId="28" hidden="1">{"a13 social security",#N/A,FALSE,"RED Tables"}</definedName>
    <definedName name="wrn.a13._.social._.security." localSheetId="29" hidden="1">{"a13 social security",#N/A,FALSE,"RED Tables"}</definedName>
    <definedName name="wrn.a13._.social._.security." localSheetId="4" hidden="1">{"a13 social security",#N/A,FALSE,"RED Tables"}</definedName>
    <definedName name="wrn.a13._.social._.security." localSheetId="36" hidden="1">{"a13 social security",#N/A,FALSE,"RED Tables"}</definedName>
    <definedName name="wrn.a13._.social._.security." localSheetId="5" hidden="1">{"a13 social security",#N/A,FALSE,"RED Tables"}</definedName>
    <definedName name="wrn.a13._.social._.security." localSheetId="6" hidden="1">{"a13 social security",#N/A,FALSE,"RED Tables"}</definedName>
    <definedName name="wrn.a13._.social._.security." localSheetId="7" hidden="1">{"a13 social security",#N/A,FALSE,"RED Tables"}</definedName>
    <definedName name="wrn.a13._.social._.security." localSheetId="33" hidden="1">{"a13 social security",#N/A,FALSE,"RED Tables"}</definedName>
    <definedName name="wrn.a13._.social._.security." localSheetId="23" hidden="1">{"a13 social security",#N/A,FALSE,"RED Tables"}</definedName>
    <definedName name="wrn.a13._.social._.security." hidden="1">{"a13 social security",#N/A,FALSE,"RED Tables"}</definedName>
    <definedName name="wrn.a14._.regions._.and._.communities." localSheetId="8" hidden="1">{"a14 regions and communities",#N/A,FALSE,"RED Tables"}</definedName>
    <definedName name="wrn.a14._.regions._.and._.communities." localSheetId="22" hidden="1">{"a14 regions and communities",#N/A,FALSE,"RED Tables"}</definedName>
    <definedName name="wrn.a14._.regions._.and._.communities." localSheetId="28" hidden="1">{"a14 regions and communities",#N/A,FALSE,"RED Tables"}</definedName>
    <definedName name="wrn.a14._.regions._.and._.communities." localSheetId="29" hidden="1">{"a14 regions and communities",#N/A,FALSE,"RED Tables"}</definedName>
    <definedName name="wrn.a14._.regions._.and._.communities." localSheetId="4" hidden="1">{"a14 regions and communities",#N/A,FALSE,"RED Tables"}</definedName>
    <definedName name="wrn.a14._.regions._.and._.communities." localSheetId="36" hidden="1">{"a14 regions and communities",#N/A,FALSE,"RED Tables"}</definedName>
    <definedName name="wrn.a14._.regions._.and._.communities." localSheetId="5" hidden="1">{"a14 regions and communities",#N/A,FALSE,"RED Tables"}</definedName>
    <definedName name="wrn.a14._.regions._.and._.communities." localSheetId="6" hidden="1">{"a14 regions and communities",#N/A,FALSE,"RED Tables"}</definedName>
    <definedName name="wrn.a14._.regions._.and._.communities." localSheetId="7" hidden="1">{"a14 regions and communities",#N/A,FALSE,"RED Tables"}</definedName>
    <definedName name="wrn.a14._.regions._.and._.communities." localSheetId="33" hidden="1">{"a14 regions and communities",#N/A,FALSE,"RED Tables"}</definedName>
    <definedName name="wrn.a14._.regions._.and._.communities." localSheetId="23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8" hidden="1">{"a15 local governments",#N/A,FALSE,"RED Tables"}</definedName>
    <definedName name="wrn.a15._.local._.governments." localSheetId="22" hidden="1">{"a15 local governments",#N/A,FALSE,"RED Tables"}</definedName>
    <definedName name="wrn.a15._.local._.governments." localSheetId="28" hidden="1">{"a15 local governments",#N/A,FALSE,"RED Tables"}</definedName>
    <definedName name="wrn.a15._.local._.governments." localSheetId="29" hidden="1">{"a15 local governments",#N/A,FALSE,"RED Tables"}</definedName>
    <definedName name="wrn.a15._.local._.governments." localSheetId="4" hidden="1">{"a15 local governments",#N/A,FALSE,"RED Tables"}</definedName>
    <definedName name="wrn.a15._.local._.governments." localSheetId="36" hidden="1">{"a15 local governments",#N/A,FALSE,"RED Tables"}</definedName>
    <definedName name="wrn.a15._.local._.governments." localSheetId="5" hidden="1">{"a15 local governments",#N/A,FALSE,"RED Tables"}</definedName>
    <definedName name="wrn.a15._.local._.governments." localSheetId="6" hidden="1">{"a15 local governments",#N/A,FALSE,"RED Tables"}</definedName>
    <definedName name="wrn.a15._.local._.governments." localSheetId="7" hidden="1">{"a15 local governments",#N/A,FALSE,"RED Tables"}</definedName>
    <definedName name="wrn.a15._.local._.governments." localSheetId="33" hidden="1">{"a15 local governments",#N/A,FALSE,"RED Tables"}</definedName>
    <definedName name="wrn.a15._.local._.governments." localSheetId="23" hidden="1">{"a15 local governments",#N/A,FALSE,"RED Tables"}</definedName>
    <definedName name="wrn.a15._.local._.governments." hidden="1">{"a15 local governments",#N/A,FALSE,"RED Tables"}</definedName>
    <definedName name="wrn.BOP_MIDTERM." localSheetId="8" hidden="1">{"BOP_TAB",#N/A,FALSE,"N";"MIDTERM_TAB",#N/A,FALSE,"O"}</definedName>
    <definedName name="wrn.BOP_MIDTERM." localSheetId="22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4" hidden="1">{"BOP_TAB",#N/A,FALSE,"N";"MIDTERM_TAB",#N/A,FALSE,"O"}</definedName>
    <definedName name="wrn.BOP_MIDTERM." localSheetId="36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33" hidden="1">{"BOP_TAB",#N/A,FALSE,"N";"MIDTERM_TAB",#N/A,FALSE,"O"}</definedName>
    <definedName name="wrn.BOP_MIDTERM." localSheetId="23" hidden="1">{"BOP_TAB",#N/A,FALSE,"N";"MIDTERM_TAB",#N/A,FALSE,"O"}</definedName>
    <definedName name="wrn.BOP_MIDTERM." hidden="1">{"BOP_TAB",#N/A,FALSE,"N";"MIDTERM_TAB",#N/A,FALSE,"O"}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8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23" hidden="1">{#N/A,#N/A,FALSE,"CB";#N/A,#N/A,FALSE,"CMB";#N/A,#N/A,FALSE,"NBFI"}</definedName>
    <definedName name="wrn.MIT." hidden="1">{#N/A,#N/A,FALSE,"CB";#N/A,#N/A,FALSE,"CMB";#N/A,#N/A,FALSE,"NBFI"}</definedName>
    <definedName name="wrn.MONA." localSheetId="8" hidden="1">{"MONA",#N/A,FALSE,"S"}</definedName>
    <definedName name="wrn.MONA." localSheetId="22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4" hidden="1">{"MONA",#N/A,FALSE,"S"}</definedName>
    <definedName name="wrn.MONA." localSheetId="36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33" hidden="1">{"MONA",#N/A,FALSE,"S"}</definedName>
    <definedName name="wrn.MONA." localSheetId="23" hidden="1">{"MONA",#N/A,FALSE,"S"}</definedName>
    <definedName name="wrn.MONA." hidden="1">{"MONA",#N/A,FALSE,"S"}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8" hidden="1">{"Tab1",#N/A,FALSE,"P";"Tab2",#N/A,FALSE,"P"}</definedName>
    <definedName name="wrn.Program." localSheetId="11" hidden="1">{"Tab1",#N/A,FALSE,"P";"Tab2",#N/A,FALSE,"P"}</definedName>
    <definedName name="wrn.Program." localSheetId="22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1" hidden="1">{"Tab1",#N/A,FALSE,"P";"Tab2",#N/A,FALSE,"P"}</definedName>
    <definedName name="wrn.Program." localSheetId="16" hidden="1">{"Tab1",#N/A,FALSE,"P";"Tab2",#N/A,FALSE,"P"}</definedName>
    <definedName name="wrn.Program." localSheetId="33" hidden="1">{"Tab1",#N/A,FALSE,"P";"Tab2",#N/A,FALSE,"P"}</definedName>
    <definedName name="wrn.Program." localSheetId="14" hidden="1">{"Tab1",#N/A,FALSE,"P";"Tab2",#N/A,FALSE,"P"}</definedName>
    <definedName name="wrn.Program." localSheetId="23" hidden="1">{"Tab1",#N/A,FALSE,"P";"Tab2",#N/A,FALSE,"P"}</definedName>
    <definedName name="wrn.Program." hidden="1">{"Tab1",#N/A,FALSE,"P";"Tab2",#N/A,FALSE,"P"}</definedName>
    <definedName name="wrn.Ques._.1." localSheetId="8" hidden="1">{"Ques 1",#N/A,FALSE,"NWEO138"}</definedName>
    <definedName name="wrn.Ques._.1." localSheetId="22" hidden="1">{"Ques 1",#N/A,FALSE,"NWEO138"}</definedName>
    <definedName name="wrn.Ques._.1." localSheetId="28" hidden="1">{"Ques 1",#N/A,FALSE,"NWEO138"}</definedName>
    <definedName name="wrn.Ques._.1." localSheetId="29" hidden="1">{"Ques 1",#N/A,FALSE,"NWEO138"}</definedName>
    <definedName name="wrn.Ques._.1." localSheetId="4" hidden="1">{"Ques 1",#N/A,FALSE,"NWEO138"}</definedName>
    <definedName name="wrn.Ques._.1." localSheetId="36" hidden="1">{"Ques 1",#N/A,FALSE,"NWEO138"}</definedName>
    <definedName name="wrn.Ques._.1." localSheetId="5" hidden="1">{"Ques 1",#N/A,FALSE,"NWEO138"}</definedName>
    <definedName name="wrn.Ques._.1." localSheetId="6" hidden="1">{"Ques 1",#N/A,FALSE,"NWEO138"}</definedName>
    <definedName name="wrn.Ques._.1." localSheetId="7" hidden="1">{"Ques 1",#N/A,FALSE,"NWEO138"}</definedName>
    <definedName name="wrn.Ques._.1." localSheetId="33" hidden="1">{"Ques 1",#N/A,FALSE,"NWEO138"}</definedName>
    <definedName name="wrn.Ques._.1." localSheetId="23" hidden="1">{"Ques 1",#N/A,FALSE,"NWEO138"}</definedName>
    <definedName name="wrn.Ques._.1." hidden="1">{"Ques 1",#N/A,FALSE,"NWEO138"}</definedName>
    <definedName name="wrn.Riqfin." localSheetId="8" hidden="1">{"Riqfin97",#N/A,FALSE,"Tran";"Riqfinpro",#N/A,FALSE,"Tran"}</definedName>
    <definedName name="wrn.Riqfin." localSheetId="11" hidden="1">{"Riqfin97",#N/A,FALSE,"Tran";"Riqfinpro",#N/A,FALSE,"Tran"}</definedName>
    <definedName name="wrn.Riqfin." localSheetId="22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1" hidden="1">{"Riqfin97",#N/A,FALSE,"Tran";"Riqfinpro",#N/A,FALSE,"Tran"}</definedName>
    <definedName name="wrn.Riqfin." localSheetId="16" hidden="1">{"Riqfin97",#N/A,FALSE,"Tran";"Riqfinpro",#N/A,FALSE,"Tran"}</definedName>
    <definedName name="wrn.Riqfin." localSheetId="33" hidden="1">{"Riqfin97",#N/A,FALSE,"Tran";"Riqfinpro",#N/A,FALSE,"Tran"}</definedName>
    <definedName name="wrn.Riqfin." localSheetId="14" hidden="1">{"Riqfin97",#N/A,FALSE,"Tran";"Riqfinpro",#N/A,FALSE,"Tran"}</definedName>
    <definedName name="wrn.Riqfin." localSheetId="23" hidden="1">{"Riqfin97",#N/A,FALSE,"Tran";"Riqfinpro",#N/A,FALSE,"Tran"}</definedName>
    <definedName name="wrn.Riqfin." hidden="1">{"Riqfin97",#N/A,FALSE,"Tran";"Riqfinpro",#N/A,FALSE,"Tran"}</definedName>
    <definedName name="wrn.Staff._.Report._.Tables." localSheetId="8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hidden="1">{#N/A,#N/A,FALSE,"SRFSYS";#N/A,#N/A,FALSE,"SRBSYS"}</definedName>
    <definedName name="wrn.WEO." localSheetId="8" hidden="1">{"WEO",#N/A,FALSE,"T"}</definedName>
    <definedName name="wrn.WEO." localSheetId="22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4" hidden="1">{"WEO",#N/A,FALSE,"T"}</definedName>
    <definedName name="wrn.WEO." localSheetId="36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33" hidden="1">{"WEO",#N/A,FALSE,"T"}</definedName>
    <definedName name="wrn.WEO." localSheetId="23" hidden="1">{"WEO",#N/A,FALSE,"T"}</definedName>
    <definedName name="wrn.WEO." hidden="1">{"WEO",#N/A,FALSE,"T"}</definedName>
    <definedName name="ww" localSheetId="20" hidden="1">[56]M!#REF!</definedName>
    <definedName name="ww" localSheetId="28" hidden="1">[56]M!#REF!</definedName>
    <definedName name="ww" localSheetId="35" hidden="1">[56]M!#REF!</definedName>
    <definedName name="ww" hidden="1">[56]M!#REF!</definedName>
    <definedName name="www" localSheetId="8" hidden="1">{"Riqfin97",#N/A,FALSE,"Tran";"Riqfinpro",#N/A,FALSE,"Tran"}</definedName>
    <definedName name="www" localSheetId="11" hidden="1">{"Riqfin97",#N/A,FALSE,"Tran";"Riqfinpro",#N/A,FALSE,"Tran"}</definedName>
    <definedName name="www" localSheetId="22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1" hidden="1">{"Riqfin97",#N/A,FALSE,"Tran";"Riqfinpro",#N/A,FALSE,"Tran"}</definedName>
    <definedName name="www" localSheetId="16" hidden="1">{"Riqfin97",#N/A,FALSE,"Tran";"Riqfinpro",#N/A,FALSE,"Tran"}</definedName>
    <definedName name="www" localSheetId="33" hidden="1">{"Riqfin97",#N/A,FALSE,"Tran";"Riqfinpro",#N/A,FALSE,"Tran"}</definedName>
    <definedName name="www" localSheetId="14" hidden="1">{"Riqfin97",#N/A,FALSE,"Tran";"Riqfinpro",#N/A,FALSE,"Tran"}</definedName>
    <definedName name="www" localSheetId="23" hidden="1">{"Riqfin97",#N/A,FALSE,"Tran";"Riqfinpro",#N/A,FALSE,"Tran"}</definedName>
    <definedName name="www" hidden="1">{"Riqfin97",#N/A,FALSE,"Tran";"Riqfinpro",#N/A,FALSE,"Tran"}</definedName>
    <definedName name="XR" localSheetId="28">[6]REER!$AT$140:$BA$199</definedName>
    <definedName name="XR">[21]REER!$AT$140:$BA$199</definedName>
    <definedName name="xx" localSheetId="8" hidden="1">{"Riqfin97",#N/A,FALSE,"Tran";"Riqfinpro",#N/A,FALSE,"Tran"}</definedName>
    <definedName name="xx" localSheetId="11" hidden="1">{"Riqfin97",#N/A,FALSE,"Tran";"Riqfinpro",#N/A,FALSE,"Tran"}</definedName>
    <definedName name="xx" localSheetId="22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1" hidden="1">{"Riqfin97",#N/A,FALSE,"Tran";"Riqfinpro",#N/A,FALSE,"Tran"}</definedName>
    <definedName name="xx" localSheetId="16" hidden="1">{"Riqfin97",#N/A,FALSE,"Tran";"Riqfinpro",#N/A,FALSE,"Tran"}</definedName>
    <definedName name="xx" localSheetId="33" hidden="1">{"Riqfin97",#N/A,FALSE,"Tran";"Riqfinpro",#N/A,FALSE,"Tran"}</definedName>
    <definedName name="xx" localSheetId="14" hidden="1">{"Riqfin97",#N/A,FALSE,"Tran";"Riqfinpro",#N/A,FALSE,"Tran"}</definedName>
    <definedName name="xx" localSheetId="23" hidden="1">{"Riqfin97",#N/A,FALSE,"Tran";"Riqfinpro",#N/A,FALSE,"Tran"}</definedName>
    <definedName name="xx" hidden="1">{"Riqfin97",#N/A,FALSE,"Tran";"Riqfinpro",#N/A,FALSE,"Tran"}</definedName>
    <definedName name="xxWRS_1" localSheetId="20">#REF!</definedName>
    <definedName name="xxWRS_1" localSheetId="28">#REF!</definedName>
    <definedName name="xxWRS_1" localSheetId="29">#REF!</definedName>
    <definedName name="xxWRS_1">#REF!</definedName>
    <definedName name="xxWRS_10" localSheetId="20">#REF!</definedName>
    <definedName name="xxWRS_10" localSheetId="28">#REF!</definedName>
    <definedName name="xxWRS_10" localSheetId="29">#REF!</definedName>
    <definedName name="xxWRS_10">#REF!</definedName>
    <definedName name="xxWRS_11" localSheetId="20">#REF!</definedName>
    <definedName name="xxWRS_11" localSheetId="28">#REF!</definedName>
    <definedName name="xxWRS_11" localSheetId="29">#REF!</definedName>
    <definedName name="xxWRS_11">#REF!</definedName>
    <definedName name="xxWRS_12" localSheetId="20">#REF!</definedName>
    <definedName name="xxWRS_12">#REF!</definedName>
    <definedName name="xxWRS_2" localSheetId="20">#REF!</definedName>
    <definedName name="xxWRS_2">#REF!</definedName>
    <definedName name="xxWRS_6" localSheetId="20">#REF!</definedName>
    <definedName name="xxWRS_6">#REF!</definedName>
    <definedName name="xxWRS_7" localSheetId="20">#REF!</definedName>
    <definedName name="xxWRS_7">#REF!</definedName>
    <definedName name="xxWRS_8" localSheetId="20">#REF!</definedName>
    <definedName name="xxWRS_8">#REF!</definedName>
    <definedName name="xxWRS_9" localSheetId="20">#REF!</definedName>
    <definedName name="xxWRS_9">#REF!</definedName>
    <definedName name="xxxx" localSheetId="8" hidden="1">{"Riqfin97",#N/A,FALSE,"Tran";"Riqfinpro",#N/A,FALSE,"Tran"}</definedName>
    <definedName name="xxxx" localSheetId="11" hidden="1">{"Riqfin97",#N/A,FALSE,"Tran";"Riqfinpro",#N/A,FALSE,"Tran"}</definedName>
    <definedName name="xxxx" localSheetId="22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1" hidden="1">{"Riqfin97",#N/A,FALSE,"Tran";"Riqfinpro",#N/A,FALSE,"Tran"}</definedName>
    <definedName name="xxxx" localSheetId="16" hidden="1">{"Riqfin97",#N/A,FALSE,"Tran";"Riqfinpro",#N/A,FALSE,"Tran"}</definedName>
    <definedName name="xxxx" localSheetId="33" hidden="1">{"Riqfin97",#N/A,FALSE,"Tran";"Riqfinpro",#N/A,FALSE,"Tran"}</definedName>
    <definedName name="xxxx" localSheetId="14" hidden="1">{"Riqfin97",#N/A,FALSE,"Tran";"Riqfinpro",#N/A,FALSE,"Tran"}</definedName>
    <definedName name="xxxx" localSheetId="23" hidden="1">{"Riqfin97",#N/A,FALSE,"Tran";"Riqfinpro",#N/A,FALSE,"Tran"}</definedName>
    <definedName name="xxxx" hidden="1">{"Riqfin97",#N/A,FALSE,"Tran";"Riqfinpro",#N/A,FALSE,"Tran"}</definedName>
    <definedName name="year" localSheetId="20">[28]Graf14_Graf15!#REF!</definedName>
    <definedName name="year">[28]Graf14_Graf15!#REF!</definedName>
    <definedName name="yy" localSheetId="8" hidden="1">{"Tab1",#N/A,FALSE,"P";"Tab2",#N/A,FALSE,"P"}</definedName>
    <definedName name="yy" localSheetId="11" hidden="1">{"Tab1",#N/A,FALSE,"P";"Tab2",#N/A,FALSE,"P"}</definedName>
    <definedName name="yy" localSheetId="22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4" hidden="1">{"Tab1",#N/A,FALSE,"P";"Tab2",#N/A,FALSE,"P"}</definedName>
    <definedName name="yy" localSheetId="35" hidden="1">{"Tab1",#N/A,FALSE,"P";"Tab2",#N/A,FALSE,"P"}</definedName>
    <definedName name="yy" localSheetId="36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1" hidden="1">{"Tab1",#N/A,FALSE,"P";"Tab2",#N/A,FALSE,"P"}</definedName>
    <definedName name="yy" localSheetId="16" hidden="1">{"Tab1",#N/A,FALSE,"P";"Tab2",#N/A,FALSE,"P"}</definedName>
    <definedName name="yy" localSheetId="33" hidden="1">{"Tab1",#N/A,FALSE,"P";"Tab2",#N/A,FALSE,"P"}</definedName>
    <definedName name="yy" localSheetId="14" hidden="1">{"Tab1",#N/A,FALSE,"P";"Tab2",#N/A,FALSE,"P"}</definedName>
    <definedName name="yy" localSheetId="23" hidden="1">{"Tab1",#N/A,FALSE,"P";"Tab2",#N/A,FALSE,"P"}</definedName>
    <definedName name="yy" hidden="1">{"Tab1",#N/A,FALSE,"P";"Tab2",#N/A,FALSE,"P"}</definedName>
    <definedName name="yyy" localSheetId="8" hidden="1">{"Tab1",#N/A,FALSE,"P";"Tab2",#N/A,FALSE,"P"}</definedName>
    <definedName name="yyy" localSheetId="11" hidden="1">{"Tab1",#N/A,FALSE,"P";"Tab2",#N/A,FALSE,"P"}</definedName>
    <definedName name="yyy" localSheetId="22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1" hidden="1">{"Tab1",#N/A,FALSE,"P";"Tab2",#N/A,FALSE,"P"}</definedName>
    <definedName name="yyy" localSheetId="16" hidden="1">{"Tab1",#N/A,FALSE,"P";"Tab2",#N/A,FALSE,"P"}</definedName>
    <definedName name="yyy" localSheetId="33" hidden="1">{"Tab1",#N/A,FALSE,"P";"Tab2",#N/A,FALSE,"P"}</definedName>
    <definedName name="yyy" localSheetId="14" hidden="1">{"Tab1",#N/A,FALSE,"P";"Tab2",#N/A,FALSE,"P"}</definedName>
    <definedName name="yyy" localSheetId="23" hidden="1">{"Tab1",#N/A,FALSE,"P";"Tab2",#N/A,FALSE,"P"}</definedName>
    <definedName name="yyy" hidden="1">{"Tab1",#N/A,FALSE,"P";"Tab2",#N/A,FALSE,"P"}</definedName>
    <definedName name="yyyy" localSheetId="8" hidden="1">{"Riqfin97",#N/A,FALSE,"Tran";"Riqfinpro",#N/A,FALSE,"Tran"}</definedName>
    <definedName name="yyyy" localSheetId="11" hidden="1">{"Riqfin97",#N/A,FALSE,"Tran";"Riqfinpro",#N/A,FALSE,"Tran"}</definedName>
    <definedName name="yyyy" localSheetId="22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4" hidden="1">{"Riqfin97",#N/A,FALSE,"Tran";"Riqfinpro",#N/A,FALSE,"Tran"}</definedName>
    <definedName name="yyyy" localSheetId="35" hidden="1">{"Riqfin97",#N/A,FALSE,"Tran";"Riqfinpro",#N/A,FALSE,"Tran"}</definedName>
    <definedName name="yyyy" localSheetId="36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1" hidden="1">{"Riqfin97",#N/A,FALSE,"Tran";"Riqfinpro",#N/A,FALSE,"Tran"}</definedName>
    <definedName name="yyyy" localSheetId="16" hidden="1">{"Riqfin97",#N/A,FALSE,"Tran";"Riqfinpro",#N/A,FALSE,"Tran"}</definedName>
    <definedName name="yyyy" localSheetId="33" hidden="1">{"Riqfin97",#N/A,FALSE,"Tran";"Riqfinpro",#N/A,FALSE,"Tran"}</definedName>
    <definedName name="yyyy" localSheetId="14" hidden="1">{"Riqfin97",#N/A,FALSE,"Tran";"Riqfinpro",#N/A,FALSE,"Tran"}</definedName>
    <definedName name="yyyy" localSheetId="23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1" hidden="1">MMF_TABULKA!$B:$C</definedName>
    <definedName name="Z_95224721_0485_11D4_BFD1_00508B5F4DA4_.wvu.Cols" localSheetId="11" hidden="1">#REF!</definedName>
    <definedName name="Z_95224721_0485_11D4_BFD1_00508B5F4DA4_.wvu.Cols" localSheetId="20" hidden="1">#REF!</definedName>
    <definedName name="Z_95224721_0485_11D4_BFD1_00508B5F4DA4_.wvu.Cols" localSheetId="28" hidden="1">#REF!</definedName>
    <definedName name="Z_95224721_0485_11D4_BFD1_00508B5F4DA4_.wvu.Cols" localSheetId="35" hidden="1">#REF!</definedName>
    <definedName name="Z_95224721_0485_11D4_BFD1_00508B5F4DA4_.wvu.Cols" hidden="1">#REF!</definedName>
    <definedName name="zac_kles" localSheetId="20">[28]Graf14_Graf15!#REF!</definedName>
    <definedName name="zac_kles">[28]Graf14_Graf15!#REF!</definedName>
    <definedName name="zac_kles_2" localSheetId="20">[28]Graf14_Graf15!#REF!</definedName>
    <definedName name="zac_kles_2">[28]Graf14_Graf15!#REF!</definedName>
    <definedName name="ZPee_2" localSheetId="20">[28]Graf14_Graf15!#REF!</definedName>
    <definedName name="ZPee_2">[28]Graf14_Graf15!#REF!</definedName>
    <definedName name="ZPer_2" localSheetId="20">[28]Graf14_Graf15!#REF!</definedName>
    <definedName name="ZPer_2">[28]Graf14_Graf15!#REF!</definedName>
    <definedName name="zpiz">[43]ZPIZ!$A$1:$F$65536</definedName>
    <definedName name="zz" localSheetId="8" hidden="1">{"Tab1",#N/A,FALSE,"P";"Tab2",#N/A,FALSE,"P"}</definedName>
    <definedName name="zz" localSheetId="11" hidden="1">{"Tab1",#N/A,FALSE,"P";"Tab2",#N/A,FALSE,"P"}</definedName>
    <definedName name="zz" localSheetId="22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1" hidden="1">{"Tab1",#N/A,FALSE,"P";"Tab2",#N/A,FALSE,"P"}</definedName>
    <definedName name="zz" localSheetId="16" hidden="1">{"Tab1",#N/A,FALSE,"P";"Tab2",#N/A,FALSE,"P"}</definedName>
    <definedName name="zz" localSheetId="33" hidden="1">{"Tab1",#N/A,FALSE,"P";"Tab2",#N/A,FALSE,"P"}</definedName>
    <definedName name="zz" localSheetId="14" hidden="1">{"Tab1",#N/A,FALSE,"P";"Tab2",#N/A,FALSE,"P"}</definedName>
    <definedName name="zz" localSheetId="23" hidden="1">{"Tab1",#N/A,FALSE,"P";"Tab2",#N/A,FALSE,"P"}</definedName>
    <definedName name="zz" hidden="1">{"Tab1",#N/A,FALSE,"P";"Tab2",#N/A,FALSE,"P"}</definedName>
    <definedName name="zzzs">[43]ZZZS!$A$1:$E$65536</definedName>
  </definedNames>
  <calcPr calcId="152511"/>
</workbook>
</file>

<file path=xl/calcChain.xml><?xml version="1.0" encoding="utf-8"?>
<calcChain xmlns="http://schemas.openxmlformats.org/spreadsheetml/2006/main">
  <c r="K30" i="123" l="1"/>
  <c r="L27" i="123"/>
  <c r="M27" i="123"/>
  <c r="N27" i="123"/>
  <c r="L28" i="123"/>
  <c r="M28" i="123"/>
  <c r="N28" i="123"/>
  <c r="L29" i="123"/>
  <c r="M29" i="123"/>
  <c r="N29" i="123"/>
  <c r="L30" i="123"/>
  <c r="M30" i="123"/>
  <c r="N30" i="123"/>
  <c r="L31" i="123"/>
  <c r="M31" i="123"/>
  <c r="N31" i="123"/>
  <c r="L32" i="123"/>
  <c r="M32" i="123"/>
  <c r="N32" i="123"/>
  <c r="L33" i="123"/>
  <c r="M33" i="123"/>
  <c r="N33" i="123"/>
  <c r="L34" i="123"/>
  <c r="M34" i="123"/>
  <c r="N34" i="123"/>
  <c r="L35" i="123"/>
  <c r="M35" i="123"/>
  <c r="N35" i="123"/>
  <c r="L36" i="123"/>
  <c r="M36" i="123"/>
  <c r="N36" i="123"/>
  <c r="L37" i="123"/>
  <c r="M37" i="123"/>
  <c r="N37" i="123"/>
  <c r="L38" i="123"/>
  <c r="M38" i="123"/>
  <c r="N38" i="123"/>
  <c r="L39" i="123"/>
  <c r="M39" i="123"/>
  <c r="N39" i="123"/>
  <c r="L40" i="123"/>
  <c r="M40" i="123"/>
  <c r="N40" i="123"/>
  <c r="L41" i="123"/>
  <c r="M41" i="123"/>
  <c r="N41" i="123"/>
  <c r="L42" i="123"/>
  <c r="M42" i="123"/>
  <c r="N42" i="123"/>
  <c r="M26" i="123"/>
  <c r="N26" i="123"/>
  <c r="L26" i="123"/>
  <c r="L6" i="123"/>
  <c r="M6" i="123"/>
  <c r="N6" i="123"/>
  <c r="L7" i="123"/>
  <c r="M7" i="123"/>
  <c r="N7" i="123"/>
  <c r="L8" i="123"/>
  <c r="M8" i="123"/>
  <c r="N8" i="123"/>
  <c r="L9" i="123"/>
  <c r="M9" i="123"/>
  <c r="N9" i="123"/>
  <c r="L10" i="123"/>
  <c r="M10" i="123"/>
  <c r="N10" i="123"/>
  <c r="L11" i="123"/>
  <c r="M11" i="123"/>
  <c r="N11" i="123"/>
  <c r="L12" i="123"/>
  <c r="M12" i="123"/>
  <c r="N12" i="123"/>
  <c r="L13" i="123"/>
  <c r="M13" i="123"/>
  <c r="N13" i="123"/>
  <c r="L14" i="123"/>
  <c r="M14" i="123"/>
  <c r="N14" i="123"/>
  <c r="L15" i="123"/>
  <c r="M15" i="123"/>
  <c r="N15" i="123"/>
  <c r="L16" i="123"/>
  <c r="M16" i="123"/>
  <c r="N16" i="123"/>
  <c r="L17" i="123"/>
  <c r="M17" i="123"/>
  <c r="N17" i="123"/>
  <c r="L18" i="123"/>
  <c r="M18" i="123"/>
  <c r="N18" i="123"/>
  <c r="L19" i="123"/>
  <c r="M19" i="123"/>
  <c r="N19" i="123"/>
  <c r="L20" i="123"/>
  <c r="M20" i="123"/>
  <c r="N20" i="123"/>
  <c r="L21" i="123"/>
  <c r="M21" i="123"/>
  <c r="N21" i="123"/>
  <c r="L22" i="123"/>
  <c r="M22" i="123"/>
  <c r="N22" i="123"/>
  <c r="L23" i="123"/>
  <c r="M23" i="123"/>
  <c r="N23" i="123"/>
  <c r="M5" i="123"/>
  <c r="N5" i="123"/>
  <c r="L5" i="123"/>
  <c r="C31" i="196"/>
  <c r="C44" i="196"/>
  <c r="C43" i="196"/>
  <c r="C29" i="196"/>
  <c r="I29" i="196"/>
  <c r="I30" i="196"/>
  <c r="I31" i="196"/>
  <c r="I32" i="196"/>
  <c r="I33" i="196"/>
  <c r="I34" i="196"/>
  <c r="I35" i="196"/>
  <c r="I36" i="196"/>
  <c r="I37" i="196"/>
  <c r="I38" i="196"/>
  <c r="I39" i="196"/>
  <c r="I40" i="196"/>
  <c r="I41" i="196"/>
  <c r="I42" i="196"/>
  <c r="I43" i="196"/>
  <c r="I44" i="196"/>
  <c r="I45" i="196"/>
  <c r="I46" i="196"/>
  <c r="H46" i="196"/>
  <c r="G46" i="196"/>
  <c r="F46" i="196"/>
  <c r="E46" i="196"/>
  <c r="D46" i="196"/>
  <c r="C46" i="196"/>
  <c r="H45" i="196"/>
  <c r="G45" i="196"/>
  <c r="F45" i="196"/>
  <c r="E45" i="196"/>
  <c r="D45" i="196"/>
  <c r="C45" i="196"/>
  <c r="H44" i="196"/>
  <c r="G44" i="196"/>
  <c r="F44" i="196"/>
  <c r="E44" i="196"/>
  <c r="D44" i="196"/>
  <c r="H43" i="196"/>
  <c r="G43" i="196"/>
  <c r="F43" i="196"/>
  <c r="E43" i="196"/>
  <c r="D43" i="196"/>
  <c r="H41" i="196"/>
  <c r="G41" i="196"/>
  <c r="F41" i="196"/>
  <c r="E41" i="196"/>
  <c r="D41" i="196"/>
  <c r="C41" i="196"/>
  <c r="H40" i="196"/>
  <c r="G40" i="196"/>
  <c r="F40" i="196"/>
  <c r="E40" i="196"/>
  <c r="D40" i="196"/>
  <c r="C40" i="196"/>
  <c r="H39" i="196"/>
  <c r="G39" i="196"/>
  <c r="F39" i="196"/>
  <c r="E39" i="196"/>
  <c r="D39" i="196"/>
  <c r="C39" i="196"/>
  <c r="H38" i="196"/>
  <c r="G38" i="196"/>
  <c r="F38" i="196"/>
  <c r="E38" i="196"/>
  <c r="D38" i="196"/>
  <c r="C38" i="196"/>
  <c r="H37" i="196"/>
  <c r="G37" i="196"/>
  <c r="F37" i="196"/>
  <c r="E37" i="196"/>
  <c r="D37" i="196"/>
  <c r="C37" i="196"/>
  <c r="H36" i="196"/>
  <c r="G36" i="196"/>
  <c r="F36" i="196"/>
  <c r="E36" i="196"/>
  <c r="D36" i="196"/>
  <c r="C36" i="196"/>
  <c r="H35" i="196"/>
  <c r="G35" i="196"/>
  <c r="F35" i="196"/>
  <c r="E35" i="196"/>
  <c r="D35" i="196"/>
  <c r="C35" i="196"/>
  <c r="H34" i="196"/>
  <c r="G34" i="196"/>
  <c r="F34" i="196"/>
  <c r="E34" i="196"/>
  <c r="D34" i="196"/>
  <c r="C34" i="196"/>
  <c r="H33" i="196"/>
  <c r="G33" i="196"/>
  <c r="F33" i="196"/>
  <c r="E33" i="196"/>
  <c r="D33" i="196"/>
  <c r="C33" i="196"/>
  <c r="H32" i="196"/>
  <c r="G32" i="196"/>
  <c r="F32" i="196"/>
  <c r="E32" i="196"/>
  <c r="D32" i="196"/>
  <c r="C32" i="196"/>
  <c r="H31" i="196"/>
  <c r="G31" i="196"/>
  <c r="F31" i="196"/>
  <c r="E31" i="196"/>
  <c r="D31" i="196"/>
  <c r="H30" i="196"/>
  <c r="G30" i="196"/>
  <c r="G42" i="196" s="1"/>
  <c r="F30" i="196"/>
  <c r="F42" i="196" s="1"/>
  <c r="E30" i="196"/>
  <c r="D30" i="196"/>
  <c r="C30" i="196"/>
  <c r="C42" i="196" s="1"/>
  <c r="H29" i="196"/>
  <c r="H42" i="196" s="1"/>
  <c r="G29" i="196"/>
  <c r="F29" i="196"/>
  <c r="E29" i="196"/>
  <c r="E42" i="196" s="1"/>
  <c r="D29" i="196"/>
  <c r="D42" i="196" s="1"/>
  <c r="E19" i="102"/>
  <c r="F19" i="102"/>
  <c r="G19" i="102"/>
  <c r="H19" i="102"/>
  <c r="E20" i="102"/>
  <c r="F20" i="102"/>
  <c r="G20" i="102"/>
  <c r="H20" i="102"/>
  <c r="E21" i="102"/>
  <c r="F21" i="102"/>
  <c r="G21" i="102"/>
  <c r="H21" i="102"/>
  <c r="D20" i="102"/>
  <c r="D21" i="102"/>
  <c r="D19" i="102"/>
  <c r="D31" i="217"/>
  <c r="E31" i="217"/>
  <c r="D32" i="217"/>
  <c r="E32" i="217"/>
  <c r="D33" i="217"/>
  <c r="E33" i="217"/>
  <c r="D34" i="217"/>
  <c r="E34" i="217"/>
  <c r="D35" i="217"/>
  <c r="E35" i="217"/>
  <c r="D36" i="217"/>
  <c r="E36" i="217"/>
  <c r="D37" i="217"/>
  <c r="E37" i="217"/>
  <c r="D38" i="217"/>
  <c r="E38" i="217"/>
  <c r="D39" i="217"/>
  <c r="E39" i="217"/>
  <c r="D40" i="217"/>
  <c r="E40" i="217"/>
  <c r="D41" i="217"/>
  <c r="E41" i="217"/>
  <c r="D42" i="217"/>
  <c r="E42" i="217"/>
  <c r="D43" i="217"/>
  <c r="E43" i="217"/>
  <c r="D44" i="217"/>
  <c r="E44" i="217"/>
  <c r="D45" i="217"/>
  <c r="E45" i="217"/>
  <c r="D46" i="217"/>
  <c r="E46" i="217"/>
  <c r="D47" i="217"/>
  <c r="E47" i="217"/>
  <c r="D48" i="217"/>
  <c r="E48" i="217"/>
  <c r="D49" i="217"/>
  <c r="E49" i="217"/>
  <c r="D50" i="217"/>
  <c r="E50" i="217"/>
  <c r="E30" i="217"/>
  <c r="D30" i="217"/>
  <c r="E26" i="134"/>
  <c r="F26" i="134"/>
  <c r="G26" i="134"/>
  <c r="H26" i="134"/>
  <c r="I26" i="134"/>
  <c r="J26" i="134"/>
  <c r="K26" i="134"/>
  <c r="L26" i="134"/>
  <c r="E27" i="134"/>
  <c r="F27" i="134"/>
  <c r="G27" i="134"/>
  <c r="H27" i="134"/>
  <c r="I27" i="134"/>
  <c r="J27" i="134"/>
  <c r="K27" i="134"/>
  <c r="L27" i="134"/>
  <c r="E28" i="134"/>
  <c r="F28" i="134"/>
  <c r="G28" i="134"/>
  <c r="H28" i="134"/>
  <c r="I28" i="134"/>
  <c r="J28" i="134"/>
  <c r="K28" i="134"/>
  <c r="L28" i="134"/>
  <c r="E29" i="134"/>
  <c r="F29" i="134"/>
  <c r="G29" i="134"/>
  <c r="H29" i="134"/>
  <c r="I29" i="134"/>
  <c r="J29" i="134"/>
  <c r="K29" i="134"/>
  <c r="L29" i="134"/>
  <c r="E30" i="134"/>
  <c r="F30" i="134"/>
  <c r="G30" i="134"/>
  <c r="H30" i="134"/>
  <c r="I30" i="134"/>
  <c r="J30" i="134"/>
  <c r="K30" i="134"/>
  <c r="L30" i="134"/>
  <c r="E31" i="134"/>
  <c r="F31" i="134"/>
  <c r="G31" i="134"/>
  <c r="H31" i="134"/>
  <c r="I31" i="134"/>
  <c r="J31" i="134"/>
  <c r="K31" i="134"/>
  <c r="L31" i="134"/>
  <c r="E32" i="134"/>
  <c r="F32" i="134"/>
  <c r="G32" i="134"/>
  <c r="H32" i="134"/>
  <c r="I32" i="134"/>
  <c r="J32" i="134"/>
  <c r="K32" i="134"/>
  <c r="L32" i="134"/>
  <c r="E33" i="134"/>
  <c r="F33" i="134"/>
  <c r="G33" i="134"/>
  <c r="H33" i="134"/>
  <c r="I33" i="134"/>
  <c r="J33" i="134"/>
  <c r="K33" i="134"/>
  <c r="L33" i="134"/>
  <c r="E34" i="134"/>
  <c r="F34" i="134"/>
  <c r="G34" i="134"/>
  <c r="H34" i="134"/>
  <c r="I34" i="134"/>
  <c r="J34" i="134"/>
  <c r="K34" i="134"/>
  <c r="L34" i="134"/>
  <c r="E35" i="134"/>
  <c r="F35" i="134"/>
  <c r="G35" i="134"/>
  <c r="H35" i="134"/>
  <c r="I35" i="134"/>
  <c r="J35" i="134"/>
  <c r="K35" i="134"/>
  <c r="L35" i="134"/>
  <c r="E36" i="134"/>
  <c r="F36" i="134"/>
  <c r="G36" i="134"/>
  <c r="H36" i="134"/>
  <c r="I36" i="134"/>
  <c r="J36" i="134"/>
  <c r="K36" i="134"/>
  <c r="L36" i="134"/>
  <c r="E37" i="134"/>
  <c r="F37" i="134"/>
  <c r="G37" i="134"/>
  <c r="H37" i="134"/>
  <c r="I37" i="134"/>
  <c r="J37" i="134"/>
  <c r="K37" i="134"/>
  <c r="L37" i="134"/>
  <c r="E38" i="134"/>
  <c r="F38" i="134"/>
  <c r="G38" i="134"/>
  <c r="H38" i="134"/>
  <c r="I38" i="134"/>
  <c r="J38" i="134"/>
  <c r="K38" i="134"/>
  <c r="L38" i="134"/>
  <c r="E39" i="134"/>
  <c r="F39" i="134"/>
  <c r="G39" i="134"/>
  <c r="H39" i="134"/>
  <c r="I39" i="134"/>
  <c r="J39" i="134"/>
  <c r="K39" i="134"/>
  <c r="L39" i="134"/>
  <c r="E40" i="134"/>
  <c r="F40" i="134"/>
  <c r="G40" i="134"/>
  <c r="H40" i="134"/>
  <c r="I40" i="134"/>
  <c r="J40" i="134"/>
  <c r="K40" i="134"/>
  <c r="L40" i="134"/>
  <c r="F25" i="134"/>
  <c r="G25" i="134"/>
  <c r="H25" i="134"/>
  <c r="I25" i="134"/>
  <c r="J25" i="134"/>
  <c r="K25" i="134"/>
  <c r="L25" i="134"/>
  <c r="E25" i="134"/>
  <c r="C23" i="164" l="1"/>
  <c r="D23" i="164"/>
  <c r="E23" i="164"/>
  <c r="F23" i="164"/>
  <c r="G23" i="164"/>
  <c r="H23" i="164"/>
  <c r="I23" i="164"/>
  <c r="C24" i="164"/>
  <c r="D24" i="164"/>
  <c r="E24" i="164"/>
  <c r="F24" i="164"/>
  <c r="G24" i="164"/>
  <c r="H24" i="164"/>
  <c r="I24" i="164"/>
  <c r="C25" i="164"/>
  <c r="D25" i="164"/>
  <c r="E25" i="164"/>
  <c r="F25" i="164"/>
  <c r="G25" i="164"/>
  <c r="H25" i="164"/>
  <c r="I25" i="164"/>
  <c r="C26" i="164"/>
  <c r="D26" i="164"/>
  <c r="E26" i="164"/>
  <c r="F26" i="164"/>
  <c r="G26" i="164"/>
  <c r="H26" i="164"/>
  <c r="I26" i="164"/>
  <c r="C27" i="164"/>
  <c r="D27" i="164"/>
  <c r="E27" i="164"/>
  <c r="F27" i="164"/>
  <c r="G27" i="164"/>
  <c r="H27" i="164"/>
  <c r="I27" i="164"/>
  <c r="C28" i="164"/>
  <c r="D28" i="164"/>
  <c r="E28" i="164"/>
  <c r="G28" i="164"/>
  <c r="H28" i="164"/>
  <c r="I28" i="164"/>
  <c r="C29" i="164"/>
  <c r="D29" i="164"/>
  <c r="E29" i="164"/>
  <c r="H29" i="164"/>
  <c r="I29" i="164"/>
  <c r="I22" i="164"/>
  <c r="D22" i="164"/>
  <c r="E22" i="164"/>
  <c r="F22" i="164"/>
  <c r="G22" i="164"/>
  <c r="H22" i="164"/>
  <c r="C22" i="164"/>
  <c r="E33" i="166" l="1"/>
  <c r="F33" i="166"/>
  <c r="G33" i="166"/>
  <c r="H33" i="166"/>
  <c r="D33" i="166"/>
  <c r="E49" i="181"/>
  <c r="D49" i="181"/>
  <c r="E37" i="181"/>
  <c r="D37" i="181"/>
  <c r="C42" i="220" l="1"/>
  <c r="M21" i="16" l="1"/>
  <c r="M23" i="16"/>
  <c r="M24" i="16" s="1"/>
  <c r="M25" i="16" s="1"/>
  <c r="M26" i="16" s="1"/>
  <c r="S41" i="193" l="1"/>
  <c r="T41" i="193"/>
  <c r="S88" i="193"/>
  <c r="T88" i="193"/>
  <c r="E42" i="220" l="1"/>
  <c r="E57" i="220" l="1"/>
  <c r="C57" i="220"/>
  <c r="D57" i="220"/>
  <c r="B57" i="220"/>
  <c r="D42" i="220"/>
  <c r="B42" i="220"/>
  <c r="G39" i="203"/>
  <c r="G38" i="203"/>
  <c r="H38" i="203" s="1"/>
  <c r="H39" i="203" s="1"/>
  <c r="C39" i="203" l="1"/>
  <c r="D39" i="203"/>
  <c r="E39" i="203"/>
  <c r="F39" i="203"/>
  <c r="B39" i="203"/>
  <c r="X6" i="193" l="1"/>
  <c r="W6" i="193"/>
  <c r="V6" i="193"/>
  <c r="V7" i="193" s="1"/>
  <c r="V43" i="193"/>
  <c r="X42" i="193"/>
  <c r="W42" i="193"/>
  <c r="V42" i="193"/>
  <c r="L11" i="143" l="1"/>
  <c r="M11" i="143"/>
  <c r="K11" i="143"/>
  <c r="W11" i="143"/>
  <c r="X11" i="143"/>
  <c r="Y11" i="143"/>
  <c r="Z11" i="143"/>
  <c r="K8" i="143"/>
  <c r="L8" i="143"/>
  <c r="M8" i="143"/>
  <c r="N8" i="143"/>
  <c r="N11" i="143" s="1"/>
  <c r="O8" i="143"/>
  <c r="O11" i="143" s="1"/>
  <c r="P8" i="143"/>
  <c r="P11" i="143" s="1"/>
  <c r="Q8" i="143"/>
  <c r="Q11" i="143" s="1"/>
  <c r="R8" i="143"/>
  <c r="R11" i="143" s="1"/>
  <c r="S8" i="143"/>
  <c r="S11" i="143" s="1"/>
  <c r="T8" i="143"/>
  <c r="T11" i="143" s="1"/>
  <c r="U8" i="143"/>
  <c r="U11" i="143" s="1"/>
  <c r="V8" i="143"/>
  <c r="V11" i="143" s="1"/>
  <c r="X14" i="143" l="1"/>
  <c r="W14" i="143"/>
  <c r="O10" i="143" l="1"/>
  <c r="P10" i="143"/>
  <c r="Q10" i="143"/>
  <c r="R10" i="143"/>
  <c r="S10" i="143"/>
  <c r="T10" i="143"/>
  <c r="U10" i="143"/>
  <c r="V10" i="143"/>
  <c r="W10" i="143"/>
  <c r="X10" i="143"/>
  <c r="Y10" i="143"/>
  <c r="Z10" i="143"/>
  <c r="N10" i="143"/>
  <c r="O6" i="32" l="1"/>
  <c r="P6" i="32"/>
  <c r="Q6" i="32"/>
  <c r="R6" i="32"/>
  <c r="S6" i="32"/>
  <c r="T6" i="32"/>
  <c r="G20" i="16"/>
  <c r="H20" i="16"/>
  <c r="I20" i="16"/>
  <c r="J20" i="16"/>
  <c r="K20" i="16"/>
  <c r="L20" i="16"/>
  <c r="M20" i="16"/>
  <c r="X91" i="193"/>
  <c r="W91" i="193"/>
  <c r="S7" i="31" l="1"/>
  <c r="U6" i="32"/>
  <c r="X43" i="193"/>
  <c r="X7" i="193"/>
  <c r="W43" i="193"/>
  <c r="W7" i="193"/>
  <c r="F5" i="196"/>
  <c r="G5" i="196"/>
  <c r="G17" i="196" s="1"/>
  <c r="F17" i="196"/>
  <c r="E5" i="196"/>
  <c r="E17" i="196" s="1"/>
  <c r="I5" i="196"/>
  <c r="I17" i="196" s="1"/>
  <c r="H5" i="196"/>
  <c r="H17" i="196" s="1"/>
  <c r="D5" i="196"/>
  <c r="D17" i="196" s="1"/>
  <c r="O89" i="193" l="1"/>
  <c r="M49" i="165" l="1"/>
  <c r="N49" i="165"/>
  <c r="O49" i="165"/>
  <c r="P49" i="165"/>
  <c r="N19" i="165"/>
  <c r="O19" i="165"/>
  <c r="P19" i="165"/>
  <c r="Q19" i="165"/>
  <c r="R19" i="165"/>
  <c r="S19" i="165"/>
  <c r="M19" i="165"/>
  <c r="M11" i="16" l="1"/>
  <c r="O8" i="193" l="1"/>
  <c r="E7" i="123" l="1"/>
  <c r="V91" i="193"/>
  <c r="Q43" i="193"/>
  <c r="E10" i="123" l="1"/>
  <c r="W89" i="193" l="1"/>
  <c r="W90" i="193" s="1"/>
  <c r="X89" i="193"/>
  <c r="X90" i="193" s="1"/>
  <c r="V89" i="193"/>
  <c r="V90" i="193" s="1"/>
  <c r="E11" i="123" l="1"/>
  <c r="E18" i="123"/>
  <c r="F7" i="123"/>
  <c r="F10" i="123" s="1"/>
  <c r="G7" i="123"/>
  <c r="G10" i="123" s="1"/>
  <c r="F11" i="123"/>
  <c r="G11" i="123"/>
  <c r="F18" i="123"/>
  <c r="G18" i="123"/>
  <c r="E23" i="123" l="1"/>
  <c r="E6" i="123"/>
  <c r="G23" i="123"/>
  <c r="G6" i="123"/>
  <c r="F23" i="123"/>
  <c r="F6" i="123"/>
  <c r="P6" i="158"/>
  <c r="G12" i="164" l="1"/>
  <c r="I12" i="164"/>
  <c r="H12" i="164"/>
  <c r="D8" i="204" l="1"/>
  <c r="I7" i="204" s="1"/>
  <c r="D9" i="204"/>
  <c r="D10" i="204"/>
  <c r="D11" i="204"/>
  <c r="D12" i="204"/>
  <c r="D13" i="204"/>
  <c r="D14" i="204"/>
  <c r="D15" i="204"/>
  <c r="D16" i="204"/>
  <c r="D17" i="204"/>
  <c r="D18" i="204"/>
  <c r="D19" i="204"/>
  <c r="D20" i="204"/>
  <c r="D21" i="204"/>
  <c r="D22" i="204"/>
  <c r="D23" i="204"/>
  <c r="D24" i="204"/>
  <c r="D25" i="204"/>
  <c r="D26" i="204"/>
  <c r="D27" i="204"/>
  <c r="D28" i="204"/>
  <c r="D30" i="204"/>
  <c r="D31" i="204"/>
  <c r="D32" i="204"/>
  <c r="D33" i="204"/>
  <c r="D34" i="204"/>
  <c r="D35" i="204"/>
  <c r="D36" i="204"/>
  <c r="I9" i="204" s="1"/>
  <c r="D37" i="204"/>
  <c r="D38" i="204"/>
  <c r="D39" i="204"/>
  <c r="D40" i="204"/>
  <c r="D41" i="204"/>
  <c r="D42" i="204"/>
  <c r="I10" i="204" s="1"/>
  <c r="D43" i="204"/>
  <c r="D44" i="204"/>
  <c r="D45" i="204"/>
  <c r="I17" i="204" s="1"/>
  <c r="D46" i="204"/>
  <c r="D47" i="204"/>
  <c r="D48" i="204"/>
  <c r="I16" i="204" s="1"/>
  <c r="D49" i="204"/>
  <c r="D50" i="204"/>
  <c r="D51" i="204"/>
  <c r="D52" i="204"/>
  <c r="I12" i="204" s="1"/>
  <c r="D53" i="204"/>
  <c r="D54" i="204"/>
  <c r="D55" i="204"/>
  <c r="D56" i="204"/>
  <c r="D57" i="204"/>
  <c r="D58" i="204"/>
  <c r="D59" i="204"/>
  <c r="D60" i="204"/>
  <c r="D61" i="204"/>
  <c r="D62" i="204"/>
  <c r="I13" i="204" s="1"/>
  <c r="D63" i="204"/>
  <c r="D64" i="204"/>
  <c r="D65" i="204"/>
  <c r="D66" i="204"/>
  <c r="D67" i="204"/>
  <c r="D68" i="204"/>
  <c r="D69" i="204"/>
  <c r="D70" i="204"/>
  <c r="D71" i="204"/>
  <c r="D72" i="204"/>
  <c r="D73" i="204"/>
  <c r="D74" i="204"/>
  <c r="D75" i="204"/>
  <c r="D76" i="204"/>
  <c r="D77" i="204"/>
  <c r="I15" i="204" s="1"/>
  <c r="D78" i="204"/>
  <c r="I11" i="204" s="1"/>
  <c r="D79" i="204"/>
  <c r="D80" i="204"/>
  <c r="D81" i="204"/>
  <c r="D82" i="204"/>
  <c r="I19" i="204" s="1"/>
  <c r="D83" i="204"/>
  <c r="D84" i="204"/>
  <c r="D85" i="204"/>
  <c r="D86" i="204"/>
  <c r="I18" i="204" s="1"/>
  <c r="D87" i="204"/>
  <c r="D88" i="204"/>
  <c r="D91" i="204"/>
  <c r="I6" i="204" l="1"/>
  <c r="I14" i="204"/>
  <c r="C7" i="204" l="1"/>
  <c r="C8" i="204"/>
  <c r="H7" i="204" s="1"/>
  <c r="C9" i="204"/>
  <c r="E9" i="204" s="1"/>
  <c r="C10" i="204"/>
  <c r="E10" i="204" s="1"/>
  <c r="C11" i="204"/>
  <c r="E11" i="204" s="1"/>
  <c r="C12" i="204"/>
  <c r="E12" i="204" s="1"/>
  <c r="C13" i="204"/>
  <c r="E13" i="204" s="1"/>
  <c r="C14" i="204"/>
  <c r="E14" i="204" s="1"/>
  <c r="C15" i="204"/>
  <c r="E15" i="204" s="1"/>
  <c r="C16" i="204"/>
  <c r="E16" i="204" s="1"/>
  <c r="C17" i="204"/>
  <c r="E17" i="204" s="1"/>
  <c r="C18" i="204"/>
  <c r="E18" i="204" s="1"/>
  <c r="C19" i="204"/>
  <c r="E19" i="204" s="1"/>
  <c r="C20" i="204"/>
  <c r="E20" i="204" s="1"/>
  <c r="C21" i="204"/>
  <c r="E21" i="204" s="1"/>
  <c r="C22" i="204"/>
  <c r="E22" i="204" s="1"/>
  <c r="C23" i="204"/>
  <c r="H6" i="204" s="1"/>
  <c r="C24" i="204"/>
  <c r="E24" i="204" s="1"/>
  <c r="C25" i="204"/>
  <c r="E25" i="204" s="1"/>
  <c r="C26" i="204"/>
  <c r="E26" i="204" s="1"/>
  <c r="C27" i="204"/>
  <c r="C28" i="204"/>
  <c r="E28" i="204" s="1"/>
  <c r="C29" i="204"/>
  <c r="H8" i="204" s="1"/>
  <c r="C30" i="204"/>
  <c r="E30" i="204" s="1"/>
  <c r="C31" i="204"/>
  <c r="E31" i="204" s="1"/>
  <c r="C32" i="204"/>
  <c r="E32" i="204" s="1"/>
  <c r="C33" i="204"/>
  <c r="E33" i="204" s="1"/>
  <c r="C34" i="204"/>
  <c r="E34" i="204" s="1"/>
  <c r="C35" i="204"/>
  <c r="E35" i="204" s="1"/>
  <c r="C36" i="204"/>
  <c r="C37" i="204"/>
  <c r="E37" i="204" s="1"/>
  <c r="C38" i="204"/>
  <c r="E38" i="204" s="1"/>
  <c r="C39" i="204"/>
  <c r="E39" i="204" s="1"/>
  <c r="C40" i="204"/>
  <c r="E40" i="204" s="1"/>
  <c r="C41" i="204"/>
  <c r="E41" i="204" s="1"/>
  <c r="C42" i="204"/>
  <c r="C43" i="204"/>
  <c r="E43" i="204" s="1"/>
  <c r="C44" i="204"/>
  <c r="E44" i="204" s="1"/>
  <c r="C45" i="204"/>
  <c r="C46" i="204"/>
  <c r="E46" i="204" s="1"/>
  <c r="C47" i="204"/>
  <c r="E47" i="204" s="1"/>
  <c r="C48" i="204"/>
  <c r="C49" i="204"/>
  <c r="E49" i="204" s="1"/>
  <c r="C50" i="204"/>
  <c r="E50" i="204" s="1"/>
  <c r="C51" i="204"/>
  <c r="E51" i="204" s="1"/>
  <c r="C52" i="204"/>
  <c r="C53" i="204"/>
  <c r="E53" i="204" s="1"/>
  <c r="C54" i="204"/>
  <c r="E54" i="204" s="1"/>
  <c r="C55" i="204"/>
  <c r="E55" i="204" s="1"/>
  <c r="C56" i="204"/>
  <c r="E56" i="204" s="1"/>
  <c r="C57" i="204"/>
  <c r="E57" i="204" s="1"/>
  <c r="C58" i="204"/>
  <c r="E58" i="204" s="1"/>
  <c r="C59" i="204"/>
  <c r="C60" i="204"/>
  <c r="E60" i="204" s="1"/>
  <c r="C61" i="204"/>
  <c r="E61" i="204" s="1"/>
  <c r="C62" i="204"/>
  <c r="C63" i="204"/>
  <c r="E63" i="204" s="1"/>
  <c r="C64" i="204"/>
  <c r="E64" i="204" s="1"/>
  <c r="C65" i="204"/>
  <c r="E65" i="204" s="1"/>
  <c r="C66" i="204"/>
  <c r="E66" i="204" s="1"/>
  <c r="C67" i="204"/>
  <c r="E67" i="204" s="1"/>
  <c r="C68" i="204"/>
  <c r="E68" i="204" s="1"/>
  <c r="C69" i="204"/>
  <c r="E69" i="204" s="1"/>
  <c r="C70" i="204"/>
  <c r="E70" i="204" s="1"/>
  <c r="C71" i="204"/>
  <c r="E71" i="204" s="1"/>
  <c r="C72" i="204"/>
  <c r="E72" i="204" s="1"/>
  <c r="C73" i="204"/>
  <c r="E73" i="204" s="1"/>
  <c r="C74" i="204"/>
  <c r="E74" i="204" s="1"/>
  <c r="C75" i="204"/>
  <c r="E75" i="204" s="1"/>
  <c r="C76" i="204"/>
  <c r="E76" i="204" s="1"/>
  <c r="C77" i="204"/>
  <c r="C78" i="204"/>
  <c r="C79" i="204"/>
  <c r="E79" i="204" s="1"/>
  <c r="C80" i="204"/>
  <c r="E80" i="204" s="1"/>
  <c r="C81" i="204"/>
  <c r="E81" i="204" s="1"/>
  <c r="C82" i="204"/>
  <c r="C83" i="204"/>
  <c r="E83" i="204" s="1"/>
  <c r="C84" i="204"/>
  <c r="E84" i="204" s="1"/>
  <c r="C85" i="204"/>
  <c r="E85" i="204" s="1"/>
  <c r="C86" i="204"/>
  <c r="C87" i="204"/>
  <c r="E87" i="204" s="1"/>
  <c r="C88" i="204"/>
  <c r="E88" i="204" s="1"/>
  <c r="C89" i="204"/>
  <c r="C90" i="204"/>
  <c r="C91" i="204"/>
  <c r="E91" i="204" s="1"/>
  <c r="C6" i="204"/>
  <c r="H5" i="204" s="1"/>
  <c r="E42" i="204" l="1"/>
  <c r="J10" i="204" s="1"/>
  <c r="H10" i="204"/>
  <c r="E86" i="204"/>
  <c r="J18" i="204" s="1"/>
  <c r="H18" i="204"/>
  <c r="E82" i="204"/>
  <c r="J19" i="204" s="1"/>
  <c r="H19" i="204"/>
  <c r="E78" i="204"/>
  <c r="J11" i="204" s="1"/>
  <c r="H11" i="204"/>
  <c r="E62" i="204"/>
  <c r="J13" i="204" s="1"/>
  <c r="H13" i="204"/>
  <c r="E77" i="204"/>
  <c r="J15" i="204" s="1"/>
  <c r="H15" i="204"/>
  <c r="E45" i="204"/>
  <c r="J17" i="204" s="1"/>
  <c r="H17" i="204"/>
  <c r="E52" i="204"/>
  <c r="J12" i="204" s="1"/>
  <c r="H12" i="204"/>
  <c r="E48" i="204"/>
  <c r="J16" i="204" s="1"/>
  <c r="H16" i="204"/>
  <c r="E36" i="204"/>
  <c r="J9" i="204" s="1"/>
  <c r="H9" i="204"/>
  <c r="E59" i="204"/>
  <c r="J14" i="204" s="1"/>
  <c r="H14" i="204"/>
  <c r="E23" i="204"/>
  <c r="J6" i="204" s="1"/>
  <c r="E8" i="204"/>
  <c r="J7" i="204" s="1"/>
  <c r="N7" i="31"/>
  <c r="M7" i="31"/>
  <c r="O7" i="31"/>
  <c r="Q8" i="155" l="1"/>
  <c r="R8" i="155"/>
  <c r="S8" i="155"/>
  <c r="P8" i="155"/>
  <c r="M8" i="155"/>
  <c r="N8" i="155"/>
  <c r="O8" i="155"/>
  <c r="H8" i="193"/>
  <c r="I8" i="193"/>
  <c r="J8" i="193"/>
  <c r="K8" i="193"/>
  <c r="L8" i="193"/>
  <c r="M8" i="193"/>
  <c r="N8" i="193"/>
  <c r="P8" i="193"/>
  <c r="Q8" i="193"/>
  <c r="R8" i="193"/>
  <c r="S8" i="193"/>
  <c r="T8" i="193"/>
  <c r="G8" i="193"/>
  <c r="N40" i="193"/>
  <c r="N36" i="193" s="1"/>
  <c r="M40" i="193"/>
  <c r="L40" i="193"/>
  <c r="L36" i="193" s="1"/>
  <c r="K40" i="193"/>
  <c r="K36" i="193" s="1"/>
  <c r="O39" i="193"/>
  <c r="N39" i="193"/>
  <c r="M39" i="193"/>
  <c r="L39" i="193"/>
  <c r="K39" i="193"/>
  <c r="M37" i="193"/>
  <c r="L37" i="193"/>
  <c r="K37" i="193"/>
  <c r="O36" i="193"/>
  <c r="M36" i="193"/>
  <c r="O35" i="193"/>
  <c r="N35" i="193"/>
  <c r="M35" i="193"/>
  <c r="L35" i="193"/>
  <c r="K35" i="193"/>
  <c r="O34" i="193"/>
  <c r="N34" i="193"/>
  <c r="M34" i="193"/>
  <c r="L34" i="193"/>
  <c r="K34" i="193"/>
  <c r="O33" i="193"/>
  <c r="N33" i="193"/>
  <c r="M33" i="193"/>
  <c r="L33" i="193"/>
  <c r="K33" i="193"/>
  <c r="O32" i="193"/>
  <c r="O30" i="193" s="1"/>
  <c r="O29" i="193" s="1"/>
  <c r="N32" i="193"/>
  <c r="M32" i="193"/>
  <c r="L32" i="193"/>
  <c r="K32" i="193"/>
  <c r="K30" i="193" s="1"/>
  <c r="K29" i="193" s="1"/>
  <c r="O31" i="193"/>
  <c r="N31" i="193"/>
  <c r="M31" i="193"/>
  <c r="L31" i="193"/>
  <c r="L30" i="193" s="1"/>
  <c r="L29" i="193" s="1"/>
  <c r="K31" i="193"/>
  <c r="N30" i="193"/>
  <c r="N29" i="193" s="1"/>
  <c r="M30" i="193"/>
  <c r="M29" i="193" s="1"/>
  <c r="O27" i="193"/>
  <c r="O24" i="193" s="1"/>
  <c r="N27" i="193"/>
  <c r="M27" i="193"/>
  <c r="L27" i="193"/>
  <c r="K27" i="193"/>
  <c r="K24" i="193" s="1"/>
  <c r="O25" i="193"/>
  <c r="N25" i="193"/>
  <c r="M25" i="193"/>
  <c r="L25" i="193"/>
  <c r="L24" i="193" s="1"/>
  <c r="K25" i="193"/>
  <c r="N24" i="193"/>
  <c r="M24" i="193"/>
  <c r="L21" i="193"/>
  <c r="K20" i="193"/>
  <c r="L19" i="193"/>
  <c r="N18" i="193"/>
  <c r="M18" i="193"/>
  <c r="L18" i="193"/>
  <c r="O17" i="193"/>
  <c r="O16" i="193"/>
  <c r="M16" i="193"/>
  <c r="L16" i="193"/>
  <c r="N15" i="193"/>
  <c r="M15" i="193"/>
  <c r="L15" i="193"/>
  <c r="O14" i="193"/>
  <c r="N14" i="193"/>
  <c r="M14" i="193"/>
  <c r="L14" i="193"/>
  <c r="K14" i="193"/>
  <c r="L13" i="193"/>
  <c r="N12" i="193"/>
  <c r="O11" i="193"/>
  <c r="N11" i="193"/>
  <c r="M11" i="193"/>
  <c r="L11" i="193"/>
  <c r="K11" i="193"/>
  <c r="O10" i="193"/>
  <c r="N10" i="193"/>
  <c r="M10" i="193"/>
  <c r="L10" i="193"/>
  <c r="O9" i="193"/>
  <c r="N9" i="193"/>
  <c r="M9" i="193"/>
  <c r="L9" i="193"/>
  <c r="K9" i="193"/>
  <c r="N87" i="193"/>
  <c r="N86" i="193" s="1"/>
  <c r="H87" i="193"/>
  <c r="O86" i="193"/>
  <c r="O81" i="193" s="1"/>
  <c r="M86" i="193"/>
  <c r="L86" i="193"/>
  <c r="K86" i="193"/>
  <c r="J86" i="193"/>
  <c r="I86" i="193"/>
  <c r="H86" i="193"/>
  <c r="G86" i="193"/>
  <c r="F86" i="193"/>
  <c r="E86" i="193"/>
  <c r="N85" i="193"/>
  <c r="M85" i="193"/>
  <c r="L85" i="193"/>
  <c r="K85" i="193"/>
  <c r="J85" i="193"/>
  <c r="H85" i="193"/>
  <c r="E85" i="193"/>
  <c r="N84" i="193"/>
  <c r="L84" i="193"/>
  <c r="K84" i="193"/>
  <c r="J84" i="193"/>
  <c r="G84" i="193"/>
  <c r="O83" i="193"/>
  <c r="N83" i="193"/>
  <c r="N82" i="193" s="1"/>
  <c r="M83" i="193"/>
  <c r="L83" i="193"/>
  <c r="L82" i="193" s="1"/>
  <c r="K83" i="193"/>
  <c r="J83" i="193"/>
  <c r="J82" i="193" s="1"/>
  <c r="I83" i="193"/>
  <c r="H83" i="193"/>
  <c r="H82" i="193" s="1"/>
  <c r="G83" i="193"/>
  <c r="F83" i="193"/>
  <c r="F82" i="193" s="1"/>
  <c r="E83" i="193"/>
  <c r="O82" i="193"/>
  <c r="M82" i="193"/>
  <c r="K82" i="193"/>
  <c r="K81" i="193" s="1"/>
  <c r="I82" i="193"/>
  <c r="G82" i="193"/>
  <c r="E82" i="193"/>
  <c r="O80" i="193"/>
  <c r="L80" i="193"/>
  <c r="O79" i="193"/>
  <c r="N79" i="193"/>
  <c r="M79" i="193"/>
  <c r="L79" i="193"/>
  <c r="K79" i="193"/>
  <c r="J79" i="193"/>
  <c r="I79" i="193"/>
  <c r="O78" i="193"/>
  <c r="N78" i="193"/>
  <c r="M78" i="193"/>
  <c r="L78" i="193"/>
  <c r="K78" i="193"/>
  <c r="J78" i="193"/>
  <c r="I78" i="193"/>
  <c r="H78" i="193"/>
  <c r="G78" i="193"/>
  <c r="F78" i="193"/>
  <c r="E78" i="193"/>
  <c r="O77" i="193"/>
  <c r="O74" i="193"/>
  <c r="L74" i="193"/>
  <c r="J74" i="193"/>
  <c r="I74" i="193"/>
  <c r="H74" i="193"/>
  <c r="G74" i="193"/>
  <c r="F74" i="193"/>
  <c r="E74" i="193"/>
  <c r="O73" i="193"/>
  <c r="O71" i="193"/>
  <c r="O67" i="193" s="1"/>
  <c r="N67" i="193"/>
  <c r="M67" i="193"/>
  <c r="L67" i="193"/>
  <c r="K67" i="193"/>
  <c r="J67" i="193"/>
  <c r="I67" i="193"/>
  <c r="H67" i="193"/>
  <c r="G67" i="193"/>
  <c r="F67" i="193"/>
  <c r="E67" i="193"/>
  <c r="O65" i="193"/>
  <c r="N65" i="193"/>
  <c r="M65" i="193"/>
  <c r="L65" i="193"/>
  <c r="K65" i="193"/>
  <c r="J65" i="193"/>
  <c r="O64" i="193"/>
  <c r="N64" i="193"/>
  <c r="M64" i="193"/>
  <c r="L64" i="193"/>
  <c r="K64" i="193"/>
  <c r="J64" i="193"/>
  <c r="N62" i="193"/>
  <c r="M62" i="193"/>
  <c r="L62" i="193"/>
  <c r="K62" i="193"/>
  <c r="J62" i="193"/>
  <c r="I62" i="193"/>
  <c r="H62" i="193"/>
  <c r="G62" i="193"/>
  <c r="F62" i="193"/>
  <c r="E62" i="193"/>
  <c r="O61" i="193"/>
  <c r="N61" i="193"/>
  <c r="M61" i="193"/>
  <c r="L61" i="193"/>
  <c r="K61" i="193"/>
  <c r="J61" i="193"/>
  <c r="I61" i="193"/>
  <c r="H61" i="193"/>
  <c r="G61" i="193"/>
  <c r="F61" i="193"/>
  <c r="E61" i="193"/>
  <c r="K60" i="193"/>
  <c r="O59" i="193"/>
  <c r="N59" i="193"/>
  <c r="M59" i="193"/>
  <c r="L59" i="193"/>
  <c r="K59" i="193"/>
  <c r="J59" i="193"/>
  <c r="I59" i="193"/>
  <c r="H59" i="193"/>
  <c r="G59" i="193"/>
  <c r="F59" i="193"/>
  <c r="E59" i="193"/>
  <c r="O58" i="193"/>
  <c r="N58" i="193"/>
  <c r="M58" i="193"/>
  <c r="L58" i="193"/>
  <c r="K58" i="193"/>
  <c r="J58" i="193"/>
  <c r="I58" i="193"/>
  <c r="H58" i="193"/>
  <c r="G58" i="193"/>
  <c r="F58" i="193"/>
  <c r="E58" i="193"/>
  <c r="O56" i="193"/>
  <c r="N56" i="193"/>
  <c r="M56" i="193"/>
  <c r="L56" i="193"/>
  <c r="K56" i="193"/>
  <c r="J56" i="193"/>
  <c r="I56" i="193"/>
  <c r="H56" i="193"/>
  <c r="G56" i="193"/>
  <c r="F56" i="193"/>
  <c r="E56" i="193"/>
  <c r="O55" i="193"/>
  <c r="M55" i="193"/>
  <c r="L55" i="193"/>
  <c r="K55" i="193"/>
  <c r="J55" i="193"/>
  <c r="I55" i="193"/>
  <c r="H55" i="193"/>
  <c r="G55" i="193"/>
  <c r="F55" i="193"/>
  <c r="E55" i="193"/>
  <c r="O54" i="193"/>
  <c r="O57" i="193" s="1"/>
  <c r="N54" i="193"/>
  <c r="M54" i="193"/>
  <c r="M57" i="193" s="1"/>
  <c r="L54" i="193"/>
  <c r="K54" i="193"/>
  <c r="J54" i="193"/>
  <c r="I54" i="193"/>
  <c r="H54" i="193"/>
  <c r="G54" i="193"/>
  <c r="F54" i="193"/>
  <c r="E54" i="193"/>
  <c r="O53" i="193"/>
  <c r="K53" i="193"/>
  <c r="K57" i="193" s="1"/>
  <c r="J53" i="193"/>
  <c r="I53" i="193"/>
  <c r="I57" i="193" s="1"/>
  <c r="H53" i="193"/>
  <c r="G53" i="193"/>
  <c r="G57" i="193" s="1"/>
  <c r="F53" i="193"/>
  <c r="E53" i="193"/>
  <c r="E57" i="193" s="1"/>
  <c r="O52" i="193"/>
  <c r="N52" i="193"/>
  <c r="N57" i="193" s="1"/>
  <c r="M52" i="193"/>
  <c r="L52" i="193"/>
  <c r="L57" i="193" s="1"/>
  <c r="K52" i="193"/>
  <c r="J52" i="193"/>
  <c r="J57" i="193" s="1"/>
  <c r="I52" i="193"/>
  <c r="H52" i="193"/>
  <c r="H57" i="193" s="1"/>
  <c r="G52" i="193"/>
  <c r="F52" i="193"/>
  <c r="F57" i="193" s="1"/>
  <c r="O51" i="193"/>
  <c r="N51" i="193"/>
  <c r="M51" i="193"/>
  <c r="L51" i="193"/>
  <c r="K51" i="193"/>
  <c r="J51" i="193"/>
  <c r="I51" i="193"/>
  <c r="H51" i="193"/>
  <c r="G51" i="193"/>
  <c r="F51" i="193"/>
  <c r="E51" i="193"/>
  <c r="O50" i="193"/>
  <c r="O49" i="193" s="1"/>
  <c r="O44" i="193" s="1"/>
  <c r="N50" i="193"/>
  <c r="M50" i="193"/>
  <c r="M49" i="193" s="1"/>
  <c r="M44" i="193" s="1"/>
  <c r="L50" i="193"/>
  <c r="K50" i="193"/>
  <c r="K49" i="193" s="1"/>
  <c r="K44" i="193" s="1"/>
  <c r="J50" i="193"/>
  <c r="I50" i="193"/>
  <c r="I49" i="193" s="1"/>
  <c r="I44" i="193" s="1"/>
  <c r="H50" i="193"/>
  <c r="G50" i="193"/>
  <c r="G49" i="193" s="1"/>
  <c r="G44" i="193" s="1"/>
  <c r="F50" i="193"/>
  <c r="E50" i="193"/>
  <c r="E49" i="193" s="1"/>
  <c r="E44" i="193" s="1"/>
  <c r="N49" i="193"/>
  <c r="L49" i="193"/>
  <c r="J49" i="193"/>
  <c r="H49" i="193"/>
  <c r="F49" i="193"/>
  <c r="O48" i="193"/>
  <c r="N48" i="193"/>
  <c r="M48" i="193"/>
  <c r="L48" i="193"/>
  <c r="K48" i="193"/>
  <c r="J48" i="193"/>
  <c r="I48" i="193"/>
  <c r="H48" i="193"/>
  <c r="G48" i="193"/>
  <c r="F48" i="193"/>
  <c r="E48" i="193"/>
  <c r="N47" i="193"/>
  <c r="N46" i="193"/>
  <c r="M46" i="193"/>
  <c r="L46" i="193"/>
  <c r="O45" i="193"/>
  <c r="N45" i="193"/>
  <c r="N44" i="193" s="1"/>
  <c r="M45" i="193"/>
  <c r="L45" i="193"/>
  <c r="K45" i="193"/>
  <c r="J45" i="193"/>
  <c r="J44" i="193" s="1"/>
  <c r="I45" i="193"/>
  <c r="H45" i="193"/>
  <c r="H44" i="193" s="1"/>
  <c r="G45" i="193"/>
  <c r="F45" i="193"/>
  <c r="F44" i="193" s="1"/>
  <c r="E45" i="193"/>
  <c r="J40" i="193"/>
  <c r="I40" i="193"/>
  <c r="H40" i="193"/>
  <c r="G40" i="193"/>
  <c r="F40" i="193"/>
  <c r="E40" i="193"/>
  <c r="J39" i="193"/>
  <c r="I39" i="193"/>
  <c r="H39" i="193"/>
  <c r="G39" i="193"/>
  <c r="F39" i="193"/>
  <c r="E39" i="193"/>
  <c r="J37" i="193"/>
  <c r="I37" i="193"/>
  <c r="H37" i="193"/>
  <c r="G37" i="193"/>
  <c r="F37" i="193"/>
  <c r="E37" i="193"/>
  <c r="J35" i="193"/>
  <c r="I35" i="193"/>
  <c r="H35" i="193"/>
  <c r="G35" i="193"/>
  <c r="F35" i="193"/>
  <c r="E35" i="193"/>
  <c r="J33" i="193"/>
  <c r="I33" i="193"/>
  <c r="H33" i="193"/>
  <c r="G33" i="193"/>
  <c r="F33" i="193"/>
  <c r="E33" i="193"/>
  <c r="J32" i="193"/>
  <c r="I32" i="193"/>
  <c r="H32" i="193"/>
  <c r="G32" i="193"/>
  <c r="F32" i="193"/>
  <c r="E32" i="193"/>
  <c r="J31" i="193"/>
  <c r="I31" i="193"/>
  <c r="H31" i="193"/>
  <c r="G31" i="193"/>
  <c r="F31" i="193"/>
  <c r="E31" i="193"/>
  <c r="J27" i="193"/>
  <c r="I27" i="193"/>
  <c r="H27" i="193"/>
  <c r="G27" i="193"/>
  <c r="G24" i="193" s="1"/>
  <c r="F27" i="193"/>
  <c r="E27" i="193"/>
  <c r="J26" i="193"/>
  <c r="J25" i="193"/>
  <c r="I25" i="193"/>
  <c r="I24" i="193" s="1"/>
  <c r="H25" i="193"/>
  <c r="H24" i="193" s="1"/>
  <c r="G25" i="193"/>
  <c r="F25" i="193"/>
  <c r="E25" i="193"/>
  <c r="E24" i="193" s="1"/>
  <c r="E16" i="193"/>
  <c r="J14" i="193"/>
  <c r="I14" i="193"/>
  <c r="H14" i="193"/>
  <c r="G14" i="193"/>
  <c r="F14" i="193"/>
  <c r="E14" i="193"/>
  <c r="J11" i="193"/>
  <c r="I11" i="193"/>
  <c r="H11" i="193"/>
  <c r="G11" i="193"/>
  <c r="F11" i="193"/>
  <c r="E11" i="193"/>
  <c r="J9" i="193"/>
  <c r="I9" i="193"/>
  <c r="H9" i="193"/>
  <c r="G9" i="193"/>
  <c r="F9" i="193"/>
  <c r="E9" i="193"/>
  <c r="P86" i="193"/>
  <c r="P81" i="193" s="1"/>
  <c r="Q86" i="193"/>
  <c r="Q81" i="193" s="1"/>
  <c r="Q73" i="193"/>
  <c r="P73" i="193"/>
  <c r="Q49" i="193"/>
  <c r="Q44" i="193" s="1"/>
  <c r="P49" i="193"/>
  <c r="P44" i="193" s="1"/>
  <c r="P36" i="193"/>
  <c r="Q36" i="193"/>
  <c r="R36" i="193"/>
  <c r="S36" i="193"/>
  <c r="T36" i="193"/>
  <c r="P29" i="193"/>
  <c r="Q29" i="193"/>
  <c r="D29" i="204" s="1"/>
  <c r="R29" i="193"/>
  <c r="S29" i="193"/>
  <c r="T29" i="193"/>
  <c r="P23" i="193"/>
  <c r="Q23" i="193"/>
  <c r="R23" i="193"/>
  <c r="S23" i="193"/>
  <c r="T23" i="193"/>
  <c r="I8" i="204" l="1"/>
  <c r="E29" i="204"/>
  <c r="J8" i="204" s="1"/>
  <c r="I81" i="193"/>
  <c r="E81" i="193"/>
  <c r="M81" i="193"/>
  <c r="F81" i="193"/>
  <c r="J81" i="193"/>
  <c r="S42" i="193"/>
  <c r="S43" i="193" s="1"/>
  <c r="T42" i="193"/>
  <c r="G81" i="193"/>
  <c r="H81" i="193"/>
  <c r="L81" i="193"/>
  <c r="L44" i="193"/>
  <c r="P6" i="193"/>
  <c r="P7" i="193" s="1"/>
  <c r="N81" i="193"/>
  <c r="N42" i="193" s="1"/>
  <c r="N43" i="193" s="1"/>
  <c r="F24" i="193"/>
  <c r="J24" i="193"/>
  <c r="P42" i="193"/>
  <c r="P43" i="193" s="1"/>
  <c r="Q42" i="193"/>
  <c r="M42" i="193"/>
  <c r="M43" i="193" s="1"/>
  <c r="R42" i="193"/>
  <c r="T43" i="193" l="1"/>
  <c r="R43" i="193"/>
  <c r="L42" i="193"/>
  <c r="L43" i="193" s="1"/>
  <c r="P89" i="193"/>
  <c r="P90" i="193" s="1"/>
  <c r="O43" i="193"/>
  <c r="Q6" i="193" l="1"/>
  <c r="Q7" i="193" l="1"/>
  <c r="Q89" i="193"/>
  <c r="D89" i="204" s="1"/>
  <c r="D6" i="204"/>
  <c r="Q90" i="193"/>
  <c r="D90" i="204" s="1"/>
  <c r="D7" i="204" l="1"/>
  <c r="E90" i="204"/>
  <c r="I5" i="204"/>
  <c r="E6" i="204"/>
  <c r="J5" i="204" s="1"/>
  <c r="E89" i="204"/>
  <c r="T6" i="193"/>
  <c r="E7" i="204" l="1"/>
  <c r="T7" i="193"/>
  <c r="T89" i="193" l="1"/>
  <c r="T90" i="193" s="1"/>
  <c r="U6" i="158" l="1"/>
  <c r="U16" i="158"/>
  <c r="U28" i="158" s="1"/>
  <c r="U11" i="158" s="1"/>
  <c r="U17" i="158"/>
  <c r="U29" i="158" s="1"/>
  <c r="U10" i="158" s="1"/>
  <c r="C5" i="196" l="1"/>
  <c r="C17" i="196" s="1"/>
  <c r="Y11" i="195"/>
  <c r="Z11" i="195"/>
  <c r="AA11" i="195" s="1"/>
  <c r="AB11" i="195" s="1"/>
  <c r="AC11" i="195" s="1"/>
  <c r="AD11" i="195" s="1"/>
  <c r="AE11" i="195" s="1"/>
  <c r="AF11" i="195" s="1"/>
  <c r="AG11" i="195" s="1"/>
  <c r="AH11" i="195" s="1"/>
  <c r="Y12" i="195"/>
  <c r="Z12" i="195" s="1"/>
  <c r="AA12" i="195" s="1"/>
  <c r="AB12" i="195" s="1"/>
  <c r="AC12" i="195" s="1"/>
  <c r="AD12" i="195" s="1"/>
  <c r="AE12" i="195" s="1"/>
  <c r="AF12" i="195" s="1"/>
  <c r="AG12" i="195" s="1"/>
  <c r="AH12" i="195" s="1"/>
  <c r="Y10" i="195"/>
  <c r="Z10" i="195" s="1"/>
  <c r="AA10" i="195" s="1"/>
  <c r="AB10" i="195" s="1"/>
  <c r="AC10" i="195" s="1"/>
  <c r="AD10" i="195" s="1"/>
  <c r="AE10" i="195" s="1"/>
  <c r="AF10" i="195" s="1"/>
  <c r="AG10" i="195" s="1"/>
  <c r="AH10" i="195" s="1"/>
  <c r="AD9" i="195"/>
  <c r="AE9" i="195" s="1"/>
  <c r="AF9" i="195" s="1"/>
  <c r="AG9" i="195" s="1"/>
  <c r="AH9" i="195" s="1"/>
  <c r="H21" i="16"/>
  <c r="I21" i="16"/>
  <c r="G21" i="16"/>
  <c r="L11" i="16"/>
  <c r="H10" i="102" s="1"/>
  <c r="R17" i="158"/>
  <c r="R29" i="158" s="1"/>
  <c r="R10" i="158" s="1"/>
  <c r="T17" i="158"/>
  <c r="T29" i="158" s="1"/>
  <c r="T10" i="158" s="1"/>
  <c r="T16" i="158"/>
  <c r="T28" i="158" s="1"/>
  <c r="T11" i="158" s="1"/>
  <c r="T6" i="158"/>
  <c r="J36" i="193"/>
  <c r="I36" i="193"/>
  <c r="H36" i="193"/>
  <c r="F36" i="193"/>
  <c r="E36" i="193"/>
  <c r="G36" i="193"/>
  <c r="J30" i="193"/>
  <c r="J29" i="193" s="1"/>
  <c r="I30" i="193"/>
  <c r="I29" i="193"/>
  <c r="H30" i="193"/>
  <c r="H29" i="193" s="1"/>
  <c r="G30" i="193"/>
  <c r="G29" i="193"/>
  <c r="F30" i="193"/>
  <c r="F29" i="193" s="1"/>
  <c r="E30" i="193"/>
  <c r="E29" i="193" s="1"/>
  <c r="G23" i="193"/>
  <c r="F23" i="193"/>
  <c r="N6" i="193"/>
  <c r="F8" i="193"/>
  <c r="E8" i="193"/>
  <c r="R6" i="193"/>
  <c r="R89" i="193" s="1"/>
  <c r="E23" i="193"/>
  <c r="I23" i="193"/>
  <c r="J23" i="193"/>
  <c r="P16" i="158"/>
  <c r="P28" i="158" s="1"/>
  <c r="P11" i="158" s="1"/>
  <c r="Q16" i="158"/>
  <c r="Q28" i="158" s="1"/>
  <c r="Q11" i="158" s="1"/>
  <c r="R16" i="158"/>
  <c r="R28" i="158" s="1"/>
  <c r="R11" i="158" s="1"/>
  <c r="S16" i="158"/>
  <c r="S28" i="158" s="1"/>
  <c r="S11" i="158" s="1"/>
  <c r="P17" i="158"/>
  <c r="Q17" i="158"/>
  <c r="Q29" i="158" s="1"/>
  <c r="Q10" i="158" s="1"/>
  <c r="S17" i="158"/>
  <c r="S29" i="158" s="1"/>
  <c r="S10" i="158" s="1"/>
  <c r="H11" i="16"/>
  <c r="D10" i="102" s="1"/>
  <c r="I11" i="16"/>
  <c r="E10" i="102" s="1"/>
  <c r="J11" i="16"/>
  <c r="F10" i="102" s="1"/>
  <c r="K11" i="16"/>
  <c r="G10" i="102" s="1"/>
  <c r="M26" i="151"/>
  <c r="L26" i="151"/>
  <c r="L16" i="151"/>
  <c r="M16" i="151"/>
  <c r="H23" i="16"/>
  <c r="I23" i="16"/>
  <c r="I24" i="16"/>
  <c r="I25" i="16"/>
  <c r="I26" i="16"/>
  <c r="H24" i="16"/>
  <c r="H25" i="16"/>
  <c r="H26" i="16"/>
  <c r="J23" i="16"/>
  <c r="J24" i="16"/>
  <c r="J25" i="16"/>
  <c r="J26" i="16"/>
  <c r="K23" i="16"/>
  <c r="K24" i="16"/>
  <c r="K25" i="16"/>
  <c r="K26" i="16"/>
  <c r="L23" i="16"/>
  <c r="L24" i="16"/>
  <c r="L25" i="16"/>
  <c r="L26" i="16"/>
  <c r="Q6" i="158"/>
  <c r="R6" i="158"/>
  <c r="S6" i="158"/>
  <c r="G10" i="16"/>
  <c r="G11" i="16"/>
  <c r="M7" i="155"/>
  <c r="G12" i="16"/>
  <c r="N7" i="193" l="1"/>
  <c r="N89" i="193"/>
  <c r="N90" i="193" s="1"/>
  <c r="O7" i="193"/>
  <c r="G6" i="193"/>
  <c r="G7" i="193" s="1"/>
  <c r="M6" i="193"/>
  <c r="M7" i="193" s="1"/>
  <c r="F6" i="193"/>
  <c r="F7" i="193" s="1"/>
  <c r="E6" i="193"/>
  <c r="E7" i="193" s="1"/>
  <c r="H23" i="193"/>
  <c r="H6" i="193" s="1"/>
  <c r="H7" i="193" s="1"/>
  <c r="L6" i="193"/>
  <c r="L7" i="193" s="1"/>
  <c r="I42" i="193"/>
  <c r="I43" i="193" s="1"/>
  <c r="G42" i="193"/>
  <c r="G43" i="193" s="1"/>
  <c r="J6" i="193"/>
  <c r="J7" i="193" s="1"/>
  <c r="K6" i="193"/>
  <c r="K7" i="193" s="1"/>
  <c r="J42" i="193"/>
  <c r="E42" i="193"/>
  <c r="E43" i="193" s="1"/>
  <c r="I6" i="193"/>
  <c r="I7" i="193" s="1"/>
  <c r="R7" i="193"/>
  <c r="K42" i="193"/>
  <c r="K43" i="193" s="1"/>
  <c r="F42" i="193"/>
  <c r="H42" i="193"/>
  <c r="M9" i="155"/>
  <c r="R90" i="193"/>
  <c r="P29" i="158"/>
  <c r="P10" i="158" s="1"/>
  <c r="M89" i="193" l="1"/>
  <c r="M90" i="193" s="1"/>
  <c r="J89" i="193"/>
  <c r="J90" i="193" s="1"/>
  <c r="F89" i="193"/>
  <c r="F90" i="193" s="1"/>
  <c r="I89" i="193"/>
  <c r="I90" i="193" s="1"/>
  <c r="G89" i="193"/>
  <c r="G90" i="193" s="1"/>
  <c r="E89" i="193"/>
  <c r="E90" i="193" s="1"/>
  <c r="O90" i="193"/>
  <c r="K89" i="193"/>
  <c r="K90" i="193" s="1"/>
  <c r="J43" i="193"/>
  <c r="F43" i="193"/>
  <c r="L89" i="193"/>
  <c r="L90" i="193" s="1"/>
  <c r="H43" i="193"/>
  <c r="H89" i="193"/>
  <c r="H90" i="193" s="1"/>
  <c r="P8" i="32" l="1"/>
  <c r="I18" i="16"/>
  <c r="I19" i="16" s="1"/>
  <c r="H18" i="16"/>
  <c r="H19" i="16" s="1"/>
  <c r="O8" i="32" l="1"/>
  <c r="G18" i="16"/>
  <c r="G19" i="16" s="1"/>
  <c r="Q8" i="32"/>
  <c r="J18" i="16" l="1"/>
  <c r="J19" i="16" s="1"/>
  <c r="K18" i="16"/>
  <c r="K19" i="16" s="1"/>
  <c r="L18" i="16" l="1"/>
  <c r="L19" i="16" s="1"/>
  <c r="M18" i="16" l="1"/>
  <c r="M19" i="16" s="1"/>
  <c r="P7" i="31"/>
  <c r="J21" i="16" l="1"/>
  <c r="R8" i="32"/>
  <c r="Q7" i="31"/>
  <c r="K21" i="16" l="1"/>
  <c r="S8" i="32"/>
  <c r="R7" i="31" l="1"/>
  <c r="L21" i="16" l="1"/>
  <c r="T8" i="32"/>
  <c r="U8" i="32" l="1"/>
  <c r="S6" i="193" l="1"/>
  <c r="S7" i="193" s="1"/>
  <c r="S89" i="193" l="1"/>
  <c r="S90" i="193" s="1"/>
  <c r="O8" i="205" l="1"/>
  <c r="P8" i="205" l="1"/>
  <c r="Q8" i="205" l="1"/>
  <c r="R8" i="205" l="1"/>
  <c r="N12" i="155" l="1"/>
  <c r="S12" i="155"/>
  <c r="U15" i="158"/>
  <c r="T15" i="158"/>
  <c r="Q15" i="158"/>
  <c r="P15" i="158"/>
  <c r="O12" i="155" l="1"/>
  <c r="R12" i="155"/>
  <c r="P27" i="158"/>
  <c r="P9" i="158" s="1"/>
  <c r="P14" i="158"/>
  <c r="U27" i="158"/>
  <c r="U9" i="158" s="1"/>
  <c r="U14" i="158"/>
  <c r="Q27" i="158"/>
  <c r="Q9" i="158" s="1"/>
  <c r="Q14" i="158"/>
  <c r="R15" i="158"/>
  <c r="P12" i="155"/>
  <c r="T27" i="158"/>
  <c r="T9" i="158" s="1"/>
  <c r="T14" i="158"/>
  <c r="S15" i="158"/>
  <c r="Q12" i="155"/>
  <c r="U7" i="158" l="1"/>
  <c r="U8" i="158" s="1"/>
  <c r="U26" i="158"/>
  <c r="R27" i="158"/>
  <c r="R9" i="158" s="1"/>
  <c r="R14" i="158"/>
  <c r="S27" i="158"/>
  <c r="S9" i="158" s="1"/>
  <c r="S14" i="158"/>
  <c r="T7" i="158"/>
  <c r="T8" i="158" s="1"/>
  <c r="T26" i="158"/>
  <c r="Q7" i="158"/>
  <c r="Q8" i="158" s="1"/>
  <c r="Q26" i="158"/>
  <c r="P26" i="158"/>
  <c r="P7" i="158"/>
  <c r="P8" i="158" s="1"/>
  <c r="P12" i="158" l="1"/>
  <c r="Q12" i="158"/>
  <c r="U12" i="158"/>
  <c r="T12" i="158"/>
  <c r="S7" i="158"/>
  <c r="S8" i="158" s="1"/>
  <c r="S26" i="158"/>
  <c r="R26" i="158"/>
  <c r="R7" i="158"/>
  <c r="R8" i="158" s="1"/>
  <c r="S12" i="158" l="1"/>
  <c r="R12" i="158"/>
  <c r="S7" i="155" l="1"/>
  <c r="S9" i="155" s="1"/>
  <c r="M10" i="16"/>
  <c r="I13" i="164" l="1"/>
  <c r="L10" i="16"/>
  <c r="R7" i="155"/>
  <c r="R9" i="155" s="1"/>
  <c r="S10" i="155" l="1"/>
  <c r="M12" i="16" l="1"/>
  <c r="I10" i="16" l="1"/>
  <c r="O7" i="155"/>
  <c r="O9" i="155" s="1"/>
  <c r="P7" i="155"/>
  <c r="P9" i="155" s="1"/>
  <c r="J10" i="16"/>
  <c r="P10" i="155" l="1"/>
  <c r="H12" i="16"/>
  <c r="I12" i="16"/>
  <c r="H10" i="16"/>
  <c r="N7" i="155"/>
  <c r="N9" i="155" s="1"/>
  <c r="N10" i="155" s="1"/>
  <c r="O10" i="155" l="1"/>
  <c r="J12" i="16"/>
  <c r="F12" i="164"/>
  <c r="F28" i="164" s="1"/>
  <c r="F13" i="164" l="1"/>
  <c r="F29" i="164" s="1"/>
  <c r="Q49" i="165"/>
  <c r="H13" i="164" l="1"/>
  <c r="K10" i="16"/>
  <c r="Q7" i="155"/>
  <c r="Q9" i="155" s="1"/>
  <c r="G13" i="164"/>
  <c r="G29" i="164" s="1"/>
  <c r="K12" i="16"/>
  <c r="Q10" i="155" l="1"/>
  <c r="R10" i="155"/>
  <c r="L12" i="16"/>
</calcChain>
</file>

<file path=xl/comments1.xml><?xml version="1.0" encoding="utf-8"?>
<comments xmlns="http://schemas.openxmlformats.org/spreadsheetml/2006/main">
  <authors>
    <author>Autor</author>
  </authors>
  <commentList>
    <comment ref="D20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malo by byť zahrnuté v dani z prijmov z pravnickych osob</t>
        </r>
      </text>
    </comment>
    <comment ref="D33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D3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nekonsolidovaná</t>
        </r>
      </text>
    </comment>
    <comment ref="D3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konsolidovaná</t>
        </r>
      </text>
    </comment>
    <comment ref="D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pripočítaná zmena stavu pohľadávky voči EÚ, korekcia je na výdavkovej strane na D.9
- z tab. transfery EU v sektore a mimo ulozena v podkladoch EU: (príjmy EU) -  (konecny prijemca je mimo sektora VS) + (zmena stavu pohladavky voci EU) </t>
        </r>
      </text>
    </comment>
    <comment ref="L37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198,509 neuznanie transakcie ŠFRB</t>
        </r>
      </text>
    </comment>
    <comment ref="D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subvencie len mimo sektora</t>
        </r>
      </text>
    </comment>
    <comment ref="E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165,970 odpočítané dotácie, ktoré sa teraz konsolidujú ked su ZSSK v sektore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270,339 odpočítané dotácie, ktoré sa teraz konsolidujú ked su ZSSK v sektore
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228,114 odpočítané dotácie, ktoré sa teraz konsolidujú ked su ZSSK v sektore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199,498 odpočítané dotácie, ktoré sa teraz konsolidujú ked su ZSR v sektore;
105,301 je uprava aby sme sedeli na Albertov cash polozka RK644 po odpocitani EU;
67,516 odpočítané dotácie, ktoré sa teraz konsolidujú ked su ZSSK v sektore;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345,988 odpočítané dotácie, ktoré sa teraz konsolidujú ked su ZSR v sektore;
174,99 je uprava aby sme sedeli na Albertov cash polozka RK644 po odpocitani EU;
197,342 odpočítané dotácie, ktoré sa teraz konsolidujú ked su ZSSK v sektore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333,753 odpočítané dotácie, ktoré sa teraz konsolidujú ked su ZSR v sektore;
197,559 odpočítané dotácie, ktoré sa teraz konsolidujú ked su ZSSK v sektore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197,559 odpočítané dotácie, ktoré sa teraz konsolidujú ked su ZSSK v sektore</t>
        </r>
      </text>
    </comment>
    <comment ref="L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E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165,970 odpočítané dotácie, ktoré sa teraz konsolidujú ked su ZSSK v sektore</t>
        </r>
      </text>
    </comment>
    <comment ref="F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270,339 odpočítané dotácie, ktoré sa teraz konsolidujú ked su ZSSK v sektore</t>
        </r>
      </text>
    </comment>
    <comment ref="G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228,114 odpočítané dotácie, ktoré sa teraz konsolidujú ked su ZSSK v sektore</t>
        </r>
      </text>
    </comment>
    <comment ref="H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199,498 odpočítané dotácie, ktoré sa teraz konsolidujú ked su ZSR v sektore (p.Holikova od Mikulika kl.2323);
105,301 je uprava aby sme sedeli na Albertov cash polozka RK644 po odpocitani EU;
67,516 odpočítané dotácie, ktoré sa teraz konsolidujú ked su ZSSK v sektore</t>
        </r>
      </text>
    </comment>
    <comment ref="I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345,988 odpočítané dotácie, ktoré sa teraz konsolidujú ked su ZSR v sektore (p.Holikova od Mikulika kl.2323);
174,99 je uprava aby sme sedeli na Albertov cash polozka RK644 po odpocitani EU;
197,342 odpočítané dotácie, ktoré sa teraz konsolidujú ked su ZSSK v sektore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333,753 odpočítané dotácie, ktoré sa teraz konsolidujú ked su ZSR v sektore (p.Holikova od Mikulika kl.2323); 
197,559 odpočítané dotácie, ktoré sa teraz konsolidujú ked su ZSSK v sektore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197,559 odpočítané dotácie, ktoré sa teraz konsolidujú ked su ZSSK v sektore</t>
        </r>
      </text>
    </comment>
    <comment ref="L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E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</t>
        </r>
      </text>
    </comment>
    <comment ref="F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</t>
        </r>
      </text>
    </comment>
    <comment ref="H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</t>
        </r>
      </text>
    </comment>
    <comment ref="I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</t>
        </r>
      </text>
    </comment>
    <comment ref="K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M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M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D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potrebné očistiť o časové rozlíšenie odvodu do EÚ z dotazníka tab.6 alebo špeciálna tab. o odvodoch z podkladov k notif.</t>
        </r>
      </text>
    </comment>
  </commentList>
</comments>
</file>

<file path=xl/sharedStrings.xml><?xml version="1.0" encoding="utf-8"?>
<sst xmlns="http://schemas.openxmlformats.org/spreadsheetml/2006/main" count="2305" uniqueCount="1458">
  <si>
    <t>% HDP</t>
  </si>
  <si>
    <t>mil. eur</t>
  </si>
  <si>
    <t>-</t>
  </si>
  <si>
    <t>Zdroj: MF SR</t>
  </si>
  <si>
    <t>v % HDP</t>
  </si>
  <si>
    <t>Štrukturálne saldo</t>
  </si>
  <si>
    <t>NPC</t>
  </si>
  <si>
    <t>Ukazovateľ</t>
  </si>
  <si>
    <t>Konsolidačné úsilie</t>
  </si>
  <si>
    <t>10. Zmena v príjmoch z titulu diskrečných príjmových opatrení</t>
  </si>
  <si>
    <t>%</t>
  </si>
  <si>
    <t>p.b.</t>
  </si>
  <si>
    <t>Hrubý dlh verejnej správy</t>
  </si>
  <si>
    <t>A. Hrubý dlh verejnej správy (k 1.1.)</t>
  </si>
  <si>
    <t>B. Celková medziročná zmena hrubého dlhu VS</t>
  </si>
  <si>
    <t>z toho: NDS</t>
  </si>
  <si>
    <t>C. Hrubý dlh verejnej správy (k 31.12.)</t>
  </si>
  <si>
    <t>Pozn.: Plusové položky zvyšujú dlh verejnej správy k 31.12. príslušného roku, mínusové položky dlh znižujú.</t>
  </si>
  <si>
    <t>Funkcie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</si>
  <si>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</si>
  <si>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</si>
  <si>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</si>
  <si>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</si>
  <si>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</si>
  <si>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</si>
  <si>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</si>
  <si>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</si>
  <si>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</si>
  <si>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</si>
  <si>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</si>
  <si>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TE</t>
  </si>
  <si>
    <t>ESA kód</t>
  </si>
  <si>
    <t>Príjmy spolu</t>
  </si>
  <si>
    <t>TR</t>
  </si>
  <si>
    <t>Dane z produkcie a dovozu</t>
  </si>
  <si>
    <t>D.2</t>
  </si>
  <si>
    <t>Bežné dane z dôchodkov, majetku</t>
  </si>
  <si>
    <t>D.5</t>
  </si>
  <si>
    <t>Dane z kapitálu</t>
  </si>
  <si>
    <t>D.91</t>
  </si>
  <si>
    <t>Príspevky na sociálne zabezpečenie</t>
  </si>
  <si>
    <t>D.61</t>
  </si>
  <si>
    <t>Dôchodky z majetku</t>
  </si>
  <si>
    <t>D.4R</t>
  </si>
  <si>
    <t>Výdavky spolu</t>
  </si>
  <si>
    <t>Kompenzácie zamestnancov</t>
  </si>
  <si>
    <t>D.1P</t>
  </si>
  <si>
    <t>Medzispotreba</t>
  </si>
  <si>
    <t>P.2</t>
  </si>
  <si>
    <t>Subvencie</t>
  </si>
  <si>
    <t>Úrokové náklady</t>
  </si>
  <si>
    <t>D.41P</t>
  </si>
  <si>
    <t>Celkové sociálne transfery</t>
  </si>
  <si>
    <t>Tvorba hrubého fixného kapitálu</t>
  </si>
  <si>
    <t>P.51G</t>
  </si>
  <si>
    <t>Kapitálové transfery</t>
  </si>
  <si>
    <t>D.9P</t>
  </si>
  <si>
    <t>B.9 (4)</t>
  </si>
  <si>
    <t>Subsektor</t>
  </si>
  <si>
    <t>ESA2010</t>
  </si>
  <si>
    <t>S.13</t>
  </si>
  <si>
    <t>P.č</t>
  </si>
  <si>
    <t>Program stability</t>
  </si>
  <si>
    <t>Návrh rozpočtu</t>
  </si>
  <si>
    <t>m.j.</t>
  </si>
  <si>
    <t>HDP, bežné ceny</t>
  </si>
  <si>
    <t>mld. eur</t>
  </si>
  <si>
    <t>HDP, stále ceny</t>
  </si>
  <si>
    <t xml:space="preserve">   Konečná spotreba domácností a NISD</t>
  </si>
  <si>
    <t xml:space="preserve">   Konečná spotreba verejnej správy </t>
  </si>
  <si>
    <t xml:space="preserve">   Tvorba hrubého fixného kapitálu </t>
  </si>
  <si>
    <t xml:space="preserve">   Export tovarov a služieb </t>
  </si>
  <si>
    <t xml:space="preserve">   Import tovarov a služieb </t>
  </si>
  <si>
    <t>Priemerný rast zamestnanosti, podľa VZPS</t>
  </si>
  <si>
    <t>Priemerný rast zamestnanosti, podľa ESA 2010</t>
  </si>
  <si>
    <t>Priemerná miera nezamestnanosti, podľa VZPS</t>
  </si>
  <si>
    <t>Priemerná evidovaná miera nezamestnanosti</t>
  </si>
  <si>
    <t>Harmonizovaný index spotrebiteľských cien (HICP)</t>
  </si>
  <si>
    <t>Bilancia bežného účtu (podiel na HDP)</t>
  </si>
  <si>
    <t>Cieľové saldá verejnej správy</t>
  </si>
  <si>
    <t>B.9</t>
  </si>
  <si>
    <t>Program stability (1)</t>
  </si>
  <si>
    <t>Návrh rozpočtového plánu (2)</t>
  </si>
  <si>
    <t>Rozdiel (2-1)</t>
  </si>
  <si>
    <t>Gross fixed capital formation</t>
  </si>
  <si>
    <t xml:space="preserve">Zamestnanosť </t>
  </si>
  <si>
    <t xml:space="preserve">Verejná správa </t>
  </si>
  <si>
    <t>Trhové služby</t>
  </si>
  <si>
    <t>Priemysel</t>
  </si>
  <si>
    <t>Stavebníctvo</t>
  </si>
  <si>
    <t>HDP</t>
  </si>
  <si>
    <t>súkromná spotreba</t>
  </si>
  <si>
    <t>verejná spotreba</t>
  </si>
  <si>
    <t>investície</t>
  </si>
  <si>
    <t>čistý export</t>
  </si>
  <si>
    <t>Celková inflácia</t>
  </si>
  <si>
    <t>Čistá inflácia</t>
  </si>
  <si>
    <t>Ceny potravín</t>
  </si>
  <si>
    <t>Regulované ceny</t>
  </si>
  <si>
    <t>Zmena nepriamych daní</t>
  </si>
  <si>
    <t>Pot. HDP (rast, %)</t>
  </si>
  <si>
    <t xml:space="preserve"> Práca</t>
  </si>
  <si>
    <t>2019F</t>
  </si>
  <si>
    <t>min</t>
  </si>
  <si>
    <t>max-min</t>
  </si>
  <si>
    <t>medián Výboru</t>
  </si>
  <si>
    <t>prognóza MF SR</t>
  </si>
  <si>
    <t>3.   Výdavky kryté EU (kapitálové)</t>
  </si>
  <si>
    <t>2.   Úrokové náklady</t>
  </si>
  <si>
    <t>3a. Výdavky kryté EÚ zdrojmi (celkové)</t>
  </si>
  <si>
    <t>4.   Kapitálové výdavky kryté národnými zdrojmi</t>
  </si>
  <si>
    <t>5.   Vyhladené kapitálové výdavky (nár. zdroje 4-ročný pohyblivý priemer)</t>
  </si>
  <si>
    <t>6.   Cyklické výdavky na dávky v nezamestnanosti</t>
  </si>
  <si>
    <t xml:space="preserve">7.   Výdavky plne kryté automatickým zvýšením príjmov </t>
  </si>
  <si>
    <t>8.   Primárny výdavkový agregát (1-2-3a-4+5-6-7)</t>
  </si>
  <si>
    <t>z toho: Dopravné podniky obcí</t>
  </si>
  <si>
    <t xml:space="preserve"> - ostatné</t>
  </si>
  <si>
    <t>Zmena hrubého dlhu verejnej správy</t>
  </si>
  <si>
    <t>Príspevky k zmene hrubého dlhu verejnej správy:</t>
  </si>
  <si>
    <t>Primárne saldo</t>
  </si>
  <si>
    <t>Úroky</t>
  </si>
  <si>
    <t>Rast nominálneho HDP</t>
  </si>
  <si>
    <t>Zosúladenie deficitu a dlhu</t>
  </si>
  <si>
    <t>Rast reálneho HDP</t>
  </si>
  <si>
    <t>Deflátor HDP</t>
  </si>
  <si>
    <t>Čistý dlh verejnej správy</t>
  </si>
  <si>
    <t>Zmeny</t>
  </si>
  <si>
    <t>Medzisúčet</t>
  </si>
  <si>
    <t>Prechod osi x</t>
  </si>
  <si>
    <t>Výplň</t>
  </si>
  <si>
    <t>Zmena</t>
  </si>
  <si>
    <t>GEO/TIME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</si>
  <si>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</si>
  <si>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</si>
  <si>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</si>
  <si>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</si>
  <si>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</si>
  <si>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</si>
  <si>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</si>
  <si>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</si>
  <si>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</si>
  <si>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V3</t>
  </si>
  <si>
    <t>CZ</t>
  </si>
  <si>
    <t>check</t>
  </si>
  <si>
    <t>Nominálne saldo</t>
  </si>
  <si>
    <t>1.   Celkové výdavky</t>
  </si>
  <si>
    <t>p. m. deflátor HDP</t>
  </si>
  <si>
    <t>Daňové príjmy spolu</t>
  </si>
  <si>
    <t>S. 13</t>
  </si>
  <si>
    <t>Dane z produkcie</t>
  </si>
  <si>
    <t>Dane z príjmu</t>
  </si>
  <si>
    <t>Odvodové príjmy</t>
  </si>
  <si>
    <t>GRAF 1: Štrukturálne saldo (% HDP)</t>
  </si>
  <si>
    <t>GRAF 2: Hrubý dlh VS (% HDP)</t>
  </si>
  <si>
    <t>GRAF 8: Príspevky k inflácii (p.b.)</t>
  </si>
  <si>
    <t>Hrubý dlh</t>
  </si>
  <si>
    <t>Hrubý dlh (očistený o EFSF a ESM)</t>
  </si>
  <si>
    <t>EFSF a ESM</t>
  </si>
  <si>
    <t>Čistý dlh</t>
  </si>
  <si>
    <t>Spotrebné dane</t>
  </si>
  <si>
    <t>Limit odchýlky na 2r. horizonte</t>
  </si>
  <si>
    <t>Limit odchýlky na 1r. horizonte</t>
  </si>
  <si>
    <t>Priemer eurozóny (19 krajín)</t>
  </si>
  <si>
    <t>PL</t>
  </si>
  <si>
    <t>HU</t>
  </si>
  <si>
    <t>SK</t>
  </si>
  <si>
    <t>EA19</t>
  </si>
  <si>
    <t>2006</t>
  </si>
  <si>
    <t>Total general government expenditure</t>
  </si>
  <si>
    <t>EA 19</t>
  </si>
  <si>
    <t>Rozpočtové ciele</t>
  </si>
  <si>
    <t>53-55% HDP</t>
  </si>
  <si>
    <t>55-57% HDP</t>
  </si>
  <si>
    <t>57-60% HDP</t>
  </si>
  <si>
    <t>Požadované konsolidačné úsilie</t>
  </si>
  <si>
    <t>Nominálne HDP</t>
  </si>
  <si>
    <t>Vstupné dáta</t>
  </si>
  <si>
    <t>Graf 1</t>
  </si>
  <si>
    <t>Graf 2</t>
  </si>
  <si>
    <t>Graf 3</t>
  </si>
  <si>
    <t>Graf 4</t>
  </si>
  <si>
    <t>Graf 7</t>
  </si>
  <si>
    <t>Graf 8</t>
  </si>
  <si>
    <t>Zdroj: MF SR, Eurostat</t>
  </si>
  <si>
    <t>COFOG kód</t>
  </si>
  <si>
    <t>štrukturálne saldo</t>
  </si>
  <si>
    <t>∆ štrukturálneho primárneho salda</t>
  </si>
  <si>
    <t>produkčná medzera</t>
  </si>
  <si>
    <t>∆ zmena produkčnej medzery</t>
  </si>
  <si>
    <t>Revízia štrukturálneho salda</t>
  </si>
  <si>
    <t>Nom saldo</t>
  </si>
  <si>
    <t>One offs</t>
  </si>
  <si>
    <t>ŠS</t>
  </si>
  <si>
    <t>Rozdiely</t>
  </si>
  <si>
    <t>PS</t>
  </si>
  <si>
    <t>DBP</t>
  </si>
  <si>
    <t>Vstupé dáta</t>
  </si>
  <si>
    <t>ZHRNUTIE</t>
  </si>
  <si>
    <t>úrokové náklady</t>
  </si>
  <si>
    <t>štrukturálne primárne saldo</t>
  </si>
  <si>
    <t>Priemerná mesačná mzda za hospodárstvo (nominálny rast)</t>
  </si>
  <si>
    <t>Poľnohospodárstvo</t>
  </si>
  <si>
    <t>2016 S</t>
  </si>
  <si>
    <t>2020F</t>
  </si>
  <si>
    <t>Produkčná medzera (podiel na potenciálnom produkte)</t>
  </si>
  <si>
    <t>D.1</t>
  </si>
  <si>
    <t>D.3p</t>
  </si>
  <si>
    <t>Granty a transfery</t>
  </si>
  <si>
    <t>Spolu výdavky</t>
  </si>
  <si>
    <t>Nedaňové príjmy spolu</t>
  </si>
  <si>
    <t>P.11+P.12</t>
  </si>
  <si>
    <t>D.3P</t>
  </si>
  <si>
    <t>D.6P,D632</t>
  </si>
  <si>
    <t>50-53% HDP</t>
  </si>
  <si>
    <t>z toho: ŽSR + ŽSSK</t>
  </si>
  <si>
    <t>2016</t>
  </si>
  <si>
    <t>2017</t>
  </si>
  <si>
    <t>2018</t>
  </si>
  <si>
    <t>2019</t>
  </si>
  <si>
    <t>2020</t>
  </si>
  <si>
    <t>D.7p</t>
  </si>
  <si>
    <t>P.5L</t>
  </si>
  <si>
    <t>Spolu</t>
  </si>
  <si>
    <t>Cyklická zložka</t>
  </si>
  <si>
    <t>Jednorázové vplyvy</t>
  </si>
  <si>
    <t>9.  Medziročná zmena primárneho výdavkového agregátu (8t-8t-1)</t>
  </si>
  <si>
    <t>11. Jednorazové opatrenia na príjmovej strane</t>
  </si>
  <si>
    <t>12. Jednorazové opatrenia na výdavkovej strane</t>
  </si>
  <si>
    <t>13. Metodické úpravy</t>
  </si>
  <si>
    <t>14. Nominálny rast agregátu výdavkov očisteného o príjmové opatrenia ((9t-10t)/8t-1)</t>
  </si>
  <si>
    <t xml:space="preserve">15. Reálny rast agregátu výdavkov očisteného o príjmové opatrenia </t>
  </si>
  <si>
    <t>16. Výdavkové pravidlo (znížená referenčná miera pot. rastu HDP)</t>
  </si>
  <si>
    <t>17. Odchýlka od výdavkového pravidla (16-15)</t>
  </si>
  <si>
    <t>Jednoročná odchýlka od výdavkového pravidla</t>
  </si>
  <si>
    <t>Dvojročná odchýlka od výdavkového pravidla</t>
  </si>
  <si>
    <t>Primárny výdavkový agregát</t>
  </si>
  <si>
    <t>Zmena v príjmoch z titulu diskrečných príjmových opatrení</t>
  </si>
  <si>
    <t>Nominálny rast agregátu výdavkov očisteného o príjmové opatrenia</t>
  </si>
  <si>
    <t xml:space="preserve">Reálny rast agregátu výdavkov očisteného o príjmové opatrenia </t>
  </si>
  <si>
    <t>Výdavkové pravidlo (znížená referenčná miera pot. rastu HDP)</t>
  </si>
  <si>
    <t>Odchýlka od výdavkového pravidla</t>
  </si>
  <si>
    <t>Saldo VS - rozpočet</t>
  </si>
  <si>
    <t>Vyššie odvody (D.61)</t>
  </si>
  <si>
    <t>Nižšie ostatné bežné transfery (D.7P)</t>
  </si>
  <si>
    <t>Vyššia medzispotreba (P.2)</t>
  </si>
  <si>
    <t>Vyššie výdavky verejného zdravotného poistenia (D.632P)</t>
  </si>
  <si>
    <t>Saldo VS - očakávaná skutočnosť</t>
  </si>
  <si>
    <t>SK - nominal values</t>
  </si>
  <si>
    <t>SK - GDP (september)</t>
  </si>
  <si>
    <t>Priemer EÚ (28 krajín)</t>
  </si>
  <si>
    <t>V4 bez SK</t>
  </si>
  <si>
    <t>CR</t>
  </si>
  <si>
    <t xml:space="preserve"> - Mzdy a platy</t>
  </si>
  <si>
    <t xml:space="preserve"> - Sociálne príspevky zamestnávateľov</t>
  </si>
  <si>
    <t>Ostatné bežné transfery</t>
  </si>
  <si>
    <t>DPPO</t>
  </si>
  <si>
    <t>DPH</t>
  </si>
  <si>
    <t>Dane</t>
  </si>
  <si>
    <t>DPFO</t>
  </si>
  <si>
    <t>Sociálne odvody</t>
  </si>
  <si>
    <t>Zdravotné odvody</t>
  </si>
  <si>
    <t>Celková zmena</t>
  </si>
  <si>
    <t>Spolu príjmy</t>
  </si>
  <si>
    <t>Saldo VS (ESA 2010, v mil. eur)</t>
  </si>
  <si>
    <t>ESA 95</t>
  </si>
  <si>
    <t>Zdroj ESA 95</t>
  </si>
  <si>
    <t>Zdroj ESA 2010</t>
  </si>
  <si>
    <t>Skutočnosť</t>
  </si>
  <si>
    <t xml:space="preserve">
Skutočnosť</t>
  </si>
  <si>
    <t>OS</t>
  </si>
  <si>
    <t>Rozpočet</t>
  </si>
  <si>
    <t>Ciele</t>
  </si>
  <si>
    <t>T0200</t>
  </si>
  <si>
    <t>Daňové príjmy</t>
  </si>
  <si>
    <t>D.2+D.5+D.91</t>
  </si>
  <si>
    <t>suma</t>
  </si>
  <si>
    <t>suma (D2+D5+D91)</t>
  </si>
  <si>
    <t>Dane z produkcie a dovozu</t>
  </si>
  <si>
    <t>T0200 (D2)</t>
  </si>
  <si>
    <t xml:space="preserve"> - Daň z pridanej hodnoty (spolu so zdrojmi EÚ)</t>
  </si>
  <si>
    <t xml:space="preserve">D.211 </t>
  </si>
  <si>
    <t>T0900</t>
  </si>
  <si>
    <t>T0900 (D211)</t>
  </si>
  <si>
    <t xml:space="preserve"> - Spotrebné dane</t>
  </si>
  <si>
    <t xml:space="preserve">D.2122C+D.214A </t>
  </si>
  <si>
    <t>T0900 (D2122C+D214A)</t>
  </si>
  <si>
    <t xml:space="preserve"> - Dovozné clo</t>
  </si>
  <si>
    <t xml:space="preserve">D.2121 </t>
  </si>
  <si>
    <t>T0900 (D2121)</t>
  </si>
  <si>
    <t xml:space="preserve"> - Dane z majetku a iné</t>
  </si>
  <si>
    <t xml:space="preserve">D.29A </t>
  </si>
  <si>
    <t>T0900 (D29A)</t>
  </si>
  <si>
    <t>T0200 (D5)</t>
  </si>
  <si>
    <t xml:space="preserve"> - Daň z príjmov fyzických osôb</t>
  </si>
  <si>
    <t xml:space="preserve">D.51A </t>
  </si>
  <si>
    <t>T0900 (D51A)</t>
  </si>
  <si>
    <t xml:space="preserve"> - zo závislej činnosti</t>
  </si>
  <si>
    <t>rozp. klasif. 111001</t>
  </si>
  <si>
    <t>RK 111001</t>
  </si>
  <si>
    <t xml:space="preserve"> - z podnikania a inej samostatnej zár. činnosti</t>
  </si>
  <si>
    <t>rozp. klasif. 111002</t>
  </si>
  <si>
    <t>RK111002</t>
  </si>
  <si>
    <t xml:space="preserve"> - Daň z príjmov právnických osôb</t>
  </si>
  <si>
    <t xml:space="preserve">D.51B </t>
  </si>
  <si>
    <t>T0900 (D51B)</t>
  </si>
  <si>
    <t xml:space="preserve"> - Daň z príjmov vyberaná zrážkou - rozp. klasif.</t>
  </si>
  <si>
    <t>D.51E</t>
  </si>
  <si>
    <t>T0900 (D51E)</t>
  </si>
  <si>
    <t xml:space="preserve"> - Daň z príjmov - emisie</t>
  </si>
  <si>
    <t>RK 191</t>
  </si>
  <si>
    <t>RK 191 (cash), akrualne dane z IFP</t>
  </si>
  <si>
    <t>D.59A</t>
  </si>
  <si>
    <t>T0900 (D59A)</t>
  </si>
  <si>
    <t>Dane z kapitálu</t>
  </si>
  <si>
    <t>T0200 (D91)</t>
  </si>
  <si>
    <t>suma, T0200 (D61)</t>
  </si>
  <si>
    <t>Skutočné príspevky na sociálne zabezpečenie</t>
  </si>
  <si>
    <t>D.611</t>
  </si>
  <si>
    <t>suma, T0900 (D611+D613)</t>
  </si>
  <si>
    <t xml:space="preserve"> - Príspevky zamestnávateľov</t>
  </si>
  <si>
    <t xml:space="preserve">D.6111 </t>
  </si>
  <si>
    <t>T0900 (D6111+D6112 = D611)</t>
  </si>
  <si>
    <t xml:space="preserve"> - Príspevky zamestnancov</t>
  </si>
  <si>
    <t xml:space="preserve">D.6112 </t>
  </si>
  <si>
    <t>T0900 (D613CE)</t>
  </si>
  <si>
    <t xml:space="preserve"> - Príspevky SZČO a nepracujúcich osôb</t>
  </si>
  <si>
    <t xml:space="preserve">D.6113 </t>
  </si>
  <si>
    <t>T0900 (D613CS+D613CN+D613V)</t>
  </si>
  <si>
    <t>Imputované príspevky na sociálne zabezpečenie</t>
  </si>
  <si>
    <t>D.612</t>
  </si>
  <si>
    <t>T0900 (D612)</t>
  </si>
  <si>
    <t>Nedaňové príjmy</t>
  </si>
  <si>
    <t>Tržby</t>
  </si>
  <si>
    <t>P.11, P.12, P.131</t>
  </si>
  <si>
    <t xml:space="preserve"> - Trhová produkcia + Produkcia pre vlastné konečné použitie</t>
  </si>
  <si>
    <t>T0200 (P1M)</t>
  </si>
  <si>
    <t xml:space="preserve"> - Platby za ostatnú netrhovú produkciu</t>
  </si>
  <si>
    <t>P.131</t>
  </si>
  <si>
    <t>T0200 (P131)</t>
  </si>
  <si>
    <t>Dôchodky z majetku, z ktorých</t>
  </si>
  <si>
    <t>D.4</t>
  </si>
  <si>
    <t>T0200 (D4)</t>
  </si>
  <si>
    <t xml:space="preserve"> - Dividendy</t>
  </si>
  <si>
    <t>D.421 rozp. klasif. 211003</t>
  </si>
  <si>
    <t>D.421 z dotazníka tab 10.1 riadok 46</t>
  </si>
  <si>
    <t>D.421 z dotazníka tab 10.1 riadok 49</t>
  </si>
  <si>
    <t xml:space="preserve"> - Úroky</t>
  </si>
  <si>
    <t>D.41</t>
  </si>
  <si>
    <t>od Antolíka ŠÚ SR</t>
  </si>
  <si>
    <t>T0200 (D41)</t>
  </si>
  <si>
    <t>D.39+D.7+D.9</t>
  </si>
  <si>
    <t>z toho: z EÚ</t>
  </si>
  <si>
    <t>rozp. klasif.</t>
  </si>
  <si>
    <t>RK 341 EU, ktoré ostávajú v schodku, FIN 1-12 za ŠR</t>
  </si>
  <si>
    <t>Ostatné subvencie ma produkciu</t>
  </si>
  <si>
    <t>D.39</t>
  </si>
  <si>
    <t>T0200 (D39R)</t>
  </si>
  <si>
    <t>D.7</t>
  </si>
  <si>
    <t>T0200 (D7)</t>
  </si>
  <si>
    <t>D.9</t>
  </si>
  <si>
    <t>T0200 (D9-D91)</t>
  </si>
  <si>
    <t>Nešpecifikované príjmové opatrenia</t>
  </si>
  <si>
    <t>Bežné výdavky</t>
  </si>
  <si>
    <t>T0200 (D1)</t>
  </si>
  <si>
    <t xml:space="preserve">D.11 </t>
  </si>
  <si>
    <t>od Antolíka ŠÚ SR (D11)</t>
  </si>
  <si>
    <t xml:space="preserve">D.12 </t>
  </si>
  <si>
    <t>od Antolíka ŠÚ SR (D12)</t>
  </si>
  <si>
    <t>T0200 (P2)</t>
  </si>
  <si>
    <t>D.29+D.5</t>
  </si>
  <si>
    <t>T0200+T0200, lebo D.2 = D.29</t>
  </si>
  <si>
    <t>suma (D29+D5)</t>
  </si>
  <si>
    <t>Iné dane z produkcie</t>
  </si>
  <si>
    <t>D.29</t>
  </si>
  <si>
    <t>T0200 (D29)</t>
  </si>
  <si>
    <t>Bežné dane z majetku, atď.</t>
  </si>
  <si>
    <t>D.3</t>
  </si>
  <si>
    <t>T0200 (D3P)</t>
  </si>
  <si>
    <t xml:space="preserve"> - Dotácie do poľnohospodárstva</t>
  </si>
  <si>
    <t>644 - S3 EUOUT</t>
  </si>
  <si>
    <t>RK 644 COFOG 042 bez S3 EU OUT, zdroj ŠR a spolufinancovanie (len EU zdrojov)</t>
  </si>
  <si>
    <t xml:space="preserve"> - Dotácie do dopravy</t>
  </si>
  <si>
    <t>rozp. klasif. 644 a c045</t>
  </si>
  <si>
    <t>RK 644 z toho COFOG 045 bez S3 EU OUT</t>
  </si>
  <si>
    <t xml:space="preserve"> - železničná doprava</t>
  </si>
  <si>
    <t>rozp. klasif. 644 a c0453</t>
  </si>
  <si>
    <t>RK 644 z toho COFOG 0453 bez S3 EU OUT</t>
  </si>
  <si>
    <t xml:space="preserve"> - cestná doprava</t>
  </si>
  <si>
    <t>644 a c045-0453-0454</t>
  </si>
  <si>
    <t>RK 644 z toho COFOG 0451 bez S3 EU OUT</t>
  </si>
  <si>
    <t xml:space="preserve"> - Ostatné</t>
  </si>
  <si>
    <t>reziduál = Subsidies minus Agriultural Subsidies minus Transport Subsidies</t>
  </si>
  <si>
    <t>Dôchodky z majetku</t>
  </si>
  <si>
    <t>Ostatné dôchodky z majetku</t>
  </si>
  <si>
    <t>D.4N</t>
  </si>
  <si>
    <t>T0200 (D4N)</t>
  </si>
  <si>
    <t>D.6</t>
  </si>
  <si>
    <t>D6O = D62+D631, riadok 34 v T0200</t>
  </si>
  <si>
    <t>T0200 (D6M)</t>
  </si>
  <si>
    <t xml:space="preserve"> - Sociálne dávky okrem naturálnych soc. transferov</t>
  </si>
  <si>
    <t>D.62</t>
  </si>
  <si>
    <t>T0200 (D62)</t>
  </si>
  <si>
    <t xml:space="preserve"> - Aktívne opatrenia trhu práce</t>
  </si>
  <si>
    <t>rozp. klasif. 642032</t>
  </si>
  <si>
    <t>RK 642032 zo ŠR, bez EU peňazí</t>
  </si>
  <si>
    <t xml:space="preserve"> - Nemocenské dávky</t>
  </si>
  <si>
    <t>rozp. klasif. 642015</t>
  </si>
  <si>
    <t>RK 642015 z SP</t>
  </si>
  <si>
    <t xml:space="preserve"> - Dôchodkové dávky zo starobného a invalidného poistenia</t>
  </si>
  <si>
    <t>rozp. klasif. 642016+20</t>
  </si>
  <si>
    <t>RK 642016+RK 642020 z SP</t>
  </si>
  <si>
    <t>RK 642016+RK 642020 z SP + to isté z MRU</t>
  </si>
  <si>
    <t xml:space="preserve"> - Dávky v nezamestnanosti</t>
  </si>
  <si>
    <t>rozp. klasif. 642033</t>
  </si>
  <si>
    <t>RK 642033 z SP</t>
  </si>
  <si>
    <t xml:space="preserve"> - Štátne sociálne dávky a podpora</t>
  </si>
  <si>
    <t>rozp. klasif. 642018-42</t>
  </si>
  <si>
    <t>RK 642018 až RK 642027 + RK642037 až RK 642042 zo ŠR</t>
  </si>
  <si>
    <t xml:space="preserve"> - na prídavok na dieťa</t>
  </si>
  <si>
    <t>rozp. klasif. 642019</t>
  </si>
  <si>
    <t>RK 642019 zo ŠR</t>
  </si>
  <si>
    <t xml:space="preserve"> - na príspevok pri narodení dieťaťa a prísp. rodičom</t>
  </si>
  <si>
    <t>rozp. klasif. 642022</t>
  </si>
  <si>
    <t>RK 642022 zo ŠR</t>
  </si>
  <si>
    <t xml:space="preserve"> - na rodičovský príspevok</t>
  </si>
  <si>
    <t>rozp. klasif. 642041</t>
  </si>
  <si>
    <t>RK 642041 zo ŠR</t>
  </si>
  <si>
    <t xml:space="preserve"> - na dávku v hmotnej núdzi a príspevky k dávke</t>
  </si>
  <si>
    <t>rozp. klasif. 642026</t>
  </si>
  <si>
    <t>RK 642026 zo ŠR</t>
  </si>
  <si>
    <t xml:space="preserve"> - na peňažné príspevky na kompenzáciu</t>
  </si>
  <si>
    <t>rozp. klasif. 642027</t>
  </si>
  <si>
    <t>RK 642027 zo ŠR</t>
  </si>
  <si>
    <t>RK 642018 až RK 642027 + RK642037 až RK 642042 zo ŠR minus (RK 642019+22+41+26+27)</t>
  </si>
  <si>
    <t xml:space="preserve"> - Platené poistné za skupiny osôb ustanovené zákonom</t>
  </si>
  <si>
    <t>rozp. klasif. 642031</t>
  </si>
  <si>
    <t>RK 642031</t>
  </si>
  <si>
    <t xml:space="preserve"> - sociálne poistenie</t>
  </si>
  <si>
    <t>rozp. klasif. 642031 c10</t>
  </si>
  <si>
    <t>RK 642031 z kapitoly Ministerstva práce</t>
  </si>
  <si>
    <t xml:space="preserve"> - zdravotné poistenie</t>
  </si>
  <si>
    <t>v 642031 c07</t>
  </si>
  <si>
    <t>RK 642031 z kapitoly Ministerstva zdravotníctva</t>
  </si>
  <si>
    <t xml:space="preserve"> - Naturálne sociálne transfery (zdravotnícke zariadenia)</t>
  </si>
  <si>
    <t>D.631</t>
  </si>
  <si>
    <t>T0200 (D631M)</t>
  </si>
  <si>
    <t>T0200 (D632)</t>
  </si>
  <si>
    <t>z toho: Odvody do rozpočtu EÚ</t>
  </si>
  <si>
    <t>rozp. klasif. 649005</t>
  </si>
  <si>
    <t xml:space="preserve">RK 649005 </t>
  </si>
  <si>
    <t>z toho: 2% z daní na verejnoprospešný účel</t>
  </si>
  <si>
    <t>RK 111004+RK 112001</t>
  </si>
  <si>
    <t>Kapitálové výdavky</t>
  </si>
  <si>
    <t>Kapitálové investície</t>
  </si>
  <si>
    <t>P.5+K.2</t>
  </si>
  <si>
    <t>T0200+T0200</t>
  </si>
  <si>
    <t>suma, T0200(P5L)</t>
  </si>
  <si>
    <t xml:space="preserve"> - Tvorba hrubého fixného kapitálu</t>
  </si>
  <si>
    <t>P.51</t>
  </si>
  <si>
    <t>T0200 (P51G)</t>
  </si>
  <si>
    <t xml:space="preserve"> - Zmena stavu zásob a nadobudnutie mínus úbytok cenností</t>
  </si>
  <si>
    <t>P.52+P.53</t>
  </si>
  <si>
    <t>T0200 (P5N)</t>
  </si>
  <si>
    <t>T0200 (P5M)</t>
  </si>
  <si>
    <t xml:space="preserve"> - Nadobudnutie mínus úbytok nefinančných neprodukovaných aktív</t>
  </si>
  <si>
    <t>K.2</t>
  </si>
  <si>
    <t>T0200 (NP)</t>
  </si>
  <si>
    <t>T0200 (D9)</t>
  </si>
  <si>
    <t xml:space="preserve"> - Investičné dotácie a ostatné kapitálové transfery</t>
  </si>
  <si>
    <t>D.92+D.99</t>
  </si>
  <si>
    <t>T0200, D.92+D.99=D9</t>
  </si>
  <si>
    <t>Čisté pôžičky poskytnuté / prijaté</t>
  </si>
  <si>
    <r>
      <t>TFP</t>
    </r>
    <r>
      <rPr>
        <b/>
        <vertAlign val="superscript"/>
        <sz val="10"/>
        <color theme="1"/>
        <rFont val="Arial Narrow"/>
        <family val="2"/>
        <charset val="238"/>
      </rPr>
      <t>*</t>
    </r>
  </si>
  <si>
    <t>Likvidné finančné aktíva</t>
  </si>
  <si>
    <t>2021F</t>
  </si>
  <si>
    <t>2017 S</t>
  </si>
  <si>
    <t>Oslobodenie príjmov z predaja akcií a obchodných podielov</t>
  </si>
  <si>
    <t>Poplatok za uloženie odpadu</t>
  </si>
  <si>
    <t>Kapitálové výdavky, z toho:</t>
  </si>
  <si>
    <t>Príjmy VS</t>
  </si>
  <si>
    <t>Výdavky VS</t>
  </si>
  <si>
    <t>Zmena cyklickej zložky</t>
  </si>
  <si>
    <t>Zmena nominálneho salda</t>
  </si>
  <si>
    <t>Zmena jednorazových opatrení</t>
  </si>
  <si>
    <t>Vyššie granty a transfery (D.39+D.7R+D.9R)</t>
  </si>
  <si>
    <t>Vyššie kapitálové transfery (D.9P)</t>
  </si>
  <si>
    <t>Vyššie kapitálové investície (P.5L)</t>
  </si>
  <si>
    <t>2020 NRVS</t>
  </si>
  <si>
    <t>2021 NRVS</t>
  </si>
  <si>
    <t>Jednoročná odchýlka od výdavkového pravidla*</t>
  </si>
  <si>
    <t>Dvojročná odchýlka od výdavkového pravidla*</t>
  </si>
  <si>
    <t>- hotovostný deficit ŠR</t>
  </si>
  <si>
    <t>- prostriedky ŠP využité na financovanie hotovostného deficitu ŠR</t>
  </si>
  <si>
    <t>- zadlženie ostatných subjektov VS</t>
  </si>
  <si>
    <t>z toho: Samospráva (obce a VÚC)</t>
  </si>
  <si>
    <t>- emisný diskont</t>
  </si>
  <si>
    <t>- diskont pri splatnosti</t>
  </si>
  <si>
    <t>- ostatné</t>
  </si>
  <si>
    <t xml:space="preserve">z toho:  príspevok zmeny prognózy nom. HDP </t>
  </si>
  <si>
    <t xml:space="preserve">             príspevok zmeny prognózy nom. dlhu</t>
  </si>
  <si>
    <t>NRVS</t>
  </si>
  <si>
    <t>Ostatné*</t>
  </si>
  <si>
    <t>NRVS-NPC</t>
  </si>
  <si>
    <t>z toho: Dávky v nezamestnanosti</t>
  </si>
  <si>
    <t>Ostatné**</t>
  </si>
  <si>
    <t>Saldo verejnej správy</t>
  </si>
  <si>
    <t>Pozn.: * P.11+P.12+P131+D.39rec+D.7rec+D.9rec (iné ako D.91rec)</t>
  </si>
  <si>
    <t>R 2019</t>
  </si>
  <si>
    <t>GRAF 19 - Hrubý dlh verejnej správy (% HDP)</t>
  </si>
  <si>
    <t>Dlhový strop</t>
  </si>
  <si>
    <t>Požiadavka vyrovnaného rozpočtu</t>
  </si>
  <si>
    <t>Zmrazenie výdavkov</t>
  </si>
  <si>
    <t>List ministra financii s opatreniami</t>
  </si>
  <si>
    <t>Hrubý dlh VS (maastrichtský)</t>
  </si>
  <si>
    <t>Ostatné subjekty VS</t>
  </si>
  <si>
    <t>ESFS + ESM</t>
  </si>
  <si>
    <t>Štátny dlh</t>
  </si>
  <si>
    <t>Ostatné</t>
  </si>
  <si>
    <t>Slovensko</t>
  </si>
  <si>
    <t>Nemecko</t>
  </si>
  <si>
    <t>Česko</t>
  </si>
  <si>
    <t>Poľsko</t>
  </si>
  <si>
    <t>Taliansko</t>
  </si>
  <si>
    <t>TABUĽKA 1: Produkčná medzera a príspevky faktorov k rastu potenciálneho produktu – prístup MF SR</t>
  </si>
  <si>
    <t>Daňová medzera podľa EK</t>
  </si>
  <si>
    <t>Daňová medzera podľa MFSR</t>
  </si>
  <si>
    <t>GRAF 31 - Daňová medzera na DPH (% potenciálneho výnosu)</t>
  </si>
  <si>
    <t>2021</t>
  </si>
  <si>
    <t>GRAF 4: Príspevky k rastu HDP - prognóza (p.b.)</t>
  </si>
  <si>
    <t>Graf 20: Príspevky faktorov k zmene hrubého dlhu (% HDP)</t>
  </si>
  <si>
    <t>Graf 21: Čistý dlh (% HDP)</t>
  </si>
  <si>
    <t>Kapitál</t>
  </si>
  <si>
    <t>Vplyv makroekonomického vývoja</t>
  </si>
  <si>
    <t>Vplyv efektívnych daňových sadzieb</t>
  </si>
  <si>
    <t>Vplyv legislatívy</t>
  </si>
  <si>
    <t>Jednorazový vplyv</t>
  </si>
  <si>
    <r>
      <t>*</t>
    </r>
    <r>
      <rPr>
        <sz val="10"/>
        <color theme="1"/>
        <rFont val="Arial Narrow"/>
        <family val="2"/>
        <charset val="238"/>
      </rPr>
      <t xml:space="preserve"> 2018 – priebežný monitoring plnenia RVS 2018</t>
    </r>
  </si>
  <si>
    <t>Makroekonomické predpoklady návrhu rozpočtu</t>
  </si>
  <si>
    <t>Aktuálny vývoj verejných financií</t>
  </si>
  <si>
    <t>Prognóza hrubého dlhu verejnej správy</t>
  </si>
  <si>
    <t>Saldo verejnej správy v scenári nezmenených politík a opis rozpočtových opatrení</t>
  </si>
  <si>
    <t>Prílohy</t>
  </si>
  <si>
    <t>Popis</t>
  </si>
  <si>
    <t/>
  </si>
  <si>
    <t>Zvýšenie odplaty za poskytovanie služieb - EOSA</t>
  </si>
  <si>
    <t>Zrušenie daňovej licencie</t>
  </si>
  <si>
    <t>Zvýšenie odpočtu výdavkov na vedu a výskum</t>
  </si>
  <si>
    <t>Domáce pálenie</t>
  </si>
  <si>
    <t>Diskrečné opatrenia – medziročné vplyvy opatrení (mil. eur, ESA2010)</t>
  </si>
  <si>
    <t>Graf 1 + 2 - Štrukturálne saldo + Hrubý dlh VS</t>
  </si>
  <si>
    <t>Graf 3 + 4 - Príspevky k rastu HDP</t>
  </si>
  <si>
    <t>Graf 19 - Hrubý dlh verejnej správy</t>
  </si>
  <si>
    <t>Graf 20 - Príspevky k zmene hrubého dlhu</t>
  </si>
  <si>
    <t xml:space="preserve">Graf 21 - Čistý dlh </t>
  </si>
  <si>
    <t xml:space="preserve">Diskrečné príjmové opatrenia </t>
  </si>
  <si>
    <t>Výpočet plnenia výdavkového pravidla</t>
  </si>
  <si>
    <t>Kompozitný PMI indikátor (vpravo)</t>
  </si>
  <si>
    <t>PMI priemysel (vpravo)</t>
  </si>
  <si>
    <t>PMI služby (vpravo)</t>
  </si>
  <si>
    <t>PMI hranica rastu/poklesu ekonomiky</t>
  </si>
  <si>
    <t>2010
Q1</t>
  </si>
  <si>
    <t>Q2</t>
  </si>
  <si>
    <t>Q3</t>
  </si>
  <si>
    <t>Q4</t>
  </si>
  <si>
    <t>2011
Q1</t>
  </si>
  <si>
    <t>2012
Q1</t>
  </si>
  <si>
    <t>2013
Q1</t>
  </si>
  <si>
    <t>2014
Q1</t>
  </si>
  <si>
    <t>2015
Q1</t>
  </si>
  <si>
    <t>2016
Q1</t>
  </si>
  <si>
    <t>2017
Q1</t>
  </si>
  <si>
    <t>2018
Q1</t>
  </si>
  <si>
    <t>2019
Q1</t>
  </si>
  <si>
    <t>Program Stability 2019-2022</t>
  </si>
  <si>
    <t>2022 NRVS</t>
  </si>
  <si>
    <t>2018 S</t>
  </si>
  <si>
    <t>Návrh rozpočtového plánu na rok 2020</t>
  </si>
  <si>
    <t xml:space="preserve"> - zmena záruk SR v EFSF</t>
  </si>
  <si>
    <t>2019*</t>
  </si>
  <si>
    <t>D.211</t>
  </si>
  <si>
    <t>D.214A</t>
  </si>
  <si>
    <t>D.2121</t>
  </si>
  <si>
    <t>D.29A</t>
  </si>
  <si>
    <t>D.51A</t>
  </si>
  <si>
    <t>111001</t>
  </si>
  <si>
    <t>111002</t>
  </si>
  <si>
    <t>D.51B</t>
  </si>
  <si>
    <t xml:space="preserve">D.51E </t>
  </si>
  <si>
    <t>D.611+D.613</t>
  </si>
  <si>
    <t>D.613</t>
  </si>
  <si>
    <t>P.11+P.12+P.131+D.</t>
  </si>
  <si>
    <t>P.11+P.12+P.131</t>
  </si>
  <si>
    <t>211</t>
  </si>
  <si>
    <t>240+250</t>
  </si>
  <si>
    <t>D.39+D.7R+D.9R</t>
  </si>
  <si>
    <t>341 euin</t>
  </si>
  <si>
    <t>D.7R</t>
  </si>
  <si>
    <t>D.9R</t>
  </si>
  <si>
    <t>D.1-7</t>
  </si>
  <si>
    <t>D.11</t>
  </si>
  <si>
    <t>D.12</t>
  </si>
  <si>
    <t>D.2+D.5</t>
  </si>
  <si>
    <t xml:space="preserve">D.3P </t>
  </si>
  <si>
    <t>eko 644 a fnc 042</t>
  </si>
  <si>
    <t>eko 644 a fnc 045</t>
  </si>
  <si>
    <t>eko 644 a fnc 0453</t>
  </si>
  <si>
    <t>eko 644 a fnc 0451</t>
  </si>
  <si>
    <t xml:space="preserve">ESA D.3P - </t>
  </si>
  <si>
    <t>D.4P</t>
  </si>
  <si>
    <t>D.42-45P</t>
  </si>
  <si>
    <t>D.6P</t>
  </si>
  <si>
    <t>D.62P</t>
  </si>
  <si>
    <t>642032</t>
  </si>
  <si>
    <t>642015</t>
  </si>
  <si>
    <t>642016+20</t>
  </si>
  <si>
    <t>642033</t>
  </si>
  <si>
    <t>642018-42</t>
  </si>
  <si>
    <t>642019</t>
  </si>
  <si>
    <t>642022</t>
  </si>
  <si>
    <t>642041</t>
  </si>
  <si>
    <t>642026</t>
  </si>
  <si>
    <t>642027</t>
  </si>
  <si>
    <t>642031</t>
  </si>
  <si>
    <t>642031 MPSVRSR</t>
  </si>
  <si>
    <t>642031 MZSR</t>
  </si>
  <si>
    <t>D.632P</t>
  </si>
  <si>
    <t>D.7P</t>
  </si>
  <si>
    <t>649005</t>
  </si>
  <si>
    <t>dane ifp</t>
  </si>
  <si>
    <t>P.5L+D.9P</t>
  </si>
  <si>
    <t>P.5M</t>
  </si>
  <si>
    <t>NP</t>
  </si>
  <si>
    <t>Vyššie kompenzácie zamestnancov (D.1P)</t>
  </si>
  <si>
    <t>OS DBP</t>
  </si>
  <si>
    <t>OS DBP - R</t>
  </si>
  <si>
    <t>Nižšie daňové príjmy (D.2+D.5+D.91)</t>
  </si>
  <si>
    <t>Vyššie dotácie (D.3P)</t>
  </si>
  <si>
    <t>Vyššie úrokové náklady (D.41P)</t>
  </si>
  <si>
    <t>Vyššie nedaňové príjmy (P.11+P.12+P.131+D.4)</t>
  </si>
  <si>
    <t>Príjmy</t>
  </si>
  <si>
    <t>Výdavky</t>
  </si>
  <si>
    <t>Vyššie výdavky na sociálne dávky (D.62P)</t>
  </si>
  <si>
    <t>Nešpecifikované výdavkové opatrenia</t>
  </si>
  <si>
    <r>
      <t>*</t>
    </r>
    <r>
      <rPr>
        <sz val="10"/>
        <color theme="1"/>
        <rFont val="Arial Narrow"/>
        <family val="2"/>
        <charset val="238"/>
      </rPr>
      <t xml:space="preserve"> 2019 – priebežný monitoring plnenia RVS 2019</t>
    </r>
  </si>
  <si>
    <t>D. Zmena hrubého dlhu oproti Programu stability SR 2019 - 2022 (p.b.)</t>
  </si>
  <si>
    <t>Zmena hrubého dlhu oproti Programu stability</t>
  </si>
  <si>
    <t>Prostriedky použité na krytie dlhu - Program stability SR 2019 - 2022</t>
  </si>
  <si>
    <t>Prostriedky použité na krytie dlhu - Návrh rozpočtového plánu SR 2020</t>
  </si>
  <si>
    <t>p.m. príspevok do ESM</t>
  </si>
  <si>
    <t>NPC 2020</t>
  </si>
  <si>
    <t>NPC 2021</t>
  </si>
  <si>
    <t>NPC 2022</t>
  </si>
  <si>
    <t>pred</t>
  </si>
  <si>
    <t>po</t>
  </si>
  <si>
    <t>Zelená energia</t>
  </si>
  <si>
    <t>UMTS Licencie</t>
  </si>
  <si>
    <t>Revízia spolu</t>
  </si>
  <si>
    <t>Fond ochrany vkladov</t>
  </si>
  <si>
    <t>Národný jadrový fond</t>
  </si>
  <si>
    <t>Záv. z daní a soc. prísp.</t>
  </si>
  <si>
    <t>TAB X - Vývoj v roku 2019</t>
  </si>
  <si>
    <t>Vyššie odvody z trhu práce</t>
  </si>
  <si>
    <t>Úspora na odvode do EÚ rozpočtu</t>
  </si>
  <si>
    <t>Úspora na obsluhu štátneho dlhu</t>
  </si>
  <si>
    <t>Výpadok daňových príjmov</t>
  </si>
  <si>
    <t>Dofinancovanie zdravotníctva</t>
  </si>
  <si>
    <t xml:space="preserve">Výpadok viacerých nedaňových príjmov </t>
  </si>
  <si>
    <t>Vyššie výdavky sociálnej poisťovne</t>
  </si>
  <si>
    <t>Vyššie výdavky na spolufinancovanie EÚ fondov</t>
  </si>
  <si>
    <t>Ostatné vplyvy</t>
  </si>
  <si>
    <t xml:space="preserve">* Daňové ako aj odvodové príjmy sú oproti rozpočtu analyticky očistené o viaceré opatrenia, ktoré boli prijaté až po schválení rozpočtu </t>
  </si>
  <si>
    <t>Bez EU fondov</t>
  </si>
  <si>
    <t xml:space="preserve">Zmena nominálneho salda </t>
  </si>
  <si>
    <t>2019 OS</t>
  </si>
  <si>
    <t>Údaje sú zaokrúhľované na jedno (pri nominálnom salde na dve) desatinné miesto</t>
  </si>
  <si>
    <t>* Podľa odporúčaní rady pre Slovensko (Country Specific Recomendation) v roku 2019.</t>
  </si>
  <si>
    <t>** Hodnoty do roku 2018 sú zamrazené podľa jarnej prognózy 2019 v súlade s prístupom EK</t>
  </si>
  <si>
    <t>Dvojročná nezafixovaná odchýlka</t>
  </si>
  <si>
    <t>** Dodatočné nešpecifikované opatrenia na dosiahnutie cieleného schodku RVS v rokoch 2021 a 2022 sú rozdelené v pomere 1:1 na bežných výdavkoch a na diskrečných príjmových opatreniach.</t>
  </si>
  <si>
    <t xml:space="preserve">* Hodnoty do roku 2018 sú zamrazené v súlade s prístupom EK podľa jarnej prognózy 2019.                                                                        </t>
  </si>
  <si>
    <t>zásoby a štat. disk.</t>
  </si>
  <si>
    <t>Reálny rast HDP eurozóny (qoq, vľavo)</t>
  </si>
  <si>
    <t>2022F</t>
  </si>
  <si>
    <t>Prod. medzera (% pot. HDP)</t>
  </si>
  <si>
    <t>MFSR (Sept)</t>
  </si>
  <si>
    <t>MFSR (Jún)</t>
  </si>
  <si>
    <t>EK (Máj)</t>
  </si>
  <si>
    <t>OECD (Máj)</t>
  </si>
  <si>
    <t>MMF (Apríl)</t>
  </si>
  <si>
    <t>Znížená sadzba DPH na ďalšie potraviny</t>
  </si>
  <si>
    <t>Nová odpisová skupina pre elektromobily</t>
  </si>
  <si>
    <t>Zvýšenie odpočtu na vedu a výskum na 150 % od 2019 a 200 % od 2020</t>
  </si>
  <si>
    <t>Odpočet daňovej straty pre ostatné firmy max. do 50 % základu dane počas 5 rokov</t>
  </si>
  <si>
    <t>Znížená sadzba dane z príjmu pre SZČO a firmy na 15% pre obrat do 100 tis. eur</t>
  </si>
  <si>
    <t>Zvýšenie spotrebnej dane z tabakových výrobkov</t>
  </si>
  <si>
    <t>Zvýšenie nezdaniteľnej časti základu dane na 21-násobok životného minima</t>
  </si>
  <si>
    <t>Daňové a odvodové príjmy spolu</t>
  </si>
  <si>
    <t>13. a 14. plat - legislatívne zmeny</t>
  </si>
  <si>
    <t>SK (bez nešpecifických opatrení)</t>
  </si>
  <si>
    <t>SK - nominal values (bez špecifických opatrení)</t>
  </si>
  <si>
    <t>TABUĽKA 9 - Porovnanie bilancie výdavkov a príjmov a NPC v 2020 až 2022 (% HDP)</t>
  </si>
  <si>
    <t>Reálny rast agregátu výdavkov bez dodatočných opatrení</t>
  </si>
  <si>
    <t>Výdavkové pravidlo (referenčná miera)</t>
  </si>
  <si>
    <t>Reálny rast agregátu výdavkov</t>
  </si>
  <si>
    <t xml:space="preserve">Kompenzácie </t>
  </si>
  <si>
    <t>Celkové sociálne transfery, z toho:</t>
  </si>
  <si>
    <t>zvýšenie rodičovského príspevku</t>
  </si>
  <si>
    <t>navýšenie príspevku na opatrovanie ZŤP</t>
  </si>
  <si>
    <t>viazanie kapitálových výdavkov v obrane</t>
  </si>
  <si>
    <t>obce</t>
  </si>
  <si>
    <t xml:space="preserve">   spomalenie rastu dôchodkového veku (novela zákona o sociálnom poistení)</t>
  </si>
  <si>
    <t xml:space="preserve">   príspevok pre prvákov na ZŠ (novela zákona o prídavku na dieťa)</t>
  </si>
  <si>
    <t>zdvojnásobenie vianočného príspevku</t>
  </si>
  <si>
    <t>viazanie kapitálových výdavkov v doprave</t>
  </si>
  <si>
    <r>
      <t xml:space="preserve">Pozn.: </t>
    </r>
    <r>
      <rPr>
        <i/>
        <sz val="8"/>
        <color rgb="FF000000"/>
        <rFont val="Arial Narrow"/>
        <family val="2"/>
        <charset val="238"/>
      </rPr>
      <t>(+) zvýšenie príjmov a zníženie výdavkov</t>
    </r>
  </si>
  <si>
    <t>p.m. nešpecifikované opatrenia na dosiahnutie cieľov</t>
  </si>
  <si>
    <t>V3          (2017)</t>
  </si>
  <si>
    <t>EA 19        (2017)</t>
  </si>
  <si>
    <t>SK               (2017)</t>
  </si>
  <si>
    <t>NRVS SK               (2020)</t>
  </si>
  <si>
    <t>NRVS SK             (2021)</t>
  </si>
  <si>
    <t>NRVS SK            (2022)</t>
  </si>
  <si>
    <t>Celkové výdavky bez dodatočných opatrení*</t>
  </si>
  <si>
    <t>Pozn.: Metodika zaznamenávania výdavkov podľa funkčnej klasifikácie sa môže medzi jednotlivými krajinami líšiť. Toto môže spôsobiť, že v rámci rovnakej položky vystupujú v rôznych krajinách odlišné dáta (napr. zdaňované a nezdaňované dôchodky). Klasifikácia COFOG tiež nezohľadňuje výdavky realizované cez daňový systém (napr. daňové bonusy). CVVS – Celkové výdavky verejnej správy                                                                                                                                                                        Pozn 2.: Na dosiahnutie cieľov vyrovnaného rozpočtu v roku 2021 a 2022 bude potrebné prijať dodatočné opatrenia v objeme 770 (0,7 % HDP) resp. 1 246 mil. eur (1,1 % HDP). Dodatočné nešpecifikované opatrenia na dosiahnutie cieleného schodku RVS v rokoch 2021 a 2022 sú rozdelené v pomere 1:1 na bežných výdavkoch a na diskrečných príjmových opatreniach.</t>
  </si>
  <si>
    <t>2022</t>
  </si>
  <si>
    <t>Eurozóna 19</t>
  </si>
  <si>
    <t>SK (bez dodatočných opatrení)</t>
  </si>
  <si>
    <t>D632</t>
  </si>
  <si>
    <t>dofinancovanie zdravotníctva</t>
  </si>
  <si>
    <t>GRAF 3: Príspevky k rastu HDP - prognóza (p.b.)</t>
  </si>
  <si>
    <t>Súkromná spotreba</t>
  </si>
  <si>
    <t>Verejná spotreba</t>
  </si>
  <si>
    <t>Investície</t>
  </si>
  <si>
    <t>Čistý export</t>
  </si>
  <si>
    <t>Zásoby a štat. disk.</t>
  </si>
  <si>
    <t>Okrem VW + JLR</t>
  </si>
  <si>
    <t>Vplyv VW</t>
  </si>
  <si>
    <t>Vplyv JLR</t>
  </si>
  <si>
    <t>Graf 5</t>
  </si>
  <si>
    <t xml:space="preserve">GRAF 5: Príspevky k tvorbe reálneho HDP pred a po revízii </t>
  </si>
  <si>
    <t>GRAF 7: Príspevky k inflácii (p.b.)</t>
  </si>
  <si>
    <t>Graf 6</t>
  </si>
  <si>
    <t>GRAF 6: Príspevky odvetví k rastu zamestnanosti (p.b.)</t>
  </si>
  <si>
    <t>GRAF 9: Výnosy vládnych dlopisov</t>
  </si>
  <si>
    <t>Graf 9</t>
  </si>
  <si>
    <t>GRAF 8: PMI v eurozóne</t>
  </si>
  <si>
    <t>NBS (Sept)</t>
  </si>
  <si>
    <t>Prognóza MFSR (sept)</t>
  </si>
  <si>
    <t>2,3</t>
  </si>
  <si>
    <t>2,1</t>
  </si>
  <si>
    <t>Prognóza EK (jar)</t>
  </si>
  <si>
    <t>Produkčná medzera (% z pot, HDP)</t>
  </si>
  <si>
    <t>0,4</t>
  </si>
  <si>
    <t>0,8</t>
  </si>
  <si>
    <t>Zamestnanosť (ESA)</t>
  </si>
  <si>
    <t>2,4</t>
  </si>
  <si>
    <t>Prognóza EK (leto)</t>
  </si>
  <si>
    <t>Inflácia (HICP)</t>
  </si>
  <si>
    <t>5,0</t>
  </si>
  <si>
    <t>5,2</t>
  </si>
  <si>
    <t>Import tovarov a služieb</t>
  </si>
  <si>
    <t>5,5</t>
  </si>
  <si>
    <t>6,1</t>
  </si>
  <si>
    <t>Export tovarov a služieb</t>
  </si>
  <si>
    <t>2,8</t>
  </si>
  <si>
    <t>2,6</t>
  </si>
  <si>
    <t>Celkové investície</t>
  </si>
  <si>
    <t>2,5</t>
  </si>
  <si>
    <t>2,9</t>
  </si>
  <si>
    <t>3,2</t>
  </si>
  <si>
    <t>3,3</t>
  </si>
  <si>
    <t>3,6</t>
  </si>
  <si>
    <t>3,4</t>
  </si>
  <si>
    <t>3,8</t>
  </si>
  <si>
    <t>Reálne HDP</t>
  </si>
  <si>
    <r>
      <t> </t>
    </r>
    <r>
      <rPr>
        <b/>
        <sz val="9"/>
        <color theme="1"/>
        <rFont val="Arial Narrow"/>
        <family val="2"/>
        <charset val="238"/>
      </rPr>
      <t>Ukazovateľ (rast v % ak nie je uvedené inak)</t>
    </r>
  </si>
  <si>
    <t>2. Sankčné pásmo</t>
  </si>
  <si>
    <t>1. Sankčné pásmo</t>
  </si>
  <si>
    <t>Spomalenie produkcie</t>
  </si>
  <si>
    <t>Pokles úrokov</t>
  </si>
  <si>
    <t>Stagnácia dopytu</t>
  </si>
  <si>
    <t>Základný scenár</t>
  </si>
  <si>
    <t>Dlh VS (% HDP)</t>
  </si>
  <si>
    <t>Saldo VS (% HDP)</t>
  </si>
  <si>
    <t>Nominálne mzdy</t>
  </si>
  <si>
    <t>Zamestnanosť</t>
  </si>
  <si>
    <t>Reálny export</t>
  </si>
  <si>
    <t>Reálne investície</t>
  </si>
  <si>
    <t>Vládna spotreba</t>
  </si>
  <si>
    <t>Produkčná medzera</t>
  </si>
  <si>
    <t>Spotrebné ceny</t>
  </si>
  <si>
    <t xml:space="preserve">   </t>
  </si>
  <si>
    <t>Kumulatívna zmena rastu jednotlivých premenných oproti základnému scenáru je v p.b. Celkové saldo VS sa uvádza ako zmena v danom roku, hrubý dlh VS sa uvádza ako kumulatívna zmena.</t>
  </si>
  <si>
    <t>Daň z pridanej hodnoty - zníženie sadzby na vybrané potraviny. Znížená sadzba DPH (10 %) na vybrané základné potraviny</t>
  </si>
  <si>
    <t>Otvorenie II. piliera - bežný vplyv</t>
  </si>
  <si>
    <t>Oslobodenie príjmu z obchodovania s cennými papiermi na regulovanom trhu po jednoročnom predbežnom období</t>
  </si>
  <si>
    <t>Zníženie sadzby DPPO na 21%</t>
  </si>
  <si>
    <t>Zvýšenie paušálnych výdavkov pre SZČO</t>
  </si>
  <si>
    <t>Zavedenie 13. a 14. platu (zavedenie od 2018, legislatívne zmeny od 2019)</t>
  </si>
  <si>
    <t>Oslobodenie rekreačných šekov od daní a odvodov</t>
  </si>
  <si>
    <t>Oslobodenie nepeňažného benefitu pre zamestnanca na ubytovanie</t>
  </si>
  <si>
    <t>Zdaňovanie dividend skrz 7% zrážkovú daň</t>
  </si>
  <si>
    <t>Súbor opatrení vedúci k zvýšeniu efektívnosti výberu DPH</t>
  </si>
  <si>
    <t>Znížená sadzba DPH na ubytovacie služby</t>
  </si>
  <si>
    <t>Identifikačná látka na pohonné hmoty + eKasa</t>
  </si>
  <si>
    <t>Zrušenie max. vymeriavacieho základu pre zdravotné poistenie</t>
  </si>
  <si>
    <t>Zvýšenie max. vymeriavacieho základu pre sociálne odvody</t>
  </si>
  <si>
    <t>Zavedenie OOP a následné zmeny (zmena uplatňovania OOP, zrušenie OOP pre zamestnávateľa, zavedenie OOP pre dôchodcov)</t>
  </si>
  <si>
    <t>Postupný rast odvodu do II. piliera (automaticky od 2017 o 0,25 p.b./rok)</t>
  </si>
  <si>
    <t>Neživotné poistenie – zavedenie odvodu a nahradenie spotrebnou daňou z poistného</t>
  </si>
  <si>
    <t>Zdvojnásobenie sadzby osobitného odvodu v regulovaných odvetviach, a následné zníženie (2019, 2021)</t>
  </si>
  <si>
    <t>Plánované zrušenie bankového odvodu</t>
  </si>
  <si>
    <t>Zavedenie licencií na hazardné hry a iné zmeny v zdaňovaní hazardných hier</t>
  </si>
  <si>
    <t>Zvýšenie hranice platenia preddavkov (z 2500 na 5000 eur)</t>
  </si>
  <si>
    <t>Odpočet daňovej straty pre ostatné firmy (max. do 50 % ZD počas 5 rokov)</t>
  </si>
  <si>
    <t>Ľubovoľná doba odpisov pre mikropodniky</t>
  </si>
  <si>
    <t>15 % sadzba DPPO pre firmy s obratom do 100 tis. Eur</t>
  </si>
  <si>
    <t>Znížená sadzba SZČO na 15% pre obrat do 100 tis. eur</t>
  </si>
  <si>
    <t>Zavedenie paušálu na nepeň.benefit pre zamestnanca na dopravu (100 eur mesačne)</t>
  </si>
  <si>
    <t>Ročné zúčtovanie sociálneho poistenia - posun na 2022</t>
  </si>
  <si>
    <t>Zavedenie dane z dividend</t>
  </si>
  <si>
    <t>Zvýšenie sadzby dane z tabakových výrobkov</t>
  </si>
  <si>
    <t>Zavedenie licencií na hazardné hry</t>
  </si>
  <si>
    <t>Zdvojnásobenie sadzby osobitného odvodu v reg. odvetviach a následné zníženie</t>
  </si>
  <si>
    <t>Zrušenie bankového odvodu</t>
  </si>
  <si>
    <t>Zvýšenie poplatku za správu (EOSA)</t>
  </si>
  <si>
    <t>Kúpeľníctvo (tech.zariadenia)</t>
  </si>
  <si>
    <t>Zmena superodpočtu pre vedu a výskum, zvýšenie od 2019 a 2020</t>
  </si>
  <si>
    <t>Postupné navyšovanie sadzby do II.piliera</t>
  </si>
  <si>
    <t>Odvod z poistného (zrušenie) + daň z poistenia (zavedenie)</t>
  </si>
  <si>
    <t>Zavedenie 13. a 14. platu (zavedenie od 2018, legislatívne zmeny od 2019, viacnasobne uplatnenie 13. platu na SO)</t>
  </si>
  <si>
    <t xml:space="preserve">Oslobodenie príjmov z predaja akcií a obchodných podielov </t>
  </si>
  <si>
    <t>Odvodová odpočitateľná položka (zavedenie, zmeny, zrušenie odvodovej odpočitateľnej položky pre zamestnávateľov, zavedenie odvodovej odpočitateľnej položky pre dôchodcov</t>
  </si>
  <si>
    <t>Ročné zúčtovanie sociálnych odvodov</t>
  </si>
  <si>
    <t>Zníženie limitu pre refundáciu DPH turistom</t>
  </si>
  <si>
    <t>Prechod bánk na nový účtovný štandard IFRS 9</t>
  </si>
  <si>
    <t>Oslobodenie nepeň. benefitu pre zamestnanca na ubytovanie (na 60eur a zvýšenie na 100 eur)</t>
  </si>
  <si>
    <t>Zvýšenie hranice platenia preddavkov z 2500 na 5000 eur</t>
  </si>
  <si>
    <t>Odpočet daňovej straty pre mikropodniky bez obmedzenia počas 5 rokov</t>
  </si>
  <si>
    <t>DPPO 15 % sadzba pre firmy s obratom do 100 tis. Eur</t>
  </si>
  <si>
    <t>Zavedenie športových poukazov</t>
  </si>
  <si>
    <t>Zrušenie koncesionárskych poplatkov pre dôchodcov a poberateľov DHN</t>
  </si>
  <si>
    <t>Zvýšenie SD z tabakových výrobkov od 2020</t>
  </si>
  <si>
    <t>SZČO na 15 % sadzba pre obrat do 100 tis. eur</t>
  </si>
  <si>
    <t>Znížená sadzba DPH na printové médiá (denníky)</t>
  </si>
  <si>
    <t>Príspevok za prevádzkovanie hazardných hier</t>
  </si>
  <si>
    <t>Stravovanie na školách zadarmo</t>
  </si>
  <si>
    <t>Zdvojnásobenie vianočných dôchodkov</t>
  </si>
  <si>
    <t>Zdvojnásobenie daňového bonusu pre rodičov detí do 6 rokov</t>
  </si>
  <si>
    <t>Výdavky z výnosu z osobitného odvodu pre obchodné reťazce </t>
  </si>
  <si>
    <t>Valorizácia miezd o 10 % v roku 2019 a o ďalších 10 % v roku 2020, resp. 2 % v roku 2021, vrátane rezerv súvisiacich s novou legislatívou v odmeňovaní (vplyv oproti nulovému rastu)</t>
  </si>
  <si>
    <t>Novela zákona o kompenzácii ZŤP – navýšenie PP na kompenzáciu ZŤP a PP na opatrovanie</t>
  </si>
  <si>
    <t>Novela zákona o sociálnom poistení – spomalenie rastu dôchodkového veku</t>
  </si>
  <si>
    <t>Zvýšenie rodičovského príspevku</t>
  </si>
  <si>
    <t>Príspevok pre prvákov na ZŠ (novela zákona o prídavku na dieťa)</t>
  </si>
  <si>
    <t>Dofinancovanie zdravotníctva, letné a jesenné kolo</t>
  </si>
  <si>
    <t>Zmena systému odmeňovania príslušníkov ozbrojených síl</t>
  </si>
  <si>
    <t>Spolu príjmové</t>
  </si>
  <si>
    <t>Spolu výdavkové</t>
  </si>
  <si>
    <t>Legislatívne opatrenia - oproti báze 2018</t>
  </si>
  <si>
    <t>Príjmové opatrenia</t>
  </si>
  <si>
    <t>Výdavkové opatrenia</t>
  </si>
  <si>
    <t>** D.29p+D.5p+D.7p+P.5M+NP</t>
  </si>
  <si>
    <t>2021***</t>
  </si>
  <si>
    <t>2022***</t>
  </si>
  <si>
    <t xml:space="preserve"> *** Technicky predpokladá aj s nešpecifikovanými opatreniami. </t>
  </si>
  <si>
    <t>GRAF 11–Hlavné zmeny v revízii národnych účtov</t>
  </si>
  <si>
    <t>GRAF 12 - Hrubý dlh VS pred a po revízii</t>
  </si>
  <si>
    <t>GRAF 13 - Rozdiely v aktuálnom odhade salda VS v roku 2019 oproti predpokladom rozpočtu (mil. eur)*</t>
  </si>
  <si>
    <t>GRAF 14 - Príspevky k zmene prognózy oproti rozpočtu VS na roky 2018 a 2019 (v mil. eur)</t>
  </si>
  <si>
    <t>GRAF 15 – Medziročná zmena príjmov a výdavkov ako % HDP  spolu a bez EU fondov (v p. b. HDP)</t>
  </si>
  <si>
    <t>Viazanie výdavkov ŠR v nadväznosti na zhoršený vývoj</t>
  </si>
  <si>
    <t>Viazanie výdavkov ŠR z titulu zrušenia odvodu z reťazcov</t>
  </si>
  <si>
    <t>Navýšenie transferu Environmentálneho fondu obciam</t>
  </si>
  <si>
    <t>Verejný sektor spolu</t>
  </si>
  <si>
    <t>Rozpočet centrálnej vlády</t>
  </si>
  <si>
    <t>S.13.11</t>
  </si>
  <si>
    <t>Samospráva</t>
  </si>
  <si>
    <t>S.13.13</t>
  </si>
  <si>
    <t>Fondy sociálneho zabezpečenia</t>
  </si>
  <si>
    <t>S.13.14</t>
  </si>
  <si>
    <t>Potrebné opatr. na dosiahnutie cieľa</t>
  </si>
  <si>
    <t>Verejný sektor bez dodatočných opatrení</t>
  </si>
  <si>
    <t>GRAF 16 - Nominálne saldá podľa subsektorov (v % HDP)</t>
  </si>
  <si>
    <t xml:space="preserve">TABUĽKA 2: Konsolidačné úsilie v metodike EK (ESA 2010, % HDP) </t>
  </si>
  <si>
    <t>GRAF 17: Zmena primárneho štrukturálneho salda oproti úrovni produkčnej medzery (% HDP)</t>
  </si>
  <si>
    <t>TABUĽKA 3 - Výpočet plnenia výdavkového pravidla (ESA 2010)</t>
  </si>
  <si>
    <t>GRAF 18 - Vývoj výdavkového agregátu oproti výdavkovému pravidlu (% nárast)</t>
  </si>
  <si>
    <t>Graf 22 - Využívanie likvidných zdrojov Štátnej pokladnice (% HDP)</t>
  </si>
  <si>
    <t>GRAF 24: Nominálne saldo VS v základnom a rizikových scenároch</t>
  </si>
  <si>
    <t>GRAF 25: Hrubý dlh VS v základnom a rizikových scenároch</t>
  </si>
  <si>
    <t>Tabuľka 4: Stagnácia zahraničného dopytu</t>
  </si>
  <si>
    <t>Tabuľka 5: Pokles úrokových sadzieb</t>
  </si>
  <si>
    <t>Tabuľka 6: Spomalenie domácej produkcie</t>
  </si>
  <si>
    <t>TABUĽKA 8: Príjmové opatrenia zahrnuté v návrhu rozpočtu verejnej správy (ESA 2010, porovnanie voči NPC)</t>
  </si>
  <si>
    <t>TABUĽKA 9: Výdavkové opatrenia zahrnuté v návrhu rozpočtu verejnej správy (ESA 2010, porovnanie voči NPC)</t>
  </si>
  <si>
    <t>TABUĽKA 10 - Úsporné opatrenia hodnoty za peniaze</t>
  </si>
  <si>
    <t>(výdavky VS)</t>
  </si>
  <si>
    <t>ESA 2010</t>
  </si>
  <si>
    <t>Potenciál</t>
  </si>
  <si>
    <t>Naturálne sociálne transfery</t>
  </si>
  <si>
    <t>D.632</t>
  </si>
  <si>
    <t>z toho:</t>
  </si>
  <si>
    <t>Lieky</t>
  </si>
  <si>
    <t xml:space="preserve">CT, MR a lab. vyšetrenia a iné </t>
  </si>
  <si>
    <t>Zdravotnícke pomôcky</t>
  </si>
  <si>
    <t>Úspora spolu</t>
  </si>
  <si>
    <t>TABUĽKA 11 - Výdavky VZP</t>
  </si>
  <si>
    <t>NPC na rok 2020</t>
  </si>
  <si>
    <t>Zmeny politík</t>
  </si>
  <si>
    <t>Úsporné opatrenia</t>
  </si>
  <si>
    <t>Návrh rozpočtu na rok 2020</t>
  </si>
  <si>
    <t>GRAF 26: Porovnanie vývoja príjmov VS (% HDP)</t>
  </si>
  <si>
    <t>GRAF 28 - Podiel daní na HDP (% HDP)</t>
  </si>
  <si>
    <t>GRAF 30: Porovnanie vývoja výdavkov VS (% HDP)</t>
  </si>
  <si>
    <t>GRAF 31: Porovnanie vývoja kapitálových výdavkov VS (% HDP)</t>
  </si>
  <si>
    <t>Graf 30</t>
  </si>
  <si>
    <t>Graf 31</t>
  </si>
  <si>
    <t>TABUĽKA 13: Prognóza vybraných indikátorov vývoja ekonomiky SR</t>
  </si>
  <si>
    <t>TABUĽKA 14: Porovnanie prognóz Európskej komisie a Ministerstva financií SR</t>
  </si>
  <si>
    <t>TABUĽKA 15 - Porovnanie s programom stability</t>
  </si>
  <si>
    <t>GRAF 32: Porovnanie štrukturálneho salda podľa Programu stability a Návrhu rozpočtového plánu</t>
  </si>
  <si>
    <t>GRAF 33: Príspevky faktorov k revízii štrukturálneho salda</t>
  </si>
  <si>
    <t>Iné vplyvy</t>
  </si>
  <si>
    <t>OO z reťazcov</t>
  </si>
  <si>
    <t>Ekasa a nanomarkery</t>
  </si>
  <si>
    <t xml:space="preserve">Ostatné </t>
  </si>
  <si>
    <t>Celkom</t>
  </si>
  <si>
    <t>vplyv makra</t>
  </si>
  <si>
    <t>vplyv EDS</t>
  </si>
  <si>
    <t>vplyv legislatívy</t>
  </si>
  <si>
    <t>jednorazové vplyvy</t>
  </si>
  <si>
    <t>iné vplvyvy</t>
  </si>
  <si>
    <t>celkom</t>
  </si>
  <si>
    <t>GRAF 27 - Porovnanie rastu daní a odvodov (medziročné rasty)</t>
  </si>
  <si>
    <t>TABUĽKA 17 - Priemerná prognóza členov Výboru* (okrem MF SR) a prognóza MF SR</t>
  </si>
  <si>
    <t> v %, ak nie je uvedené inak</t>
  </si>
  <si>
    <t>Výbor</t>
  </si>
  <si>
    <t>MFSR</t>
  </si>
  <si>
    <t>Hrubý domáci produkt; reálny rast</t>
  </si>
  <si>
    <t>Hrubý domáci produkt v bežných cenách; mld. eur</t>
  </si>
  <si>
    <t>Konečná spotreba domácností; reálny rast</t>
  </si>
  <si>
    <t>Konečná spotreba domácností; nominálny rast</t>
  </si>
  <si>
    <t>Priemerná mesačná mzda; reálny rast</t>
  </si>
  <si>
    <t>Priemerná mesačná mzda; nominálny rast</t>
  </si>
  <si>
    <t>Rast zamestnanosti (štat. výkazníctvo)</t>
  </si>
  <si>
    <t>Index spotrebiteľských cien; priemerný rast; CPI</t>
  </si>
  <si>
    <t>Bilancia bežného účtu; podiel na HDP</t>
  </si>
  <si>
    <t>* Výbor pre makroekonomické prognózy                                                                                                                                                                                                  Zdroj: Výbor pre makroekonomické prognózy</t>
  </si>
  <si>
    <t xml:space="preserve">Graf 5 - Príspevky k tvorbe reálneho HDP pred a po revízii </t>
  </si>
  <si>
    <t>Graf 6 + 7 - Príspevky odvetví k rastu zamestnanosti + Príspevky k inflácii</t>
  </si>
  <si>
    <t>Graf 8 + 9 - PMI v eurozóne + Výnosy vládnych dlhopisov</t>
  </si>
  <si>
    <t>GRAF 10: Vývoj produkčnej medzery (% pot. HDP) – porovnanie MFSR, NBS, EK, OECD, MMF</t>
  </si>
  <si>
    <t>Graf 10 + Tabuľka 1 - Vývoj produkčnej medzery + Produkčná medzera a príspevky faktorov k rastu potenciálneho produktu</t>
  </si>
  <si>
    <t>Obsah - Návrh rozpočtového plánu Slovenskej republiky na rok 2020</t>
  </si>
  <si>
    <t>Graf 11 + 12 - Hlavné zmeny v revízii národných účtov + Hrubý dlh VS pred a po revízii</t>
  </si>
  <si>
    <t>Graf 13 - Rozdiely v aktuálnom odhade salda VS v roku 2019 oproti predpokladom rozpočtu</t>
  </si>
  <si>
    <t>Graf 15 – Medziročná zmena príjmov a výdavkov ako % HDP  spolu a bez EU fondov</t>
  </si>
  <si>
    <t>Graf 16 - Nominálne saldá podľa subsektorov</t>
  </si>
  <si>
    <t>Tabuľka 2 - Konsolidačné úsilie</t>
  </si>
  <si>
    <t>Graf 17 - Zmena primárneho štrukturálneho salda oproti úrovni produkčnej medzery</t>
  </si>
  <si>
    <t>Tabuľka 3 + Graf 18 - Plnenie výdavkového pravidla + Vývoj výdavkového agregátu oproti výdavkovému pravidlu</t>
  </si>
  <si>
    <t>Graf 14 - Príspevky k zmene prognózy oproti rozpočtu VS na roky 2018 a 2019</t>
  </si>
  <si>
    <t>Hrubý dlh VS</t>
  </si>
  <si>
    <t>Hrubý dlh VS po revízii</t>
  </si>
  <si>
    <t>Dolné sankčné pásmo</t>
  </si>
  <si>
    <t>official</t>
  </si>
  <si>
    <t>median</t>
  </si>
  <si>
    <t>Graf 22 - Využívanie likvidných zdrojov Štátnej pokladnice</t>
  </si>
  <si>
    <t>Graf 23 - Stochastická prognóza dlhu</t>
  </si>
  <si>
    <t>Graf 24+25 -  Nominálne saldo VS a hrubý dlh v základnom a rizikových scenároch</t>
  </si>
  <si>
    <t>Tabuľka 4+5+6 - Stagnácia zahraničného dopytu + Pokles úrokových sadzieb + Spomalenie domácej produkcie</t>
  </si>
  <si>
    <t>Tabuľka 7 - Porovnanie bilancie výdavkov a príjmov a NPC v 2020 až 2022</t>
  </si>
  <si>
    <t>Tabuľka 8 + 9 - Opatrenia zahrnuté v návrhu rozpočtu verejnej správy</t>
  </si>
  <si>
    <t>Tabuľka 10 + 11 - Úsporné opatrenia hodnoty za peniaze + Výdavky VZP</t>
  </si>
  <si>
    <t>Graf 26 + 27 - Porovnanie vývoja príjmov VS + Porovnanie rastu daní a odvodov VS</t>
  </si>
  <si>
    <t>Graf 28 - Podiel daní na HDP</t>
  </si>
  <si>
    <t>Graf 29 - Daňová medzera na DPH</t>
  </si>
  <si>
    <t>Graf 30 + 31 - Vývoj výdavkov VS + Vývoj kapitálových výdavkov VS</t>
  </si>
  <si>
    <t>TABUĽKA 12: Výdavky verejnej správy podľa klasifikácie COFOG</t>
  </si>
  <si>
    <t>Tabuľka 12 - Výdavky verejnej správy podľa klasifikácie COFOG</t>
  </si>
  <si>
    <t>Porovnanie s Programom stability a prognózou Európskej komisie</t>
  </si>
  <si>
    <t>Graf 32 + 33 - Porovnanie štrukturálneho salda + Príspevky faktorov k revízii štrukturálneho salda</t>
  </si>
  <si>
    <t>Tabuľka 13 - Prognóza vybraných indikátorov vývoja ekonomiky SR</t>
  </si>
  <si>
    <t>Tabuľka  14 - Porovnanie prognóz Európskej komisie a Ministerstva financií SR</t>
  </si>
  <si>
    <t>Tabuľka 15 - Porovnanie rozpočtových cieľov s Programom stability</t>
  </si>
  <si>
    <t>Graf 34 - Porovnanie prognóz makroekonomických základní4 pre rozpočtové príjmy s členmi výboru</t>
  </si>
  <si>
    <t>Tabuľka 17 - Priemerná prognóza členov Výboru a prognóza MF SR</t>
  </si>
  <si>
    <t xml:space="preserve">Tabuľka 19 - Saldo VS </t>
  </si>
  <si>
    <t>Tabuľka 20 - Hotovostné vplyvy na zmenu nominálneho hrubého dlhu</t>
  </si>
  <si>
    <t xml:space="preserve">Tabuľka 23 - Zoznam opatrení </t>
  </si>
  <si>
    <t>GRAF 34: Porovnanie prognóz makroekonomických základní pre rozpočtové príjmy s členmi výboru</t>
  </si>
  <si>
    <t>Graf 34</t>
  </si>
  <si>
    <t>TABUĽKA 20 - Hotovostné vplyv na zmenu nominálneho hrubého dlhu verejnej správy (v mil. eur)</t>
  </si>
  <si>
    <t>Graf 24</t>
  </si>
  <si>
    <t>Graf 25</t>
  </si>
  <si>
    <t>Headline balance - Final</t>
  </si>
  <si>
    <t>Expected headline balance</t>
  </si>
  <si>
    <t>Others</t>
  </si>
  <si>
    <t>Higher Social Security contributions</t>
  </si>
  <si>
    <t>Higher expenditures of Soc. Insurence Agency</t>
  </si>
  <si>
    <t>Higher expenditure on EU co-financing</t>
  </si>
  <si>
    <t>Increase in the transfer of the Environmental Fund to municipalities</t>
  </si>
  <si>
    <t>Binding of state budget expenditures due to cancellation of special levy from retail chains</t>
  </si>
  <si>
    <t xml:space="preserve">Lower transfer to the EU budget </t>
  </si>
  <si>
    <t>Savings on state debt service</t>
  </si>
  <si>
    <t>Lower tax revenues</t>
  </si>
  <si>
    <t>Higher financing of health care</t>
  </si>
  <si>
    <t>Lower non-tax revenues</t>
  </si>
  <si>
    <t>Binding of state budget expenditures due to worsened development</t>
  </si>
  <si>
    <t>Input data</t>
  </si>
  <si>
    <t>Figure 1</t>
  </si>
  <si>
    <t>Structural balance</t>
  </si>
  <si>
    <t>Consolidation effort</t>
  </si>
  <si>
    <t>Figure 2</t>
  </si>
  <si>
    <t>Gross debt</t>
  </si>
  <si>
    <t>Gross debt (net of  EFSF and ESM)</t>
  </si>
  <si>
    <t>EFSF and ESM</t>
  </si>
  <si>
    <t>Net Debt</t>
  </si>
  <si>
    <t>Debt limits</t>
  </si>
  <si>
    <t>Nominal balance</t>
  </si>
  <si>
    <t>Debt of other general government entities</t>
  </si>
  <si>
    <t>Sovereign debt (net of international commitments)</t>
  </si>
  <si>
    <t>Debt limit</t>
  </si>
  <si>
    <t xml:space="preserve">Budget balance requirement </t>
  </si>
  <si>
    <t>Expenditure freezing</t>
  </si>
  <si>
    <t>Letter of the MF minister</t>
  </si>
  <si>
    <t>Impact of revision total</t>
  </si>
  <si>
    <t>UMTS Licenses</t>
  </si>
  <si>
    <t>Green energy</t>
  </si>
  <si>
    <t>National Nuclear Fund</t>
  </si>
  <si>
    <t>Deposit protection Fund</t>
  </si>
  <si>
    <t>Tax and social security liabilities</t>
  </si>
  <si>
    <t>First sanction line of debt brake</t>
  </si>
  <si>
    <t>Gross debt after revision</t>
  </si>
  <si>
    <t>Figure 1: Structural balance (% GDP)</t>
  </si>
  <si>
    <t>Figure 3</t>
  </si>
  <si>
    <t>Figure 4</t>
  </si>
  <si>
    <t>GDP</t>
  </si>
  <si>
    <t>private consumption</t>
  </si>
  <si>
    <t>public consumption</t>
  </si>
  <si>
    <t>investment</t>
  </si>
  <si>
    <t>net export</t>
  </si>
  <si>
    <t>inventories and stat. disc.</t>
  </si>
  <si>
    <t>Impact of JLR</t>
  </si>
  <si>
    <t>Impact of vW</t>
  </si>
  <si>
    <t>Without VW + JLR</t>
  </si>
  <si>
    <t>GRAF 3: Contributions to the GDP growth - forecast (p.p.)</t>
  </si>
  <si>
    <t>GRAF 4: Contributions to the GDP growth - forecast (p.p.)</t>
  </si>
  <si>
    <t>before</t>
  </si>
  <si>
    <t>after</t>
  </si>
  <si>
    <t>Figure 5</t>
  </si>
  <si>
    <t>Figure 5: Contribution to the real GDP before and after the revision</t>
  </si>
  <si>
    <t>Headline inflation</t>
  </si>
  <si>
    <t>Net inflation</t>
  </si>
  <si>
    <t>Food prices</t>
  </si>
  <si>
    <t>Regulated prices</t>
  </si>
  <si>
    <t>Change in indirect taxes</t>
  </si>
  <si>
    <t>Figure 7</t>
  </si>
  <si>
    <t>Figure 6</t>
  </si>
  <si>
    <t>Employment</t>
  </si>
  <si>
    <t>Public administration</t>
  </si>
  <si>
    <t>Market services</t>
  </si>
  <si>
    <t>Industry</t>
  </si>
  <si>
    <t>Construction</t>
  </si>
  <si>
    <t>Agriculture</t>
  </si>
  <si>
    <t>Figure 6: Contributions of sectors to employment growth (p.p.)</t>
  </si>
  <si>
    <t>Figure 7: Contributions to inflation (p.p.)</t>
  </si>
  <si>
    <t>Germany</t>
  </si>
  <si>
    <t>Italy</t>
  </si>
  <si>
    <t>Slovakia</t>
  </si>
  <si>
    <t>Czechia</t>
  </si>
  <si>
    <t>Poland</t>
  </si>
  <si>
    <t>Figure 8: PMI in eurozone</t>
  </si>
  <si>
    <t>Figure 9: Government bond yields</t>
  </si>
  <si>
    <t>Real growth of EA</t>
  </si>
  <si>
    <t>PMI industry (right)</t>
  </si>
  <si>
    <t>PMI (right)</t>
  </si>
  <si>
    <t>PMI services (right)</t>
  </si>
  <si>
    <t xml:space="preserve">PMI border of growth/decline </t>
  </si>
  <si>
    <t>TABLE 1: Output gap and factor contributions to potential growth - MoF approach</t>
  </si>
  <si>
    <t>Output gap
(% pot. GDP)</t>
  </si>
  <si>
    <t>Pot. GDP (growth, %)</t>
  </si>
  <si>
    <t>Capital stock</t>
  </si>
  <si>
    <t>Labor</t>
  </si>
  <si>
    <t>MoF SR (Sept)</t>
  </si>
  <si>
    <t>MoF SR (June)</t>
  </si>
  <si>
    <t>EC (May)</t>
  </si>
  <si>
    <t>OECD (May)</t>
  </si>
  <si>
    <t>IMF (April)</t>
  </si>
  <si>
    <t>Figure 10</t>
  </si>
  <si>
    <t xml:space="preserve">Graf 10 </t>
  </si>
  <si>
    <t>NB SR (Sept)</t>
  </si>
  <si>
    <t xml:space="preserve">Figure 10: Output gap (% pot. GDP) – EC, MoF, NB, OECD and IMF </t>
  </si>
  <si>
    <t>Figure 11 - Changes in revision of national accounts</t>
  </si>
  <si>
    <t>Graf 11</t>
  </si>
  <si>
    <t>Figure 11</t>
  </si>
  <si>
    <t>Figure 12 - Gross debt before and after revision</t>
  </si>
  <si>
    <t>Graf 12</t>
  </si>
  <si>
    <t>Figure 12</t>
  </si>
  <si>
    <t>Figure 13 - Analytical breakdown of headline balance development in 2019, contributions in mil. eur</t>
  </si>
  <si>
    <t>Figure 14 - Contributions to change of tax forecast against budget (mil. eur)</t>
  </si>
  <si>
    <t>Macroeconomic development</t>
  </si>
  <si>
    <t>ETR</t>
  </si>
  <si>
    <t>Legislation</t>
  </si>
  <si>
    <t>One-offs</t>
  </si>
  <si>
    <t xml:space="preserve">Total </t>
  </si>
  <si>
    <t>VAT</t>
  </si>
  <si>
    <t>CIT</t>
  </si>
  <si>
    <t>PIT</t>
  </si>
  <si>
    <t>Special levy on retail chains</t>
  </si>
  <si>
    <t>Graf 14</t>
  </si>
  <si>
    <t>Figure 14</t>
  </si>
  <si>
    <t>Total tax revenues</t>
  </si>
  <si>
    <t>SIC</t>
  </si>
  <si>
    <t>HIS</t>
  </si>
  <si>
    <t>Electronic cash register</t>
  </si>
  <si>
    <t>Excise duties</t>
  </si>
  <si>
    <t>Revenues</t>
  </si>
  <si>
    <t>Expenditures</t>
  </si>
  <si>
    <t>Change of nominal balance</t>
  </si>
  <si>
    <t>Total</t>
  </si>
  <si>
    <t>Without EU funds</t>
  </si>
  <si>
    <t>Figure 15 - Year of year change of revenues and expenditures (in p. p. GDP)</t>
  </si>
  <si>
    <t>Graf 15</t>
  </si>
  <si>
    <t>S.13 without additional measures</t>
  </si>
  <si>
    <t>Measures to obtain the target</t>
  </si>
  <si>
    <t>Figure 18 - Nominal balance according subsectors (% GDP)</t>
  </si>
  <si>
    <t>Vstupné údaje</t>
  </si>
  <si>
    <t>2016 F</t>
  </si>
  <si>
    <t>2017 F</t>
  </si>
  <si>
    <t>2019 E</t>
  </si>
  <si>
    <t>2020 E</t>
  </si>
  <si>
    <t>2021 E</t>
  </si>
  <si>
    <t>Net lending/borrowing</t>
  </si>
  <si>
    <t>Cyklical component</t>
  </si>
  <si>
    <t>One-off effects</t>
  </si>
  <si>
    <t>Structural balance (1-2-3)</t>
  </si>
  <si>
    <t xml:space="preserve">Consolidation effort </t>
  </si>
  <si>
    <t>Required consolidation effort</t>
  </si>
  <si>
    <t>Deviation over one-year horizon</t>
  </si>
  <si>
    <t>Deviation over two-year horizon</t>
  </si>
  <si>
    <t xml:space="preserve">TABLE 2: Consolidation effort in EC methodology (ESA 2010, % GDP) </t>
  </si>
  <si>
    <t>2022 E</t>
  </si>
  <si>
    <t>2018 F</t>
  </si>
  <si>
    <t>Inputs</t>
  </si>
  <si>
    <t>Figure 17: Change in primary structural balance vs output gap level (GDP %)</t>
  </si>
  <si>
    <t>Total expenditure</t>
  </si>
  <si>
    <t>Primary expenditure aggregate</t>
  </si>
  <si>
    <t>Change of revenues due to discretionary revenue measures</t>
  </si>
  <si>
    <t>Nominal growth of expenditure aggregate net of revenue measures</t>
  </si>
  <si>
    <t>Real growth of expenditure aggregate net of revenue measures</t>
  </si>
  <si>
    <t>Expenditure benchmark (reference rate decreased by pot. GDP growth)</t>
  </si>
  <si>
    <t>Deviation from expenditure benchmark</t>
  </si>
  <si>
    <t>One-year deviation from expenditure benchmark*</t>
  </si>
  <si>
    <t>Two-year deviation from expenditure benchmark*</t>
  </si>
  <si>
    <t>1.   Total expenditure</t>
  </si>
  <si>
    <t>2.   Interest expense</t>
  </si>
  <si>
    <t>3.   Expenditure covered by EU (capital)</t>
  </si>
  <si>
    <t>3a. Expenditure covered by EU funds (total)</t>
  </si>
  <si>
    <t>4.   Capital expenditures covered by national funds</t>
  </si>
  <si>
    <t>5.   Smoothed capital expenditures (national funds 4-year moving average)</t>
  </si>
  <si>
    <t>6.   Cyclical expenditures for unemployment benefits</t>
  </si>
  <si>
    <t xml:space="preserve">7.   Expenditures fully matched with automatic rise of revenues </t>
  </si>
  <si>
    <t>8.   Primary expenditure aggregate (1-2-3a-4+5-6-7)</t>
  </si>
  <si>
    <t>9.  Year-on-year change in primary expenditure aggregate (8t-8t-1)</t>
  </si>
  <si>
    <t>10. Change of revenues due to discretionary revenue measures</t>
  </si>
  <si>
    <t>11. One-offs - revenue</t>
  </si>
  <si>
    <t>12. One-offs - expenditure</t>
  </si>
  <si>
    <t>13. Adjustments</t>
  </si>
  <si>
    <t>14. Nominal growth of expenditure aggregate net of revenue measures ((9t-10t)/8t-1)</t>
  </si>
  <si>
    <t>15. Real growth of expenditure aggregate net of revenue measures</t>
  </si>
  <si>
    <t>16. Expenditure benchmark (reference rate decreased by pot. GDP growth)</t>
  </si>
  <si>
    <t>17. Deviation from expenditure benchmark (16-15)</t>
  </si>
  <si>
    <t>One-year deviation from expenditure benchmark</t>
  </si>
  <si>
    <t>Two-year deviation from expenditure benchmark</t>
  </si>
  <si>
    <t xml:space="preserve">p. m. GDP deflator </t>
  </si>
  <si>
    <t>Deviation limit on 1-year horizon</t>
  </si>
  <si>
    <t>Deviation limit on 2-year horizon</t>
  </si>
  <si>
    <t>Nominal GDP</t>
  </si>
  <si>
    <t>Real growth of expenditure aggregate without additional measures</t>
  </si>
  <si>
    <t>Expenditure benchmark</t>
  </si>
  <si>
    <t>Real growth of expenditure aggregate</t>
  </si>
  <si>
    <t>Figure 19 - General government gross debt (% GDP)</t>
  </si>
  <si>
    <t>Change in gross debt of general government</t>
  </si>
  <si>
    <t>Contributions to change in general government gross debt:</t>
  </si>
  <si>
    <t>Primary balance</t>
  </si>
  <si>
    <t>Interest expense</t>
  </si>
  <si>
    <t>Growth of nominal GDP</t>
  </si>
  <si>
    <t>Stock - flow adjustment</t>
  </si>
  <si>
    <t>Real GDP growth</t>
  </si>
  <si>
    <t xml:space="preserve">GDP deflator </t>
  </si>
  <si>
    <t>Figure 20: Contributions of factors to gross debt change (% of GDP)</t>
  </si>
  <si>
    <t>Net debt</t>
  </si>
  <si>
    <t>Liquid assets of GG</t>
  </si>
  <si>
    <t>Figure 21: Net debt (% GDP)</t>
  </si>
  <si>
    <t xml:space="preserve">Figure 22 - Use of State Treasury liquid resources (% GDP) </t>
  </si>
  <si>
    <t>Liquidity used to cover debt - SP SR 2019-2022</t>
  </si>
  <si>
    <t>Liquidity used to cover debt - DBP SR 2020</t>
  </si>
  <si>
    <t>Change in gross debt compared to the Stability Program</t>
  </si>
  <si>
    <t>GRAF 23 - Stochastická prognóza dlhu (% HDP)</t>
  </si>
  <si>
    <t>Figure 23 - Stochastic debt forecast (% GDP)</t>
  </si>
  <si>
    <t>Figure 24</t>
  </si>
  <si>
    <t>Figure 25</t>
  </si>
  <si>
    <t>Baseline</t>
  </si>
  <si>
    <t>Stagnation of demand</t>
  </si>
  <si>
    <t>Drop in interest</t>
  </si>
  <si>
    <t>Production slowdown</t>
  </si>
  <si>
    <t>First treshold of debt brake</t>
  </si>
  <si>
    <t>Second treshold of debt brake</t>
  </si>
  <si>
    <t>Figure 25: Gross debt in baseline and risk scenarios</t>
  </si>
  <si>
    <t xml:space="preserve">Figure 24: Nominal balance in baseline and risk scenarios </t>
  </si>
  <si>
    <t>Table 5: Drop in interest rate</t>
  </si>
  <si>
    <t>Table 6: Slowdown of domestic production</t>
  </si>
  <si>
    <t>Table 4: Stagntion of foreign demand</t>
  </si>
  <si>
    <t>The cumulative change in the growth of individual variables compared to the baseline scenario is in p.b. The total balance of GG is presented as a change in the given year, the gross debt of GG is presented as a cumulative change.</t>
  </si>
  <si>
    <t>Real GDP</t>
  </si>
  <si>
    <t>Output gap</t>
  </si>
  <si>
    <t>Government consumption</t>
  </si>
  <si>
    <t>Personal consumption</t>
  </si>
  <si>
    <t>Real export</t>
  </si>
  <si>
    <t>Nominal wages</t>
  </si>
  <si>
    <t>Consumer prices</t>
  </si>
  <si>
    <t>GG balance (% GDP)</t>
  </si>
  <si>
    <t>GG debt (% GDP)</t>
  </si>
  <si>
    <t>TABLE 9 - Comparison of Expenditure and Revenue Balance and NPC in 2019 to 2021 (% of GDP)</t>
  </si>
  <si>
    <t>Total revenue</t>
  </si>
  <si>
    <t>Taxes on production and imports</t>
  </si>
  <si>
    <t>Current taxes on income, wealth</t>
  </si>
  <si>
    <t>Capital taxes</t>
  </si>
  <si>
    <t>Social security contributions</t>
  </si>
  <si>
    <t>Property income</t>
  </si>
  <si>
    <t>Other*</t>
  </si>
  <si>
    <t>Compensations for employees</t>
  </si>
  <si>
    <t>Intermediate consumption</t>
  </si>
  <si>
    <t>Subsidies</t>
  </si>
  <si>
    <t>Interest cost</t>
  </si>
  <si>
    <t>Total social transfers</t>
  </si>
  <si>
    <t>thereof: Unemployment benefits</t>
  </si>
  <si>
    <t>Gross fixed capital generation</t>
  </si>
  <si>
    <t>Capital transfers</t>
  </si>
  <si>
    <t>Other**</t>
  </si>
  <si>
    <t>General Government Balance</t>
  </si>
  <si>
    <t>Unspecified revenue measures</t>
  </si>
  <si>
    <t>Unspecified expenditure measures</t>
  </si>
  <si>
    <t>NPC in 2020</t>
  </si>
  <si>
    <t>Changes in policy</t>
  </si>
  <si>
    <t>Austerity measures</t>
  </si>
  <si>
    <t>Budget proposal 2020</t>
  </si>
  <si>
    <t>Table 11 - Expenditure of Public Health Insurance</t>
  </si>
  <si>
    <t>Compensation of employees</t>
  </si>
  <si>
    <t>of this:</t>
  </si>
  <si>
    <t>Drugs</t>
  </si>
  <si>
    <t>Medical devices</t>
  </si>
  <si>
    <t>Social transfers in kind</t>
  </si>
  <si>
    <t>GG expenditure</t>
  </si>
  <si>
    <t>Total savings</t>
  </si>
  <si>
    <t>Graf 26</t>
  </si>
  <si>
    <t>Graf 27</t>
  </si>
  <si>
    <t>Impact of macro</t>
  </si>
  <si>
    <t>Impact of legislation</t>
  </si>
  <si>
    <t>Impact of ETR</t>
  </si>
  <si>
    <t>SK - nominal values (without specific measures)</t>
  </si>
  <si>
    <t>Average of Eurozone</t>
  </si>
  <si>
    <t xml:space="preserve">Average of EU </t>
  </si>
  <si>
    <t>V4 without SK</t>
  </si>
  <si>
    <t>Figure 26: Comparison of revenues ( % GDP)</t>
  </si>
  <si>
    <t xml:space="preserve">Figure </t>
  </si>
  <si>
    <t>Figure 27</t>
  </si>
  <si>
    <t>Figure 27 - Comparison of tax and contributions (y-o-y growth)</t>
  </si>
  <si>
    <t>Graf 28</t>
  </si>
  <si>
    <t>Figure 28</t>
  </si>
  <si>
    <t>Excesive duties</t>
  </si>
  <si>
    <t>HIC</t>
  </si>
  <si>
    <t>Figure 28 - Tax revenues to GDP (% HDP)</t>
  </si>
  <si>
    <t>VAT gap (according to MF SR)</t>
  </si>
  <si>
    <t>VAT gap (acoording to EC)</t>
  </si>
  <si>
    <t>Figure 31</t>
  </si>
  <si>
    <t>Figure 31 - VAT gap (% of potential revenue)</t>
  </si>
  <si>
    <t>Figure 30</t>
  </si>
  <si>
    <t>Eurozone 19</t>
  </si>
  <si>
    <t>Chart 30: Development of the general government expenditures (% GDP)</t>
  </si>
  <si>
    <t>SK (without additional measures)</t>
  </si>
  <si>
    <t>Chart 31: Development of the general government capital expenditures (% GDP)</t>
  </si>
  <si>
    <t>1. General public services</t>
  </si>
  <si>
    <t>2. Defence</t>
  </si>
  <si>
    <t>3. Public order and safety</t>
  </si>
  <si>
    <t>4. Economic area</t>
  </si>
  <si>
    <t>5. Environmental protection</t>
  </si>
  <si>
    <t>6. Housing and amenities</t>
  </si>
  <si>
    <t>7. Healthcare system</t>
  </si>
  <si>
    <t>8. Recreation, culture and religion</t>
  </si>
  <si>
    <t>9. Education</t>
  </si>
  <si>
    <t>10. Social security</t>
  </si>
  <si>
    <t>Total expenditure without additional measure</t>
  </si>
  <si>
    <t>p. m. unspecified measures</t>
  </si>
  <si>
    <t>Table 12: General government expenditure by COFOG classification</t>
  </si>
  <si>
    <t>No.</t>
  </si>
  <si>
    <t>Indicator</t>
  </si>
  <si>
    <t>Stability programme</t>
  </si>
  <si>
    <t>Draft budget</t>
  </si>
  <si>
    <t>unit</t>
  </si>
  <si>
    <t>GDP, current prices</t>
  </si>
  <si>
    <t>bn. eur</t>
  </si>
  <si>
    <t>GDP, constant prices</t>
  </si>
  <si>
    <t>Final consumption of households and NPISH</t>
  </si>
  <si>
    <t>Final consumption of general government</t>
  </si>
  <si>
    <t>Export of goods and services</t>
  </si>
  <si>
    <t>Import of goods and services</t>
  </si>
  <si>
    <t>Output gap (share of potential output)</t>
  </si>
  <si>
    <t>Average monthly wage (nominal growth)</t>
  </si>
  <si>
    <t>Average employment growth (LFS)</t>
  </si>
  <si>
    <t>Average employment growth (ESA 2010)</t>
  </si>
  <si>
    <t>Average unemployment rate (LFS)</t>
  </si>
  <si>
    <t>Average unemployment rate (registered)</t>
  </si>
  <si>
    <t>Harmonized index of consumer prices (HICP)</t>
  </si>
  <si>
    <t>Current account balance (share on GDP)</t>
  </si>
  <si>
    <t>Table 13: Forecast of selected economic indicators</t>
  </si>
  <si>
    <t>Source: MF SR</t>
  </si>
  <si>
    <t>Growth in %, unless otherwise stated</t>
  </si>
  <si>
    <t>Forecast EC (spring)</t>
  </si>
  <si>
    <t>Table 14: Comparison of forcasts - EC and MoF SR</t>
  </si>
  <si>
    <t>Forecast EC (summer)</t>
  </si>
  <si>
    <t>Forecast MoF (sept)</t>
  </si>
  <si>
    <t>Investment total</t>
  </si>
  <si>
    <t>Import of goods anservices</t>
  </si>
  <si>
    <t>HICP</t>
  </si>
  <si>
    <t>Employment (ESA)</t>
  </si>
  <si>
    <t>Output gap (% of potential GDP)</t>
  </si>
  <si>
    <t>ESA code</t>
  </si>
  <si>
    <t>% GDP</t>
  </si>
  <si>
    <t>Target balances of general government</t>
  </si>
  <si>
    <t>Stability Programme (1)</t>
  </si>
  <si>
    <t>Draft Budgetary Plan (2)</t>
  </si>
  <si>
    <t>Difference (2-1)</t>
  </si>
  <si>
    <t>TABLE 15 - Comparison with the Stability Programme</t>
  </si>
  <si>
    <t>2019 F</t>
  </si>
  <si>
    <t>Structural balance revision</t>
  </si>
  <si>
    <t>Cyclical component</t>
  </si>
  <si>
    <t>SB</t>
  </si>
  <si>
    <t>NB</t>
  </si>
  <si>
    <t>SP</t>
  </si>
  <si>
    <t>Difference</t>
  </si>
  <si>
    <t>Figure 32 - Comparison of structural balance under the Stability Programme and the Draft Budgetary Plan</t>
  </si>
  <si>
    <t>Figure 33 - Contributions of factors on the structural balance revision</t>
  </si>
  <si>
    <t>Draft Budget 2020</t>
  </si>
  <si>
    <t>Stability Programme 2019-2022</t>
  </si>
  <si>
    <t>MoF forecast</t>
  </si>
  <si>
    <t>MFC median</t>
  </si>
  <si>
    <t>Figure 34</t>
  </si>
  <si>
    <t>Figure 34: Comparison of forecasts of macroeconomic bases for tax revenues with MFC members</t>
  </si>
  <si>
    <t>% unless otherwise stated</t>
  </si>
  <si>
    <t>GDP, real growth</t>
  </si>
  <si>
    <t>Final consumption of households, real growth</t>
  </si>
  <si>
    <t>Average monthly wage, nominal growth</t>
  </si>
  <si>
    <t>Average monthly wage, real growth</t>
  </si>
  <si>
    <t>Employment growth</t>
  </si>
  <si>
    <t>CPI, average growth</t>
  </si>
  <si>
    <t>Mof SR</t>
  </si>
  <si>
    <t>MFC</t>
  </si>
  <si>
    <t>Table 17 - Average forecast of MFC members and forecast of MoF SR</t>
  </si>
  <si>
    <t>A. General government gross debt (as of 1 Jan)</t>
  </si>
  <si>
    <t>B. Total y/y change in the GG gross debt</t>
  </si>
  <si>
    <t>- Cash-based state budget deficit</t>
  </si>
  <si>
    <t>- State Treasury funds used for the financing of government operations</t>
  </si>
  <si>
    <t>- Slovakia's contributions to EFSF and ESM</t>
  </si>
  <si>
    <t>- Issue discount</t>
  </si>
  <si>
    <t>- Discount at maturity</t>
  </si>
  <si>
    <t>- Balance of loans to GG entities</t>
  </si>
  <si>
    <t>thereof: ŽSR + ŽSSK</t>
  </si>
  <si>
    <t>thereof: NDS</t>
  </si>
  <si>
    <t>thereof: Municipal public transportation companies</t>
  </si>
  <si>
    <t xml:space="preserve">thereof: Local government </t>
  </si>
  <si>
    <t xml:space="preserve"> - other</t>
  </si>
  <si>
    <t>C. General government gross debt (as of 31 Dec)</t>
  </si>
  <si>
    <t>in % of GDP</t>
  </si>
  <si>
    <t>D. Change of general government gross debt against Stability Programme (p.p.)</t>
  </si>
  <si>
    <t>thereof: GDP forecast revision</t>
  </si>
  <si>
    <t>thereof: Debt forecast revision</t>
  </si>
  <si>
    <t>2020E</t>
  </si>
  <si>
    <t>Note: Plus amounts increase the general government debt as at 31 December of the relevant year, minus amounts decrease the debt.</t>
  </si>
  <si>
    <t>Source: MoF</t>
  </si>
  <si>
    <t>Table 20: General Government Gross debt ( mil. eur)</t>
  </si>
  <si>
    <t>Subsector</t>
  </si>
  <si>
    <t>Taxes on production</t>
  </si>
  <si>
    <t>Income taxes</t>
  </si>
  <si>
    <t>Introduction of 13th and 14th salary</t>
  </si>
  <si>
    <t>Social contributions</t>
  </si>
  <si>
    <t>Non-tax revenues</t>
  </si>
  <si>
    <t>Grants and transfers</t>
  </si>
  <si>
    <t>Revenues total</t>
  </si>
  <si>
    <t>GG Expenditure</t>
  </si>
  <si>
    <t>Sector</t>
  </si>
  <si>
    <t>Compensation of which:</t>
  </si>
  <si>
    <t>Intermediate consumption, of which</t>
  </si>
  <si>
    <t>Other current transfers</t>
  </si>
  <si>
    <t>Capital expenditure, of which:</t>
  </si>
  <si>
    <t>Expenditure total</t>
  </si>
  <si>
    <t>TABLE 8 - Revenue measures included in the draft general government budget (ESA 2010, NPC comparison)</t>
  </si>
  <si>
    <t>TABLE 9 - Expenditure measures included in the draft general government budget (ESA 2010, NPC comparison)</t>
  </si>
  <si>
    <t>Total social transfers, of which</t>
  </si>
  <si>
    <t>binding of capital expenditure in defense</t>
  </si>
  <si>
    <t>binding of capital expenditure in transport</t>
  </si>
  <si>
    <t>municipalities</t>
  </si>
  <si>
    <t>Increase in excise duty on tobacco products</t>
  </si>
  <si>
    <t>Reduced VAT rate on other groceries</t>
  </si>
  <si>
    <t>Increase the non-taxable portion of the tax base to 21 times the subsistence minimum</t>
  </si>
  <si>
    <t>Reduced income tax rate for self-employed persons and companies to 15% for turnover up to 100 000 euro</t>
  </si>
  <si>
    <t>Increase in science and research deductions to 150% in 2019 and 200% in 2020 and onwards</t>
  </si>
  <si>
    <t>Deduction of tax loss for other companies max. up to 50% of the tax base for 5 years</t>
  </si>
  <si>
    <t>New depreciation group for electric vehicles</t>
  </si>
  <si>
    <t>increase in parental allowance</t>
  </si>
  <si>
    <t>doubling the Christmas contribution</t>
  </si>
  <si>
    <t>increase of the allowance for the care of disabled people</t>
  </si>
  <si>
    <t xml:space="preserve">allowance for first graders at primary school </t>
  </si>
  <si>
    <t>Increase finance of health care</t>
  </si>
  <si>
    <t>slowdown of retirement age growth</t>
  </si>
  <si>
    <t>Content - Draft budgetary plan of the Slovak Republic for 2019</t>
  </si>
  <si>
    <t>Summary</t>
  </si>
  <si>
    <t>Figure 1 + 2 - Structural balance + GG gross debt</t>
  </si>
  <si>
    <t>Macroeconomic assumptions underlying the draft budget</t>
  </si>
  <si>
    <t>No-policy change scenarion and specific budgetary measures</t>
  </si>
  <si>
    <t>Current development of public finances</t>
  </si>
  <si>
    <t>Budgetary objectives</t>
  </si>
  <si>
    <t>Appendix</t>
  </si>
  <si>
    <t>Discretionary revenue measures</t>
  </si>
  <si>
    <t>Gross debt forecast</t>
  </si>
  <si>
    <t>Figure 19 - General government gross debt</t>
  </si>
  <si>
    <t>Figure 20 - Contributions to debt change</t>
  </si>
  <si>
    <t>Figure 21 - Net debt</t>
  </si>
  <si>
    <t>Figure 10 + Table 1 - Output gap and factor contributions to potential growth + Output gap (% pot. GDP) – EC approach and MoF methodology</t>
  </si>
  <si>
    <t xml:space="preserve">Figure 3 + 4 - Contributions to GDP growth </t>
  </si>
  <si>
    <t>Figure 6 + 7 - Contributions of sectors to employment growth +  Contributions to inflation</t>
  </si>
  <si>
    <t>Table 23 - List of measures</t>
  </si>
  <si>
    <t>Graf 34 - Comparison of forecasts of macroeconomic bases for tax revenues with MFC members</t>
  </si>
  <si>
    <t>Table 17 - Average forecast of MFC member and forecast of MoF SR</t>
  </si>
  <si>
    <t>Table 19 - GG balance</t>
  </si>
  <si>
    <t>Figure 8 + 9 - PMI in eurozone + Government bond yields</t>
  </si>
  <si>
    <t>Figure 14 - Contributions to change of tax forecast against budget</t>
  </si>
  <si>
    <t>Figure 13 - Analytical breakdown of headline balance development in 2019</t>
  </si>
  <si>
    <t>Figure 11 + 12 - Changes in revision of national accounts + Gross debt before and after revision</t>
  </si>
  <si>
    <t>Table 8 + 9 -  Measures included in the draft general government budget</t>
  </si>
  <si>
    <t>Table 7 - Comparison of Expenditure and Revenue Balance and NPC</t>
  </si>
  <si>
    <t>Table 3 + Figure 18 - Expenditure benchmark</t>
  </si>
  <si>
    <t>Comparison with Stability program and European commision forecast</t>
  </si>
  <si>
    <t>Figure 32 + 33 - Comparison of structural balance + Contributions to change of structural balance</t>
  </si>
  <si>
    <t xml:space="preserve">Figure 24 + 25 -  Nominal balance and gross debt in baseline and risk scenarios </t>
  </si>
  <si>
    <t>Table 4 + 5 +6 - Stagnation of foreign demand + Drop in interest rate + Slowdown of domestic production</t>
  </si>
  <si>
    <t>TABLE 2: Consolidation effort in EC methodology</t>
  </si>
  <si>
    <t xml:space="preserve">Figure 29 - VAT gap (% of potential revenue) </t>
  </si>
  <si>
    <t>Figure 30 + 31 - Development of the general government expenditures  + Development of the general government capital expenditures</t>
  </si>
  <si>
    <t>Figure 26 + 27: Comparison of revenues + Comparison of tax and contribution growth</t>
  </si>
  <si>
    <t>Figure 16 - Nominal balance according subsectors (% GDP)</t>
  </si>
  <si>
    <t>Table 12 - General government expenditure by COFOG classification</t>
  </si>
  <si>
    <t>Table 10 + 11 - Identified savings by Value for money + Expenditure of health care insurance</t>
  </si>
  <si>
    <t>Table 10 - Identified savings by Value for money</t>
  </si>
  <si>
    <t>Odchýlka (1r)**</t>
  </si>
  <si>
    <t>Odchýlka (2r)**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</si>
</sst>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[$-409]mmm\-yy;@"/>
    <numFmt numFmtId="165" formatCode="0.0"/>
    <numFmt numFmtId="166" formatCode="#,##0.0"/>
    <numFmt numFmtId="167" formatCode="0.0%"/>
    <numFmt numFmtId="168" formatCode="_-[$€-2]* #,##0.00_-;\-[$€-2]* #,##0.00_-;_-[$€-2]* &quot;-&quot;??_-"/>
    <numFmt numFmtId="169" formatCode="_-* #,##0.0\ _€_-;\-* #,##0.0\ _€_-;_-* &quot;-&quot;??\ _€_-;_-@_-"/>
    <numFmt numFmtId="170" formatCode="_-* #,##0.00\ _S_k_-;\-* #,##0.00\ _S_k_-;_-* &quot;-&quot;??\ _S_k_-;_-@_-"/>
    <numFmt numFmtId="171" formatCode="#,##0.000"/>
    <numFmt numFmtId="172" formatCode="&quot; &quot;#,##0.00&quot; &quot;;&quot;-&quot;#,##0.00&quot; &quot;;&quot; -&quot;00&quot; &quot;;&quot; &quot;@&quot; &quot;"/>
    <numFmt numFmtId="173" formatCode="0.000"/>
    <numFmt numFmtId="174" formatCode="_-* #,##0\ _€_-;\-* #,##0\ _€_-;_-* &quot;-&quot;??\ _€_-;_-@_-"/>
    <numFmt numFmtId="175" formatCode="0.000000"/>
    <numFmt numFmtId="176" formatCode="0.0000"/>
  </numFmts>
  <fonts count="10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 Narrow"/>
      <family val="2"/>
    </font>
    <font>
      <sz val="11"/>
      <name val="Arial"/>
      <family val="2"/>
      <charset val="238"/>
    </font>
    <font>
      <sz val="11"/>
      <color indexed="8"/>
      <name val="Arial Narrow"/>
      <family val="2"/>
      <charset val="238"/>
    </font>
    <font>
      <sz val="10"/>
      <name val="Garamond"/>
      <family val="1"/>
      <charset val="238"/>
    </font>
    <font>
      <sz val="11"/>
      <color theme="1"/>
      <name val="Garamond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FFFFFF"/>
      <name val="Calibri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1F497D"/>
      <name val="Arial"/>
      <family val="2"/>
      <charset val="238"/>
    </font>
    <font>
      <u/>
      <sz val="10"/>
      <color rgb="FF800080"/>
      <name val="Arial"/>
      <family val="2"/>
      <charset val="238"/>
    </font>
    <font>
      <sz val="10"/>
      <color rgb="FF9C000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rgb="FF2C9ADC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4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0" tint="-0.249977111117893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rgb="FF2C9ADC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0"/>
      <color rgb="FF9C0006"/>
      <name val="Arial Narrow"/>
      <family val="2"/>
      <charset val="238"/>
    </font>
    <font>
      <b/>
      <sz val="10"/>
      <color rgb="FF006100"/>
      <name val="Arial Narrow"/>
      <family val="2"/>
      <charset val="238"/>
    </font>
    <font>
      <b/>
      <sz val="10"/>
      <color rgb="FF9C6500"/>
      <name val="Arial Narrow"/>
      <family val="2"/>
      <charset val="238"/>
    </font>
    <font>
      <b/>
      <sz val="10"/>
      <color rgb="FF9C0006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B0F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CE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2C9ADC"/>
      <name val="Calibri"/>
      <family val="2"/>
      <charset val="238"/>
      <scheme val="minor"/>
    </font>
    <font>
      <b/>
      <sz val="11"/>
      <color rgb="FF2C9ADC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Arial Narrow"/>
      <family val="2"/>
      <charset val="238"/>
    </font>
    <font>
      <sz val="9"/>
      <color indexed="8"/>
      <name val="Garamond"/>
      <family val="1"/>
      <charset val="238"/>
    </font>
    <font>
      <sz val="9"/>
      <color theme="1"/>
      <name val="Calibri"/>
      <family val="2"/>
      <scheme val="minor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0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rgb="FF2C9ADC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23" fillId="0" borderId="0"/>
    <xf numFmtId="0" fontId="24" fillId="0" borderId="0"/>
    <xf numFmtId="0" fontId="23" fillId="0" borderId="0"/>
    <xf numFmtId="0" fontId="25" fillId="0" borderId="0" applyNumberFormat="0" applyFill="0" applyBorder="0" applyAlignment="0" applyProtection="0"/>
    <xf numFmtId="0" fontId="26" fillId="0" borderId="0"/>
    <xf numFmtId="164" fontId="27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9" fillId="0" borderId="0"/>
    <xf numFmtId="0" fontId="19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/>
    <xf numFmtId="0" fontId="22" fillId="0" borderId="0"/>
    <xf numFmtId="0" fontId="18" fillId="0" borderId="0"/>
    <xf numFmtId="0" fontId="30" fillId="0" borderId="0"/>
    <xf numFmtId="9" fontId="30" fillId="0" borderId="0" applyFont="0" applyFill="0" applyBorder="0" applyAlignment="0" applyProtection="0"/>
    <xf numFmtId="0" fontId="28" fillId="0" borderId="0"/>
    <xf numFmtId="0" fontId="20" fillId="0" borderId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24" fillId="0" borderId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0" fontId="26" fillId="0" borderId="0"/>
    <xf numFmtId="0" fontId="33" fillId="0" borderId="0"/>
    <xf numFmtId="172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26" applyNumberFormat="0" applyFill="0" applyAlignment="0" applyProtection="0"/>
    <xf numFmtId="0" fontId="39" fillId="7" borderId="0" applyNumberFormat="0" applyBorder="0" applyAlignment="0" applyProtection="0"/>
    <xf numFmtId="0" fontId="36" fillId="6" borderId="25" applyNumberFormat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3" fillId="0" borderId="0" applyNumberFormat="0" applyBorder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2" fillId="0" borderId="0"/>
    <xf numFmtId="0" fontId="15" fillId="0" borderId="0"/>
    <xf numFmtId="0" fontId="24" fillId="0" borderId="0"/>
    <xf numFmtId="0" fontId="14" fillId="0" borderId="0"/>
    <xf numFmtId="0" fontId="32" fillId="0" borderId="0"/>
    <xf numFmtId="0" fontId="13" fillId="0" borderId="0"/>
    <xf numFmtId="0" fontId="41" fillId="0" borderId="0"/>
    <xf numFmtId="9" fontId="32" fillId="0" borderId="0" applyFont="0" applyFill="0" applyBorder="0" applyAlignment="0" applyProtection="0"/>
    <xf numFmtId="0" fontId="28" fillId="0" borderId="0"/>
    <xf numFmtId="0" fontId="32" fillId="0" borderId="0"/>
    <xf numFmtId="170" fontId="3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30" fillId="0" borderId="0"/>
    <xf numFmtId="0" fontId="30" fillId="0" borderId="0"/>
    <xf numFmtId="0" fontId="20" fillId="0" borderId="0"/>
    <xf numFmtId="9" fontId="20" fillId="0" borderId="0" applyFont="0" applyFill="0" applyBorder="0" applyAlignment="0" applyProtection="0"/>
    <xf numFmtId="0" fontId="12" fillId="0" borderId="0"/>
    <xf numFmtId="0" fontId="29" fillId="0" borderId="0"/>
    <xf numFmtId="0" fontId="32" fillId="0" borderId="0"/>
    <xf numFmtId="0" fontId="11" fillId="0" borderId="0"/>
    <xf numFmtId="0" fontId="29" fillId="0" borderId="0"/>
    <xf numFmtId="0" fontId="10" fillId="0" borderId="0"/>
    <xf numFmtId="43" fontId="10" fillId="0" borderId="0" applyFont="0" applyFill="0" applyBorder="0" applyAlignment="0" applyProtection="0"/>
    <xf numFmtId="0" fontId="77" fillId="0" borderId="0"/>
  </cellStyleXfs>
  <cellXfs count="919">
    <xf numFmtId="0" fontId="0" fillId="0" borderId="0" xfId="0"/>
    <xf numFmtId="165" fontId="46" fillId="0" borderId="0" xfId="0" applyNumberFormat="1" applyFont="1" applyBorder="1" applyAlignment="1">
      <alignment horizontal="center" vertical="center"/>
    </xf>
    <xf numFmtId="165" fontId="46" fillId="0" borderId="3" xfId="0" applyNumberFormat="1" applyFont="1" applyBorder="1" applyAlignment="1">
      <alignment horizontal="center" vertical="center"/>
    </xf>
    <xf numFmtId="165" fontId="46" fillId="0" borderId="3" xfId="0" applyNumberFormat="1" applyFont="1" applyBorder="1" applyAlignment="1">
      <alignment horizontal="center" vertical="center" wrapText="1"/>
    </xf>
    <xf numFmtId="0" fontId="45" fillId="0" borderId="5" xfId="0" applyFont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20" fillId="0" borderId="0" xfId="0" applyFont="1"/>
    <xf numFmtId="165" fontId="20" fillId="0" borderId="0" xfId="0" applyNumberFormat="1" applyFont="1"/>
    <xf numFmtId="0" fontId="47" fillId="0" borderId="29" xfId="0" applyFont="1" applyFill="1" applyBorder="1"/>
    <xf numFmtId="0" fontId="47" fillId="0" borderId="29" xfId="0" applyFont="1" applyFill="1" applyBorder="1" applyAlignment="1">
      <alignment horizontal="center"/>
    </xf>
    <xf numFmtId="0" fontId="47" fillId="0" borderId="0" xfId="0" applyFont="1"/>
    <xf numFmtId="2" fontId="47" fillId="0" borderId="0" xfId="0" applyNumberFormat="1" applyFont="1" applyFill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0" fontId="47" fillId="11" borderId="1" xfId="0" applyFont="1" applyFill="1" applyBorder="1"/>
    <xf numFmtId="165" fontId="47" fillId="11" borderId="1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2" fontId="20" fillId="0" borderId="1" xfId="0" applyNumberFormat="1" applyFont="1" applyBorder="1" applyAlignment="1">
      <alignment horizontal="center"/>
    </xf>
    <xf numFmtId="165" fontId="48" fillId="0" borderId="0" xfId="0" applyNumberFormat="1" applyFont="1" applyAlignment="1">
      <alignment horizontal="center" vertical="center"/>
    </xf>
    <xf numFmtId="0" fontId="47" fillId="0" borderId="1" xfId="0" applyFont="1" applyBorder="1"/>
    <xf numFmtId="165" fontId="48" fillId="0" borderId="1" xfId="0" applyNumberFormat="1" applyFont="1" applyBorder="1" applyAlignment="1">
      <alignment horizontal="center" vertical="center"/>
    </xf>
    <xf numFmtId="0" fontId="20" fillId="0" borderId="29" xfId="0" applyFont="1" applyFill="1" applyBorder="1"/>
    <xf numFmtId="0" fontId="45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0" fontId="49" fillId="0" borderId="0" xfId="0" applyFont="1" applyFill="1" applyAlignment="1">
      <alignment vertical="center" wrapText="1"/>
    </xf>
    <xf numFmtId="0" fontId="46" fillId="0" borderId="0" xfId="0" applyFont="1" applyAlignment="1">
      <alignment vertical="center" wrapText="1"/>
    </xf>
    <xf numFmtId="0" fontId="45" fillId="0" borderId="24" xfId="0" applyFont="1" applyBorder="1" applyAlignment="1">
      <alignment vertical="center" wrapText="1"/>
    </xf>
    <xf numFmtId="0" fontId="46" fillId="0" borderId="24" xfId="0" applyFont="1" applyBorder="1" applyAlignment="1">
      <alignment horizontal="center" vertical="center" wrapText="1"/>
    </xf>
    <xf numFmtId="0" fontId="46" fillId="0" borderId="30" xfId="0" applyFont="1" applyBorder="1" applyAlignment="1">
      <alignment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3" fontId="46" fillId="0" borderId="0" xfId="0" applyNumberFormat="1" applyFont="1" applyFill="1" applyBorder="1" applyAlignment="1">
      <alignment vertical="center"/>
    </xf>
    <xf numFmtId="0" fontId="46" fillId="0" borderId="2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47" fillId="0" borderId="0" xfId="0" applyFont="1" applyBorder="1" applyAlignment="1">
      <alignment horizontal="center" vertical="center" wrapText="1"/>
    </xf>
    <xf numFmtId="165" fontId="46" fillId="0" borderId="0" xfId="0" applyNumberFormat="1" applyFont="1" applyFill="1" applyBorder="1" applyAlignment="1">
      <alignment vertical="center"/>
    </xf>
    <xf numFmtId="0" fontId="46" fillId="0" borderId="2" xfId="0" applyFont="1" applyBorder="1" applyAlignment="1">
      <alignment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165" fontId="51" fillId="0" borderId="0" xfId="0" applyNumberFormat="1" applyFont="1" applyFill="1" applyBorder="1" applyAlignment="1">
      <alignment vertical="center"/>
    </xf>
    <xf numFmtId="0" fontId="20" fillId="0" borderId="0" xfId="0" applyFont="1" applyFill="1"/>
    <xf numFmtId="0" fontId="20" fillId="0" borderId="3" xfId="0" applyFont="1" applyBorder="1"/>
    <xf numFmtId="0" fontId="44" fillId="0" borderId="0" xfId="0" applyFont="1"/>
    <xf numFmtId="0" fontId="56" fillId="15" borderId="17" xfId="69" applyFont="1" applyFill="1" applyBorder="1" applyAlignment="1">
      <alignment vertical="center"/>
    </xf>
    <xf numFmtId="0" fontId="56" fillId="15" borderId="17" xfId="69" applyFont="1" applyFill="1" applyBorder="1" applyAlignment="1">
      <alignment horizontal="center"/>
    </xf>
    <xf numFmtId="0" fontId="56" fillId="15" borderId="33" xfId="69" applyFont="1" applyFill="1" applyBorder="1" applyAlignment="1">
      <alignment vertical="center"/>
    </xf>
    <xf numFmtId="0" fontId="54" fillId="14" borderId="17" xfId="69" applyFont="1" applyFill="1" applyBorder="1" applyAlignment="1">
      <alignment vertical="center"/>
    </xf>
    <xf numFmtId="0" fontId="54" fillId="14" borderId="18" xfId="69" applyFont="1" applyFill="1" applyBorder="1" applyAlignment="1">
      <alignment vertical="center"/>
    </xf>
    <xf numFmtId="0" fontId="57" fillId="14" borderId="19" xfId="5" applyFont="1" applyFill="1" applyBorder="1" applyAlignment="1" applyProtection="1">
      <alignment horizontal="left" vertical="center"/>
      <protection locked="0"/>
    </xf>
    <xf numFmtId="0" fontId="57" fillId="14" borderId="19" xfId="5" applyFont="1" applyFill="1" applyBorder="1" applyAlignment="1" applyProtection="1">
      <alignment horizontal="center" vertical="center"/>
      <protection locked="0"/>
    </xf>
    <xf numFmtId="0" fontId="57" fillId="14" borderId="18" xfId="5" applyFont="1" applyFill="1" applyBorder="1" applyAlignment="1" applyProtection="1">
      <alignment horizontal="left" vertical="center"/>
      <protection locked="0"/>
    </xf>
    <xf numFmtId="0" fontId="57" fillId="14" borderId="18" xfId="5" applyFont="1" applyFill="1" applyBorder="1" applyAlignment="1" applyProtection="1">
      <alignment horizontal="center" vertical="center"/>
      <protection locked="0"/>
    </xf>
    <xf numFmtId="0" fontId="57" fillId="14" borderId="18" xfId="5" applyFont="1" applyFill="1" applyBorder="1" applyAlignment="1" applyProtection="1">
      <alignment horizontal="center"/>
      <protection locked="0"/>
    </xf>
    <xf numFmtId="167" fontId="57" fillId="14" borderId="34" xfId="25" applyNumberFormat="1" applyFont="1" applyFill="1" applyBorder="1" applyAlignment="1" applyProtection="1">
      <alignment horizontal="right" vertical="center"/>
      <protection locked="0"/>
    </xf>
    <xf numFmtId="0" fontId="53" fillId="13" borderId="17" xfId="69" applyFont="1" applyFill="1" applyBorder="1" applyAlignment="1">
      <alignment vertical="center"/>
    </xf>
    <xf numFmtId="0" fontId="57" fillId="13" borderId="17" xfId="5" applyFont="1" applyFill="1" applyBorder="1" applyAlignment="1" applyProtection="1">
      <alignment horizontal="center" vertical="center"/>
      <protection locked="0"/>
    </xf>
    <xf numFmtId="0" fontId="57" fillId="13" borderId="17" xfId="5" applyFont="1" applyFill="1" applyBorder="1" applyAlignment="1" applyProtection="1">
      <alignment horizontal="center"/>
      <protection locked="0"/>
    </xf>
    <xf numFmtId="0" fontId="54" fillId="0" borderId="33" xfId="2" applyFont="1" applyFill="1" applyBorder="1" applyAlignment="1">
      <alignment horizontal="left" indent="2"/>
    </xf>
    <xf numFmtId="0" fontId="49" fillId="0" borderId="17" xfId="5" applyFont="1" applyFill="1" applyBorder="1" applyAlignment="1" applyProtection="1">
      <alignment horizontal="center" vertical="center"/>
      <protection locked="0"/>
    </xf>
    <xf numFmtId="0" fontId="54" fillId="0" borderId="33" xfId="71" applyFont="1" applyFill="1" applyBorder="1" applyAlignment="1">
      <alignment horizontal="center"/>
    </xf>
    <xf numFmtId="0" fontId="54" fillId="0" borderId="33" xfId="2" applyFont="1" applyFill="1" applyBorder="1" applyAlignment="1">
      <alignment horizontal="left" wrapText="1" indent="3"/>
    </xf>
    <xf numFmtId="0" fontId="49" fillId="0" borderId="17" xfId="57" applyFont="1" applyFill="1" applyBorder="1" applyAlignment="1">
      <alignment horizontal="center" vertical="center" wrapText="1"/>
    </xf>
    <xf numFmtId="0" fontId="54" fillId="0" borderId="33" xfId="71" applyFont="1" applyFill="1" applyBorder="1" applyAlignment="1">
      <alignment horizontal="center" wrapText="1"/>
    </xf>
    <xf numFmtId="0" fontId="54" fillId="0" borderId="33" xfId="2" applyFont="1" applyBorder="1" applyAlignment="1">
      <alignment horizontal="left" wrapText="1" indent="3"/>
    </xf>
    <xf numFmtId="0" fontId="54" fillId="0" borderId="33" xfId="2" applyFont="1" applyBorder="1" applyAlignment="1">
      <alignment horizontal="left" wrapText="1" indent="2"/>
    </xf>
    <xf numFmtId="0" fontId="54" fillId="0" borderId="33" xfId="71" applyFont="1" applyBorder="1" applyAlignment="1">
      <alignment horizontal="center" wrapText="1"/>
    </xf>
    <xf numFmtId="0" fontId="54" fillId="0" borderId="33" xfId="2" applyFont="1" applyFill="1" applyBorder="1" applyAlignment="1">
      <alignment horizontal="left" indent="7"/>
    </xf>
    <xf numFmtId="0" fontId="49" fillId="0" borderId="33" xfId="71" applyFont="1" applyFill="1" applyBorder="1" applyAlignment="1">
      <alignment horizontal="center" wrapText="1"/>
    </xf>
    <xf numFmtId="0" fontId="54" fillId="0" borderId="33" xfId="2" applyFont="1" applyBorder="1" applyAlignment="1">
      <alignment horizontal="left" indent="3"/>
    </xf>
    <xf numFmtId="0" fontId="54" fillId="0" borderId="33" xfId="2" applyFont="1" applyFill="1" applyBorder="1" applyAlignment="1">
      <alignment horizontal="left" indent="3"/>
    </xf>
    <xf numFmtId="0" fontId="54" fillId="0" borderId="33" xfId="2" applyFont="1" applyBorder="1" applyAlignment="1">
      <alignment horizontal="left" indent="2"/>
    </xf>
    <xf numFmtId="0" fontId="53" fillId="13" borderId="33" xfId="2" applyFont="1" applyFill="1" applyBorder="1" applyAlignment="1">
      <alignment horizontal="left"/>
    </xf>
    <xf numFmtId="0" fontId="54" fillId="13" borderId="33" xfId="71" applyFont="1" applyFill="1" applyBorder="1" applyAlignment="1">
      <alignment horizontal="center" wrapText="1"/>
    </xf>
    <xf numFmtId="0" fontId="54" fillId="13" borderId="33" xfId="71" applyFont="1" applyFill="1" applyBorder="1" applyAlignment="1">
      <alignment horizontal="center"/>
    </xf>
    <xf numFmtId="0" fontId="53" fillId="13" borderId="17" xfId="69" applyFont="1" applyFill="1" applyBorder="1" applyAlignment="1">
      <alignment horizontal="left" vertical="center"/>
    </xf>
    <xf numFmtId="0" fontId="53" fillId="13" borderId="33" xfId="71" applyFont="1" applyFill="1" applyBorder="1" applyAlignment="1">
      <alignment horizontal="center"/>
    </xf>
    <xf numFmtId="0" fontId="54" fillId="0" borderId="33" xfId="71" applyFont="1" applyBorder="1" applyAlignment="1">
      <alignment horizontal="center"/>
    </xf>
    <xf numFmtId="0" fontId="54" fillId="0" borderId="17" xfId="2" applyFont="1" applyFill="1" applyBorder="1" applyAlignment="1">
      <alignment horizontal="center"/>
    </xf>
    <xf numFmtId="0" fontId="53" fillId="0" borderId="33" xfId="2" applyFont="1" applyBorder="1" applyAlignment="1">
      <alignment horizontal="left" indent="2"/>
    </xf>
    <xf numFmtId="0" fontId="53" fillId="0" borderId="17" xfId="2" applyFont="1" applyBorder="1" applyAlignment="1">
      <alignment horizontal="center"/>
    </xf>
    <xf numFmtId="0" fontId="57" fillId="0" borderId="33" xfId="71" applyFont="1" applyFill="1" applyBorder="1" applyAlignment="1">
      <alignment horizontal="center"/>
    </xf>
    <xf numFmtId="0" fontId="54" fillId="0" borderId="34" xfId="2" applyFont="1" applyFill="1" applyBorder="1" applyAlignment="1">
      <alignment horizontal="left" indent="2"/>
    </xf>
    <xf numFmtId="0" fontId="49" fillId="0" borderId="18" xfId="5" applyFont="1" applyFill="1" applyBorder="1" applyAlignment="1" applyProtection="1">
      <alignment horizontal="center" vertical="center"/>
      <protection locked="0"/>
    </xf>
    <xf numFmtId="0" fontId="53" fillId="16" borderId="18" xfId="71" applyFont="1" applyFill="1" applyBorder="1" applyAlignment="1">
      <alignment horizontal="center"/>
    </xf>
    <xf numFmtId="10" fontId="57" fillId="14" borderId="18" xfId="25" applyNumberFormat="1" applyFont="1" applyFill="1" applyBorder="1" applyAlignment="1" applyProtection="1">
      <alignment horizontal="center" vertical="center"/>
      <protection locked="0"/>
    </xf>
    <xf numFmtId="0" fontId="53" fillId="13" borderId="33" xfId="2" applyFont="1" applyFill="1" applyBorder="1" applyAlignment="1">
      <alignment horizontal="left" indent="1"/>
    </xf>
    <xf numFmtId="0" fontId="53" fillId="0" borderId="33" xfId="2" applyFont="1" applyFill="1" applyBorder="1" applyAlignment="1">
      <alignment horizontal="left" indent="2"/>
    </xf>
    <xf numFmtId="0" fontId="57" fillId="0" borderId="17" xfId="5" applyFont="1" applyFill="1" applyBorder="1" applyAlignment="1" applyProtection="1">
      <alignment horizontal="center" vertical="center"/>
      <protection locked="0"/>
    </xf>
    <xf numFmtId="0" fontId="54" fillId="0" borderId="17" xfId="72" applyFont="1" applyFill="1" applyBorder="1" applyAlignment="1">
      <alignment horizontal="left" vertical="center" indent="3"/>
    </xf>
    <xf numFmtId="0" fontId="54" fillId="0" borderId="33" xfId="2" applyFont="1" applyBorder="1" applyAlignment="1">
      <alignment horizontal="left" indent="5"/>
    </xf>
    <xf numFmtId="0" fontId="54" fillId="0" borderId="33" xfId="2" applyFont="1" applyBorder="1" applyAlignment="1">
      <alignment horizontal="left" indent="7"/>
    </xf>
    <xf numFmtId="0" fontId="53" fillId="0" borderId="33" xfId="71" applyFont="1" applyFill="1" applyBorder="1" applyAlignment="1">
      <alignment horizontal="center"/>
    </xf>
    <xf numFmtId="0" fontId="49" fillId="0" borderId="34" xfId="5" applyFont="1" applyFill="1" applyBorder="1" applyAlignment="1" applyProtection="1">
      <alignment horizontal="center" vertical="center"/>
      <protection locked="0"/>
    </xf>
    <xf numFmtId="0" fontId="54" fillId="0" borderId="34" xfId="71" applyFont="1" applyFill="1" applyBorder="1" applyAlignment="1">
      <alignment horizontal="center"/>
    </xf>
    <xf numFmtId="0" fontId="57" fillId="14" borderId="35" xfId="5" applyFont="1" applyFill="1" applyBorder="1" applyAlignment="1" applyProtection="1">
      <alignment horizontal="center" vertical="center"/>
      <protection locked="0"/>
    </xf>
    <xf numFmtId="0" fontId="57" fillId="14" borderId="35" xfId="5" applyFont="1" applyFill="1" applyBorder="1" applyAlignment="1" applyProtection="1">
      <alignment horizontal="center"/>
      <protection locked="0"/>
    </xf>
    <xf numFmtId="4" fontId="57" fillId="17" borderId="35" xfId="5" applyNumberFormat="1" applyFont="1" applyFill="1" applyBorder="1" applyAlignment="1" applyProtection="1">
      <protection locked="0"/>
    </xf>
    <xf numFmtId="0" fontId="57" fillId="14" borderId="17" xfId="5" applyFont="1" applyFill="1" applyBorder="1" applyAlignment="1" applyProtection="1">
      <alignment horizontal="left" vertical="center"/>
      <protection locked="0"/>
    </xf>
    <xf numFmtId="0" fontId="57" fillId="14" borderId="33" xfId="5" applyFont="1" applyFill="1" applyBorder="1" applyAlignment="1" applyProtection="1">
      <alignment horizontal="center" vertical="center"/>
      <protection locked="0"/>
    </xf>
    <xf numFmtId="0" fontId="57" fillId="14" borderId="33" xfId="5" applyFont="1" applyFill="1" applyBorder="1" applyAlignment="1" applyProtection="1">
      <alignment horizontal="center"/>
      <protection locked="0"/>
    </xf>
    <xf numFmtId="10" fontId="57" fillId="14" borderId="33" xfId="25" applyNumberFormat="1" applyFont="1" applyFill="1" applyBorder="1" applyAlignment="1" applyProtection="1">
      <protection locked="0"/>
    </xf>
    <xf numFmtId="10" fontId="57" fillId="17" borderId="33" xfId="25" applyNumberFormat="1" applyFont="1" applyFill="1" applyBorder="1" applyAlignment="1" applyProtection="1">
      <protection locked="0"/>
    </xf>
    <xf numFmtId="0" fontId="54" fillId="0" borderId="32" xfId="70" applyFont="1" applyFill="1" applyBorder="1"/>
    <xf numFmtId="0" fontId="54" fillId="0" borderId="32" xfId="69" applyNumberFormat="1" applyFont="1" applyFill="1" applyBorder="1" applyAlignment="1" applyProtection="1"/>
    <xf numFmtId="0" fontId="54" fillId="0" borderId="32" xfId="69" applyNumberFormat="1" applyFont="1" applyFill="1" applyBorder="1" applyAlignment="1" applyProtection="1">
      <alignment horizontal="center"/>
    </xf>
    <xf numFmtId="0" fontId="45" fillId="0" borderId="5" xfId="0" applyFont="1" applyBorder="1" applyAlignment="1">
      <alignment horizontal="center" vertical="center" wrapText="1"/>
    </xf>
    <xf numFmtId="0" fontId="60" fillId="0" borderId="0" xfId="0" applyFont="1"/>
    <xf numFmtId="0" fontId="47" fillId="0" borderId="3" xfId="0" applyFont="1" applyBorder="1"/>
    <xf numFmtId="0" fontId="61" fillId="0" borderId="0" xfId="0" applyFont="1"/>
    <xf numFmtId="0" fontId="47" fillId="0" borderId="0" xfId="0" applyFont="1" applyBorder="1"/>
    <xf numFmtId="0" fontId="57" fillId="0" borderId="1" xfId="0" applyFont="1" applyBorder="1"/>
    <xf numFmtId="2" fontId="20" fillId="0" borderId="0" xfId="0" applyNumberFormat="1" applyFont="1"/>
    <xf numFmtId="0" fontId="47" fillId="0" borderId="1" xfId="0" applyFont="1" applyFill="1" applyBorder="1"/>
    <xf numFmtId="14" fontId="47" fillId="0" borderId="1" xfId="8" applyNumberFormat="1" applyFont="1" applyFill="1" applyBorder="1" applyAlignment="1">
      <alignment horizontal="right"/>
    </xf>
    <xf numFmtId="0" fontId="49" fillId="0" borderId="0" xfId="0" applyFont="1"/>
    <xf numFmtId="0" fontId="20" fillId="0" borderId="0" xfId="0" applyFont="1" applyBorder="1"/>
    <xf numFmtId="14" fontId="20" fillId="0" borderId="0" xfId="0" applyNumberFormat="1" applyFont="1"/>
    <xf numFmtId="164" fontId="46" fillId="0" borderId="1" xfId="6" applyFont="1" applyFill="1" applyBorder="1"/>
    <xf numFmtId="1" fontId="45" fillId="0" borderId="1" xfId="6" applyNumberFormat="1" applyFont="1" applyFill="1" applyBorder="1" applyAlignment="1">
      <alignment horizontal="center"/>
    </xf>
    <xf numFmtId="164" fontId="45" fillId="0" borderId="0" xfId="6" applyFont="1" applyFill="1" applyBorder="1" applyAlignment="1"/>
    <xf numFmtId="164" fontId="46" fillId="0" borderId="0" xfId="6" applyFont="1" applyFill="1" applyBorder="1" applyAlignment="1"/>
    <xf numFmtId="0" fontId="47" fillId="0" borderId="1" xfId="0" applyFont="1" applyBorder="1" applyAlignment="1">
      <alignment horizontal="center"/>
    </xf>
    <xf numFmtId="0" fontId="62" fillId="0" borderId="0" xfId="0" applyFont="1"/>
    <xf numFmtId="0" fontId="47" fillId="0" borderId="3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165" fontId="46" fillId="0" borderId="0" xfId="0" applyNumberFormat="1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20" fillId="0" borderId="0" xfId="18" applyFont="1"/>
    <xf numFmtId="0" fontId="47" fillId="0" borderId="3" xfId="18" applyFont="1" applyBorder="1"/>
    <xf numFmtId="0" fontId="20" fillId="0" borderId="3" xfId="18" applyFont="1" applyBorder="1"/>
    <xf numFmtId="0" fontId="20" fillId="0" borderId="0" xfId="18" applyFont="1" applyFill="1" applyBorder="1"/>
    <xf numFmtId="3" fontId="20" fillId="0" borderId="0" xfId="18" applyNumberFormat="1" applyFont="1" applyAlignment="1">
      <alignment horizontal="center" vertical="center"/>
    </xf>
    <xf numFmtId="0" fontId="20" fillId="0" borderId="0" xfId="18" applyFont="1" applyFill="1"/>
    <xf numFmtId="166" fontId="20" fillId="0" borderId="0" xfId="18" applyNumberFormat="1" applyFont="1"/>
    <xf numFmtId="0" fontId="49" fillId="0" borderId="0" xfId="20" applyFont="1"/>
    <xf numFmtId="0" fontId="49" fillId="0" borderId="0" xfId="20" applyFont="1" applyBorder="1"/>
    <xf numFmtId="2" fontId="49" fillId="0" borderId="0" xfId="19" applyNumberFormat="1" applyFont="1" applyFill="1" applyBorder="1" applyAlignment="1">
      <alignment horizontal="center"/>
    </xf>
    <xf numFmtId="0" fontId="20" fillId="0" borderId="0" xfId="30" applyFont="1"/>
    <xf numFmtId="0" fontId="47" fillId="0" borderId="3" xfId="30" applyFont="1" applyFill="1" applyBorder="1"/>
    <xf numFmtId="0" fontId="20" fillId="0" borderId="3" xfId="30" applyFont="1" applyFill="1" applyBorder="1"/>
    <xf numFmtId="0" fontId="20" fillId="0" borderId="0" xfId="30" applyFont="1" applyFill="1"/>
    <xf numFmtId="0" fontId="20" fillId="0" borderId="0" xfId="30" applyFont="1" applyFill="1" applyBorder="1"/>
    <xf numFmtId="0" fontId="47" fillId="0" borderId="0" xfId="30" applyFont="1" applyFill="1" applyBorder="1"/>
    <xf numFmtId="0" fontId="47" fillId="0" borderId="0" xfId="30" applyFont="1" applyFill="1"/>
    <xf numFmtId="0" fontId="49" fillId="0" borderId="0" xfId="30" applyFont="1" applyFill="1"/>
    <xf numFmtId="165" fontId="20" fillId="0" borderId="0" xfId="30" applyNumberFormat="1" applyFont="1" applyFill="1" applyBorder="1"/>
    <xf numFmtId="165" fontId="49" fillId="0" borderId="0" xfId="3" applyNumberFormat="1" applyFont="1" applyFill="1" applyBorder="1" applyAlignment="1">
      <alignment vertical="center"/>
    </xf>
    <xf numFmtId="0" fontId="20" fillId="0" borderId="0" xfId="30" applyFont="1" applyBorder="1"/>
    <xf numFmtId="2" fontId="20" fillId="0" borderId="0" xfId="30" applyNumberFormat="1" applyFont="1"/>
    <xf numFmtId="0" fontId="47" fillId="0" borderId="0" xfId="3" applyFont="1" applyFill="1" applyBorder="1" applyAlignment="1">
      <alignment vertical="center"/>
    </xf>
    <xf numFmtId="0" fontId="20" fillId="3" borderId="0" xfId="0" applyFont="1" applyFill="1"/>
    <xf numFmtId="0" fontId="47" fillId="0" borderId="0" xfId="0" applyFont="1" applyBorder="1" applyAlignment="1">
      <alignment vertical="center"/>
    </xf>
    <xf numFmtId="166" fontId="47" fillId="0" borderId="0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 wrapText="1"/>
    </xf>
    <xf numFmtId="3" fontId="45" fillId="0" borderId="0" xfId="0" applyNumberFormat="1" applyFont="1" applyFill="1" applyBorder="1" applyAlignment="1">
      <alignment vertical="center"/>
    </xf>
    <xf numFmtId="167" fontId="46" fillId="0" borderId="0" xfId="12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2" fontId="57" fillId="0" borderId="0" xfId="0" applyNumberFormat="1" applyFont="1" applyFill="1" applyBorder="1" applyAlignment="1">
      <alignment vertical="center" wrapText="1"/>
    </xf>
    <xf numFmtId="2" fontId="47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60" fillId="0" borderId="0" xfId="0" applyFont="1" applyFill="1"/>
    <xf numFmtId="0" fontId="50" fillId="0" borderId="0" xfId="0" applyFont="1"/>
    <xf numFmtId="0" fontId="47" fillId="12" borderId="1" xfId="9" applyFont="1" applyFill="1" applyBorder="1" applyAlignment="1">
      <alignment vertical="top" wrapText="1"/>
    </xf>
    <xf numFmtId="0" fontId="47" fillId="12" borderId="1" xfId="9" applyFont="1" applyFill="1" applyBorder="1" applyAlignment="1">
      <alignment horizontal="right" vertical="top" wrapText="1"/>
    </xf>
    <xf numFmtId="3" fontId="64" fillId="12" borderId="0" xfId="9" applyNumberFormat="1" applyFont="1" applyFill="1" applyBorder="1" applyProtection="1">
      <protection locked="0"/>
    </xf>
    <xf numFmtId="3" fontId="49" fillId="12" borderId="0" xfId="9" applyNumberFormat="1" applyFont="1" applyFill="1" applyBorder="1" applyProtection="1">
      <protection locked="0"/>
    </xf>
    <xf numFmtId="0" fontId="45" fillId="0" borderId="0" xfId="0" applyFont="1" applyFill="1" applyBorder="1" applyAlignment="1">
      <alignment vertical="center" wrapText="1"/>
    </xf>
    <xf numFmtId="0" fontId="65" fillId="0" borderId="0" xfId="0" applyFont="1" applyAlignment="1">
      <alignment vertical="center"/>
    </xf>
    <xf numFmtId="165" fontId="20" fillId="0" borderId="1" xfId="0" applyNumberFormat="1" applyFont="1" applyBorder="1"/>
    <xf numFmtId="0" fontId="47" fillId="0" borderId="29" xfId="0" applyFont="1" applyBorder="1"/>
    <xf numFmtId="165" fontId="20" fillId="0" borderId="29" xfId="0" applyNumberFormat="1" applyFont="1" applyBorder="1"/>
    <xf numFmtId="0" fontId="49" fillId="0" borderId="0" xfId="22" applyFont="1"/>
    <xf numFmtId="0" fontId="57" fillId="0" borderId="0" xfId="22" applyFont="1"/>
    <xf numFmtId="0" fontId="57" fillId="0" borderId="3" xfId="22" applyFont="1" applyBorder="1"/>
    <xf numFmtId="0" fontId="49" fillId="0" borderId="3" xfId="22" applyFont="1" applyBorder="1"/>
    <xf numFmtId="0" fontId="60" fillId="0" borderId="1" xfId="52" applyFont="1" applyBorder="1" applyAlignment="1">
      <alignment horizontal="left"/>
    </xf>
    <xf numFmtId="0" fontId="60" fillId="0" borderId="0" xfId="52" applyFont="1" applyBorder="1" applyAlignment="1">
      <alignment horizontal="left"/>
    </xf>
    <xf numFmtId="166" fontId="60" fillId="0" borderId="0" xfId="52" applyNumberFormat="1" applyFont="1" applyBorder="1" applyAlignment="1">
      <alignment horizontal="left"/>
    </xf>
    <xf numFmtId="0" fontId="20" fillId="0" borderId="1" xfId="52" applyFont="1" applyBorder="1"/>
    <xf numFmtId="0" fontId="20" fillId="0" borderId="0" xfId="52" applyFont="1" applyBorder="1"/>
    <xf numFmtId="0" fontId="20" fillId="0" borderId="0" xfId="52" applyFont="1"/>
    <xf numFmtId="0" fontId="20" fillId="0" borderId="0" xfId="52" applyFont="1" applyAlignment="1">
      <alignment horizontal="left" indent="1"/>
    </xf>
    <xf numFmtId="0" fontId="20" fillId="0" borderId="1" xfId="52" applyFont="1" applyBorder="1" applyAlignment="1">
      <alignment horizontal="left" indent="1"/>
    </xf>
    <xf numFmtId="4" fontId="54" fillId="0" borderId="0" xfId="60" applyNumberFormat="1" applyFont="1"/>
    <xf numFmtId="0" fontId="60" fillId="0" borderId="0" xfId="60" applyFont="1" applyBorder="1" applyAlignment="1"/>
    <xf numFmtId="0" fontId="54" fillId="0" borderId="0" xfId="60" applyFont="1"/>
    <xf numFmtId="0" fontId="54" fillId="0" borderId="1" xfId="60" applyFont="1" applyBorder="1"/>
    <xf numFmtId="0" fontId="54" fillId="0" borderId="1" xfId="60" applyFont="1" applyBorder="1" applyAlignment="1">
      <alignment horizontal="center"/>
    </xf>
    <xf numFmtId="171" fontId="54" fillId="0" borderId="0" xfId="61" applyNumberFormat="1" applyFont="1" applyAlignment="1">
      <alignment horizontal="center"/>
    </xf>
    <xf numFmtId="0" fontId="54" fillId="0" borderId="2" xfId="60" applyFont="1" applyFill="1" applyBorder="1" applyAlignment="1">
      <alignment horizontal="left"/>
    </xf>
    <xf numFmtId="0" fontId="54" fillId="0" borderId="0" xfId="60" applyFont="1" applyFill="1" applyBorder="1" applyAlignment="1">
      <alignment horizontal="left" wrapText="1"/>
    </xf>
    <xf numFmtId="0" fontId="54" fillId="0" borderId="0" xfId="60" applyFont="1" applyBorder="1"/>
    <xf numFmtId="0" fontId="54" fillId="0" borderId="0" xfId="60" applyFont="1" applyFill="1" applyBorder="1" applyAlignment="1">
      <alignment horizontal="left"/>
    </xf>
    <xf numFmtId="165" fontId="54" fillId="0" borderId="0" xfId="60" applyNumberFormat="1" applyFont="1"/>
    <xf numFmtId="0" fontId="60" fillId="0" borderId="3" xfId="0" applyFont="1" applyBorder="1" applyAlignment="1"/>
    <xf numFmtId="0" fontId="60" fillId="0" borderId="0" xfId="0" applyFont="1" applyBorder="1" applyAlignment="1"/>
    <xf numFmtId="0" fontId="20" fillId="0" borderId="31" xfId="0" applyFont="1" applyFill="1" applyBorder="1"/>
    <xf numFmtId="0" fontId="20" fillId="0" borderId="31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0" fontId="57" fillId="0" borderId="0" xfId="22" applyNumberFormat="1" applyFont="1" applyFill="1" applyBorder="1" applyAlignment="1"/>
    <xf numFmtId="0" fontId="49" fillId="0" borderId="0" xfId="22" applyNumberFormat="1" applyFont="1" applyFill="1" applyBorder="1" applyAlignment="1"/>
    <xf numFmtId="0" fontId="47" fillId="0" borderId="0" xfId="22" applyNumberFormat="1" applyFont="1" applyFill="1" applyBorder="1" applyAlignment="1"/>
    <xf numFmtId="0" fontId="20" fillId="0" borderId="0" xfId="22" applyFont="1" applyFill="1"/>
    <xf numFmtId="0" fontId="49" fillId="0" borderId="1" xfId="22" applyNumberFormat="1" applyFont="1" applyFill="1" applyBorder="1" applyAlignment="1"/>
    <xf numFmtId="0" fontId="49" fillId="0" borderId="0" xfId="22" applyFont="1" applyFill="1" applyBorder="1"/>
    <xf numFmtId="0" fontId="20" fillId="0" borderId="0" xfId="22" applyFont="1" applyFill="1" applyBorder="1"/>
    <xf numFmtId="0" fontId="20" fillId="0" borderId="0" xfId="2" applyFont="1"/>
    <xf numFmtId="0" fontId="20" fillId="0" borderId="0" xfId="2" applyFont="1" applyFill="1" applyBorder="1"/>
    <xf numFmtId="0" fontId="66" fillId="0" borderId="3" xfId="2" applyFont="1" applyBorder="1" applyAlignment="1">
      <alignment vertical="center"/>
    </xf>
    <xf numFmtId="0" fontId="66" fillId="0" borderId="0" xfId="2" applyFont="1" applyBorder="1" applyAlignment="1">
      <alignment vertical="center"/>
    </xf>
    <xf numFmtId="0" fontId="45" fillId="0" borderId="3" xfId="2" applyFont="1" applyFill="1" applyBorder="1" applyAlignment="1">
      <alignment horizontal="center" vertical="center" wrapText="1"/>
    </xf>
    <xf numFmtId="0" fontId="54" fillId="0" borderId="0" xfId="2" applyFont="1" applyFill="1" applyBorder="1" applyAlignment="1">
      <alignment vertical="center" wrapText="1"/>
    </xf>
    <xf numFmtId="0" fontId="46" fillId="0" borderId="3" xfId="2" applyFont="1" applyFill="1" applyBorder="1" applyAlignment="1">
      <alignment horizontal="center" vertical="center"/>
    </xf>
    <xf numFmtId="0" fontId="46" fillId="0" borderId="3" xfId="2" applyFont="1" applyFill="1" applyBorder="1" applyAlignment="1">
      <alignment horizontal="center" vertical="center" wrapText="1"/>
    </xf>
    <xf numFmtId="0" fontId="46" fillId="0" borderId="0" xfId="2" applyFont="1" applyFill="1" applyAlignment="1">
      <alignment vertical="center"/>
    </xf>
    <xf numFmtId="0" fontId="46" fillId="0" borderId="0" xfId="2" applyFont="1" applyFill="1" applyAlignment="1">
      <alignment horizontal="center" vertical="center" wrapText="1"/>
    </xf>
    <xf numFmtId="0" fontId="54" fillId="0" borderId="0" xfId="2" applyFont="1" applyFill="1" applyBorder="1" applyAlignment="1">
      <alignment horizontal="left" vertical="center" wrapText="1"/>
    </xf>
    <xf numFmtId="0" fontId="46" fillId="0" borderId="3" xfId="2" applyFont="1" applyFill="1" applyBorder="1" applyAlignment="1">
      <alignment vertical="center"/>
    </xf>
    <xf numFmtId="0" fontId="50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center" wrapText="1"/>
    </xf>
    <xf numFmtId="169" fontId="20" fillId="0" borderId="0" xfId="2" applyNumberFormat="1" applyFont="1"/>
    <xf numFmtId="0" fontId="53" fillId="0" borderId="0" xfId="2" applyFont="1" applyFill="1" applyBorder="1" applyAlignment="1"/>
    <xf numFmtId="0" fontId="20" fillId="0" borderId="0" xfId="0" applyFont="1" applyFill="1" applyBorder="1"/>
    <xf numFmtId="0" fontId="45" fillId="0" borderId="0" xfId="2" applyFont="1" applyFill="1" applyBorder="1" applyAlignment="1">
      <alignment vertical="center"/>
    </xf>
    <xf numFmtId="165" fontId="46" fillId="0" borderId="0" xfId="2" applyNumberFormat="1" applyFont="1" applyFill="1" applyBorder="1" applyAlignment="1">
      <alignment horizontal="center" vertical="center"/>
    </xf>
    <xf numFmtId="0" fontId="20" fillId="0" borderId="0" xfId="2" applyFont="1" applyBorder="1"/>
    <xf numFmtId="0" fontId="54" fillId="0" borderId="0" xfId="2" applyFont="1" applyFill="1" applyBorder="1" applyAlignment="1">
      <alignment horizontal="center" vertical="center" wrapText="1"/>
    </xf>
    <xf numFmtId="166" fontId="54" fillId="0" borderId="0" xfId="29" applyNumberFormat="1" applyFont="1" applyFill="1" applyBorder="1" applyAlignment="1">
      <alignment horizontal="right" vertical="center" wrapText="1"/>
    </xf>
    <xf numFmtId="0" fontId="53" fillId="0" borderId="0" xfId="2" applyFont="1" applyFill="1" applyBorder="1" applyAlignment="1">
      <alignment horizontal="left" vertical="center" wrapText="1"/>
    </xf>
    <xf numFmtId="0" fontId="54" fillId="0" borderId="0" xfId="2" applyFont="1" applyFill="1" applyBorder="1" applyAlignment="1">
      <alignment horizontal="left" vertical="center"/>
    </xf>
    <xf numFmtId="0" fontId="46" fillId="0" borderId="0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vertical="center"/>
    </xf>
    <xf numFmtId="2" fontId="45" fillId="0" borderId="0" xfId="28" applyNumberFormat="1" applyFont="1" applyFill="1" applyBorder="1" applyAlignment="1">
      <alignment vertical="center"/>
    </xf>
    <xf numFmtId="2" fontId="20" fillId="0" borderId="0" xfId="2" applyNumberFormat="1" applyFont="1" applyFill="1" applyBorder="1"/>
    <xf numFmtId="43" fontId="45" fillId="0" borderId="0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horizontal="left"/>
    </xf>
    <xf numFmtId="43" fontId="20" fillId="0" borderId="0" xfId="2" applyNumberFormat="1" applyFont="1" applyFill="1" applyBorder="1"/>
    <xf numFmtId="0" fontId="47" fillId="0" borderId="3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5" fillId="0" borderId="20" xfId="0" applyFont="1" applyFill="1" applyBorder="1" applyAlignment="1">
      <alignment vertical="center" wrapText="1"/>
    </xf>
    <xf numFmtId="2" fontId="45" fillId="0" borderId="20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6" fillId="0" borderId="3" xfId="0" applyFont="1" applyBorder="1" applyAlignment="1">
      <alignment vertical="center" wrapText="1"/>
    </xf>
    <xf numFmtId="0" fontId="45" fillId="0" borderId="16" xfId="0" applyFont="1" applyBorder="1" applyAlignment="1">
      <alignment horizontal="center" vertical="center"/>
    </xf>
    <xf numFmtId="165" fontId="46" fillId="0" borderId="0" xfId="0" applyNumberFormat="1" applyFont="1" applyFill="1" applyAlignment="1">
      <alignment horizontal="center" vertical="center"/>
    </xf>
    <xf numFmtId="165" fontId="46" fillId="0" borderId="0" xfId="0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0" fillId="0" borderId="0" xfId="51" applyFont="1"/>
    <xf numFmtId="0" fontId="47" fillId="0" borderId="3" xfId="54" applyFont="1" applyBorder="1"/>
    <xf numFmtId="0" fontId="20" fillId="0" borderId="3" xfId="51" applyFont="1" applyBorder="1"/>
    <xf numFmtId="0" fontId="47" fillId="0" borderId="0" xfId="51" applyFont="1"/>
    <xf numFmtId="165" fontId="20" fillId="0" borderId="0" xfId="51" applyNumberFormat="1" applyFont="1"/>
    <xf numFmtId="0" fontId="20" fillId="0" borderId="0" xfId="51" applyFont="1" applyAlignment="1">
      <alignment horizontal="left" indent="1"/>
    </xf>
    <xf numFmtId="165" fontId="20" fillId="0" borderId="5" xfId="51" applyNumberFormat="1" applyFont="1" applyBorder="1"/>
    <xf numFmtId="165" fontId="20" fillId="0" borderId="16" xfId="51" applyNumberFormat="1" applyFont="1" applyBorder="1"/>
    <xf numFmtId="0" fontId="47" fillId="0" borderId="0" xfId="51" applyFont="1" applyAlignment="1">
      <alignment horizontal="left" indent="1"/>
    </xf>
    <xf numFmtId="0" fontId="47" fillId="0" borderId="0" xfId="0" applyFont="1" applyBorder="1" applyAlignment="1">
      <alignment wrapText="1"/>
    </xf>
    <xf numFmtId="0" fontId="67" fillId="8" borderId="27" xfId="0" applyFont="1" applyFill="1" applyBorder="1" applyAlignment="1">
      <alignment horizontal="center" vertical="center"/>
    </xf>
    <xf numFmtId="0" fontId="44" fillId="0" borderId="0" xfId="4" applyFont="1"/>
    <xf numFmtId="0" fontId="67" fillId="9" borderId="28" xfId="0" applyFont="1" applyFill="1" applyBorder="1" applyAlignment="1">
      <alignment horizontal="center" vertical="center"/>
    </xf>
    <xf numFmtId="0" fontId="54" fillId="0" borderId="0" xfId="69" applyNumberFormat="1" applyFont="1" applyFill="1" applyBorder="1" applyAlignment="1" applyProtection="1"/>
    <xf numFmtId="174" fontId="54" fillId="0" borderId="0" xfId="8" applyNumberFormat="1" applyFont="1" applyFill="1" applyBorder="1" applyAlignment="1" applyProtection="1"/>
    <xf numFmtId="0" fontId="53" fillId="0" borderId="0" xfId="69" applyNumberFormat="1" applyFont="1" applyFill="1" applyBorder="1" applyAlignment="1" applyProtection="1"/>
    <xf numFmtId="167" fontId="54" fillId="0" borderId="0" xfId="12" applyNumberFormat="1" applyFont="1" applyFill="1" applyBorder="1" applyAlignment="1" applyProtection="1"/>
    <xf numFmtId="165" fontId="54" fillId="0" borderId="0" xfId="69" applyNumberFormat="1" applyFont="1" applyFill="1" applyBorder="1" applyAlignment="1" applyProtection="1"/>
    <xf numFmtId="0" fontId="54" fillId="0" borderId="0" xfId="69" applyNumberFormat="1" applyFont="1" applyFill="1" applyBorder="1" applyAlignment="1" applyProtection="1">
      <alignment horizontal="center"/>
    </xf>
    <xf numFmtId="0" fontId="53" fillId="14" borderId="33" xfId="69" applyFont="1" applyFill="1" applyBorder="1" applyAlignment="1">
      <alignment horizontal="center" vertical="center"/>
    </xf>
    <xf numFmtId="0" fontId="53" fillId="14" borderId="33" xfId="70" applyFont="1" applyFill="1" applyBorder="1" applyAlignment="1">
      <alignment horizontal="center" vertical="center"/>
    </xf>
    <xf numFmtId="0" fontId="57" fillId="14" borderId="33" xfId="70" applyFont="1" applyFill="1" applyBorder="1" applyAlignment="1">
      <alignment horizontal="center" vertical="center"/>
    </xf>
    <xf numFmtId="0" fontId="53" fillId="14" borderId="34" xfId="69" applyFont="1" applyFill="1" applyBorder="1" applyAlignment="1">
      <alignment horizontal="center" vertical="center"/>
    </xf>
    <xf numFmtId="0" fontId="53" fillId="14" borderId="34" xfId="70" applyFont="1" applyFill="1" applyBorder="1" applyAlignment="1">
      <alignment horizontal="center" vertical="center"/>
    </xf>
    <xf numFmtId="4" fontId="57" fillId="14" borderId="35" xfId="5" applyNumberFormat="1" applyFont="1" applyFill="1" applyBorder="1" applyAlignment="1" applyProtection="1">
      <alignment horizontal="right" vertical="center"/>
      <protection locked="0"/>
    </xf>
    <xf numFmtId="4" fontId="53" fillId="13" borderId="33" xfId="69" applyNumberFormat="1" applyFont="1" applyFill="1" applyBorder="1" applyAlignment="1" applyProtection="1"/>
    <xf numFmtId="4" fontId="54" fillId="0" borderId="0" xfId="69" applyNumberFormat="1" applyFont="1" applyFill="1" applyBorder="1" applyAlignment="1" applyProtection="1"/>
    <xf numFmtId="4" fontId="49" fillId="0" borderId="33" xfId="69" applyNumberFormat="1" applyFont="1" applyFill="1" applyBorder="1" applyAlignment="1" applyProtection="1"/>
    <xf numFmtId="4" fontId="54" fillId="0" borderId="33" xfId="69" applyNumberFormat="1" applyFont="1" applyFill="1" applyBorder="1" applyAlignment="1" applyProtection="1"/>
    <xf numFmtId="0" fontId="54" fillId="0" borderId="0" xfId="69" applyFont="1" applyFill="1"/>
    <xf numFmtId="1" fontId="55" fillId="0" borderId="0" xfId="69" applyNumberFormat="1" applyFont="1" applyFill="1"/>
    <xf numFmtId="4" fontId="49" fillId="0" borderId="33" xfId="69" applyNumberFormat="1" applyFont="1" applyFill="1" applyBorder="1"/>
    <xf numFmtId="4" fontId="54" fillId="0" borderId="33" xfId="69" applyNumberFormat="1" applyFont="1" applyFill="1" applyBorder="1"/>
    <xf numFmtId="0" fontId="53" fillId="0" borderId="0" xfId="69" applyFont="1" applyFill="1"/>
    <xf numFmtId="4" fontId="57" fillId="14" borderId="19" xfId="5" applyNumberFormat="1" applyFont="1" applyFill="1" applyBorder="1" applyAlignment="1" applyProtection="1">
      <alignment horizontal="right" vertical="center"/>
      <protection locked="0"/>
    </xf>
    <xf numFmtId="4" fontId="57" fillId="13" borderId="33" xfId="69" applyNumberFormat="1" applyFont="1" applyFill="1" applyBorder="1" applyAlignment="1" applyProtection="1"/>
    <xf numFmtId="4" fontId="57" fillId="14" borderId="35" xfId="5" applyNumberFormat="1" applyFont="1" applyFill="1" applyBorder="1" applyAlignment="1" applyProtection="1">
      <protection locked="0"/>
    </xf>
    <xf numFmtId="0" fontId="25" fillId="0" borderId="0" xfId="4"/>
    <xf numFmtId="0" fontId="49" fillId="0" borderId="1" xfId="22" applyNumberFormat="1" applyFont="1" applyFill="1" applyBorder="1" applyAlignment="1">
      <alignment horizontal="center"/>
    </xf>
    <xf numFmtId="165" fontId="49" fillId="0" borderId="0" xfId="22" applyNumberFormat="1" applyFont="1" applyFill="1" applyBorder="1" applyAlignment="1">
      <alignment horizontal="center"/>
    </xf>
    <xf numFmtId="166" fontId="49" fillId="0" borderId="0" xfId="22" applyNumberFormat="1" applyFont="1" applyFill="1" applyBorder="1" applyAlignment="1">
      <alignment horizontal="center"/>
    </xf>
    <xf numFmtId="0" fontId="49" fillId="0" borderId="0" xfId="22" applyFont="1" applyFill="1" applyBorder="1" applyAlignment="1">
      <alignment horizontal="center"/>
    </xf>
    <xf numFmtId="0" fontId="49" fillId="0" borderId="0" xfId="22" applyNumberFormat="1" applyFont="1" applyFill="1" applyBorder="1" applyAlignment="1">
      <alignment horizontal="center"/>
    </xf>
    <xf numFmtId="165" fontId="46" fillId="0" borderId="0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165" fontId="48" fillId="18" borderId="1" xfId="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2" fontId="46" fillId="0" borderId="3" xfId="0" applyNumberFormat="1" applyFont="1" applyFill="1" applyBorder="1" applyAlignment="1">
      <alignment horizontal="center" vertical="center" wrapText="1"/>
    </xf>
    <xf numFmtId="2" fontId="46" fillId="0" borderId="0" xfId="0" applyNumberFormat="1" applyFont="1" applyFill="1" applyBorder="1" applyAlignment="1">
      <alignment horizontal="center" vertical="center" wrapText="1"/>
    </xf>
    <xf numFmtId="2" fontId="46" fillId="0" borderId="0" xfId="0" applyNumberFormat="1" applyFont="1" applyBorder="1" applyAlignment="1">
      <alignment horizontal="center" vertical="center" wrapText="1"/>
    </xf>
    <xf numFmtId="2" fontId="46" fillId="0" borderId="3" xfId="0" applyNumberFormat="1" applyFont="1" applyBorder="1" applyAlignment="1">
      <alignment horizontal="center" vertical="center" wrapText="1"/>
    </xf>
    <xf numFmtId="165" fontId="54" fillId="0" borderId="0" xfId="29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right" indent="2"/>
    </xf>
    <xf numFmtId="0" fontId="49" fillId="0" borderId="0" xfId="0" applyFont="1" applyFill="1" applyBorder="1" applyAlignment="1">
      <alignment horizontal="right" indent="2"/>
    </xf>
    <xf numFmtId="0" fontId="57" fillId="0" borderId="0" xfId="0" applyFont="1" applyFill="1" applyBorder="1" applyAlignment="1">
      <alignment horizontal="left" indent="2"/>
    </xf>
    <xf numFmtId="0" fontId="49" fillId="0" borderId="0" xfId="0" applyFont="1" applyFill="1" applyBorder="1" applyAlignment="1">
      <alignment horizontal="left" indent="2"/>
    </xf>
    <xf numFmtId="165" fontId="46" fillId="0" borderId="9" xfId="0" applyNumberFormat="1" applyFont="1" applyBorder="1" applyAlignment="1">
      <alignment horizontal="center" vertical="center"/>
    </xf>
    <xf numFmtId="165" fontId="46" fillId="0" borderId="8" xfId="0" applyNumberFormat="1" applyFont="1" applyBorder="1" applyAlignment="1">
      <alignment horizontal="center" vertical="center"/>
    </xf>
    <xf numFmtId="165" fontId="46" fillId="0" borderId="6" xfId="0" applyNumberFormat="1" applyFont="1" applyBorder="1" applyAlignment="1">
      <alignment horizontal="center" vertical="center"/>
    </xf>
    <xf numFmtId="165" fontId="46" fillId="0" borderId="12" xfId="0" applyNumberFormat="1" applyFont="1" applyBorder="1" applyAlignment="1">
      <alignment horizontal="center" vertical="center"/>
    </xf>
    <xf numFmtId="165" fontId="49" fillId="0" borderId="0" xfId="22" applyNumberFormat="1" applyFont="1"/>
    <xf numFmtId="1" fontId="20" fillId="0" borderId="29" xfId="52" applyNumberFormat="1" applyFont="1" applyBorder="1" applyAlignment="1">
      <alignment horizontal="right"/>
    </xf>
    <xf numFmtId="1" fontId="49" fillId="0" borderId="0" xfId="22" applyNumberFormat="1" applyFont="1"/>
    <xf numFmtId="165" fontId="20" fillId="0" borderId="29" xfId="0" applyNumberFormat="1" applyFont="1" applyFill="1" applyBorder="1" applyAlignment="1">
      <alignment horizontal="right"/>
    </xf>
    <xf numFmtId="0" fontId="66" fillId="0" borderId="1" xfId="2" applyFont="1" applyBorder="1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49" fillId="0" borderId="0" xfId="65" applyFont="1" applyBorder="1"/>
    <xf numFmtId="3" fontId="49" fillId="0" borderId="0" xfId="0" applyNumberFormat="1" applyFont="1" applyBorder="1"/>
    <xf numFmtId="0" fontId="49" fillId="0" borderId="0" xfId="0" applyFont="1" applyBorder="1"/>
    <xf numFmtId="0" fontId="57" fillId="0" borderId="0" xfId="65" applyFont="1" applyBorder="1"/>
    <xf numFmtId="3" fontId="57" fillId="0" borderId="0" xfId="0" applyNumberFormat="1" applyFont="1" applyBorder="1"/>
    <xf numFmtId="3" fontId="20" fillId="0" borderId="0" xfId="0" applyNumberFormat="1" applyFont="1" applyBorder="1"/>
    <xf numFmtId="4" fontId="20" fillId="0" borderId="0" xfId="0" applyNumberFormat="1" applyFont="1"/>
    <xf numFmtId="1" fontId="54" fillId="0" borderId="32" xfId="69" applyNumberFormat="1" applyFont="1" applyFill="1" applyBorder="1" applyAlignment="1" applyProtection="1">
      <alignment horizontal="center"/>
    </xf>
    <xf numFmtId="173" fontId="54" fillId="0" borderId="0" xfId="69" applyNumberFormat="1" applyFont="1" applyFill="1" applyBorder="1" applyAlignment="1" applyProtection="1"/>
    <xf numFmtId="171" fontId="54" fillId="0" borderId="0" xfId="69" applyNumberFormat="1" applyFont="1" applyFill="1" applyBorder="1" applyAlignment="1" applyProtection="1"/>
    <xf numFmtId="0" fontId="72" fillId="0" borderId="0" xfId="9" applyFont="1" applyFill="1" applyBorder="1"/>
    <xf numFmtId="166" fontId="72" fillId="0" borderId="0" xfId="9" applyNumberFormat="1" applyFont="1" applyFill="1" applyBorder="1"/>
    <xf numFmtId="0" fontId="73" fillId="0" borderId="0" xfId="9" applyFont="1" applyFill="1" applyBorder="1"/>
    <xf numFmtId="1" fontId="73" fillId="0" borderId="0" xfId="9" applyNumberFormat="1" applyFont="1" applyFill="1" applyBorder="1"/>
    <xf numFmtId="0" fontId="74" fillId="0" borderId="0" xfId="0" applyFont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 indent="1"/>
    </xf>
    <xf numFmtId="0" fontId="74" fillId="0" borderId="0" xfId="0" applyFont="1"/>
    <xf numFmtId="0" fontId="45" fillId="0" borderId="3" xfId="0" applyFont="1" applyBorder="1" applyAlignment="1">
      <alignment vertical="center"/>
    </xf>
    <xf numFmtId="0" fontId="74" fillId="0" borderId="3" xfId="0" applyFont="1" applyBorder="1"/>
    <xf numFmtId="0" fontId="46" fillId="0" borderId="0" xfId="0" applyFont="1"/>
    <xf numFmtId="3" fontId="46" fillId="0" borderId="0" xfId="0" applyNumberFormat="1" applyFont="1" applyAlignment="1">
      <alignment horizontal="right" vertical="center"/>
    </xf>
    <xf numFmtId="3" fontId="45" fillId="0" borderId="3" xfId="0" applyNumberFormat="1" applyFont="1" applyBorder="1" applyAlignment="1">
      <alignment horizontal="right" vertical="center"/>
    </xf>
    <xf numFmtId="165" fontId="45" fillId="0" borderId="4" xfId="0" applyNumberFormat="1" applyFont="1" applyBorder="1" applyAlignment="1">
      <alignment horizontal="right" vertical="center"/>
    </xf>
    <xf numFmtId="165" fontId="46" fillId="0" borderId="3" xfId="0" applyNumberFormat="1" applyFont="1" applyBorder="1" applyAlignment="1">
      <alignment horizontal="right" vertical="center" wrapText="1"/>
    </xf>
    <xf numFmtId="165" fontId="69" fillId="19" borderId="3" xfId="0" applyNumberFormat="1" applyFont="1" applyFill="1" applyBorder="1" applyAlignment="1">
      <alignment horizontal="right" vertical="center" wrapText="1"/>
    </xf>
    <xf numFmtId="0" fontId="71" fillId="0" borderId="0" xfId="0" applyFont="1" applyFill="1" applyAlignment="1">
      <alignment horizontal="right" vertical="center" wrapText="1"/>
    </xf>
    <xf numFmtId="0" fontId="69" fillId="0" borderId="0" xfId="0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horizontal="right" vertical="center" wrapText="1"/>
    </xf>
    <xf numFmtId="0" fontId="20" fillId="0" borderId="29" xfId="0" applyFont="1" applyBorder="1"/>
    <xf numFmtId="2" fontId="20" fillId="0" borderId="0" xfId="0" applyNumberFormat="1" applyFont="1" applyAlignment="1">
      <alignment horizontal="center"/>
    </xf>
    <xf numFmtId="14" fontId="20" fillId="0" borderId="1" xfId="0" applyNumberFormat="1" applyFont="1" applyBorder="1"/>
    <xf numFmtId="0" fontId="20" fillId="0" borderId="3" xfId="0" applyFont="1" applyBorder="1" applyAlignment="1">
      <alignment vertical="center" wrapText="1"/>
    </xf>
    <xf numFmtId="0" fontId="47" fillId="0" borderId="3" xfId="0" applyFont="1" applyBorder="1" applyAlignment="1">
      <alignment horizontal="right" vertical="center" wrapText="1"/>
    </xf>
    <xf numFmtId="0" fontId="47" fillId="0" borderId="3" xfId="0" applyFont="1" applyBorder="1" applyAlignment="1">
      <alignment vertical="center" wrapText="1"/>
    </xf>
    <xf numFmtId="3" fontId="47" fillId="0" borderId="3" xfId="0" applyNumberFormat="1" applyFont="1" applyBorder="1" applyAlignment="1">
      <alignment horizontal="right" vertical="center" wrapText="1"/>
    </xf>
    <xf numFmtId="0" fontId="47" fillId="0" borderId="0" xfId="0" applyFont="1" applyAlignment="1">
      <alignment vertical="center" wrapText="1"/>
    </xf>
    <xf numFmtId="3" fontId="47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1"/>
    </xf>
    <xf numFmtId="0" fontId="20" fillId="0" borderId="20" xfId="0" applyFont="1" applyBorder="1" applyAlignment="1">
      <alignment vertical="center" wrapText="1"/>
    </xf>
    <xf numFmtId="0" fontId="51" fillId="0" borderId="0" xfId="0" applyFont="1" applyAlignment="1">
      <alignment horizontal="right" vertical="center" wrapText="1"/>
    </xf>
    <xf numFmtId="0" fontId="75" fillId="0" borderId="13" xfId="0" applyFont="1" applyBorder="1" applyAlignment="1">
      <alignment vertical="center"/>
    </xf>
    <xf numFmtId="0" fontId="45" fillId="0" borderId="1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9" xfId="0" applyFont="1" applyBorder="1" applyAlignment="1">
      <alignment vertical="center"/>
    </xf>
    <xf numFmtId="0" fontId="46" fillId="0" borderId="9" xfId="0" applyFont="1" applyBorder="1" applyAlignment="1">
      <alignment horizontal="center" vertical="center"/>
    </xf>
    <xf numFmtId="165" fontId="20" fillId="0" borderId="29" xfId="0" applyNumberFormat="1" applyFont="1" applyBorder="1" applyAlignment="1">
      <alignment horizontal="center"/>
    </xf>
    <xf numFmtId="165" fontId="47" fillId="0" borderId="0" xfId="0" applyNumberFormat="1" applyFont="1"/>
    <xf numFmtId="165" fontId="71" fillId="20" borderId="3" xfId="0" applyNumberFormat="1" applyFont="1" applyFill="1" applyBorder="1" applyAlignment="1">
      <alignment horizontal="right" vertical="center" wrapText="1"/>
    </xf>
    <xf numFmtId="165" fontId="68" fillId="20" borderId="3" xfId="0" applyNumberFormat="1" applyFont="1" applyFill="1" applyBorder="1" applyAlignment="1">
      <alignment horizontal="right" vertical="center" wrapText="1"/>
    </xf>
    <xf numFmtId="165" fontId="70" fillId="21" borderId="4" xfId="0" applyNumberFormat="1" applyFont="1" applyFill="1" applyBorder="1" applyAlignment="1">
      <alignment horizontal="right" vertical="center" wrapText="1"/>
    </xf>
    <xf numFmtId="165" fontId="71" fillId="20" borderId="4" xfId="0" applyNumberFormat="1" applyFont="1" applyFill="1" applyBorder="1" applyAlignment="1">
      <alignment horizontal="right" vertical="center" wrapText="1"/>
    </xf>
    <xf numFmtId="165" fontId="69" fillId="19" borderId="4" xfId="0" applyNumberFormat="1" applyFont="1" applyFill="1" applyBorder="1" applyAlignment="1">
      <alignment horizontal="right" vertical="center" wrapText="1"/>
    </xf>
    <xf numFmtId="0" fontId="45" fillId="0" borderId="3" xfId="0" applyFont="1" applyBorder="1" applyAlignment="1">
      <alignment vertical="center" wrapText="1"/>
    </xf>
    <xf numFmtId="165" fontId="47" fillId="0" borderId="0" xfId="0" applyNumberFormat="1" applyFont="1" applyFill="1" applyBorder="1" applyAlignment="1">
      <alignment horizontal="right" vertical="center" wrapText="1"/>
    </xf>
    <xf numFmtId="165" fontId="48" fillId="0" borderId="0" xfId="0" applyNumberFormat="1" applyFont="1" applyAlignment="1">
      <alignment horizontal="right" vertical="center"/>
    </xf>
    <xf numFmtId="165" fontId="47" fillId="0" borderId="3" xfId="0" applyNumberFormat="1" applyFont="1" applyFill="1" applyBorder="1" applyAlignment="1">
      <alignment horizontal="right" vertical="center" wrapText="1"/>
    </xf>
    <xf numFmtId="165" fontId="48" fillId="0" borderId="3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 wrapText="1"/>
    </xf>
    <xf numFmtId="165" fontId="20" fillId="0" borderId="3" xfId="0" applyNumberFormat="1" applyFont="1" applyBorder="1" applyAlignment="1">
      <alignment horizontal="right" vertical="center" wrapText="1"/>
    </xf>
    <xf numFmtId="165" fontId="45" fillId="0" borderId="0" xfId="0" applyNumberFormat="1" applyFont="1" applyAlignment="1">
      <alignment horizontal="right" vertical="center"/>
    </xf>
    <xf numFmtId="165" fontId="46" fillId="0" borderId="0" xfId="0" applyNumberFormat="1" applyFont="1" applyAlignment="1">
      <alignment horizontal="right" vertical="center"/>
    </xf>
    <xf numFmtId="1" fontId="46" fillId="0" borderId="0" xfId="0" applyNumberFormat="1" applyFont="1" applyAlignment="1">
      <alignment horizontal="right" vertical="center"/>
    </xf>
    <xf numFmtId="0" fontId="47" fillId="0" borderId="3" xfId="0" applyFont="1" applyFill="1" applyBorder="1"/>
    <xf numFmtId="0" fontId="20" fillId="0" borderId="3" xfId="0" applyFont="1" applyFill="1" applyBorder="1"/>
    <xf numFmtId="0" fontId="60" fillId="0" borderId="3" xfId="0" applyFont="1" applyBorder="1"/>
    <xf numFmtId="0" fontId="47" fillId="0" borderId="5" xfId="0" applyFont="1" applyFill="1" applyBorder="1"/>
    <xf numFmtId="0" fontId="20" fillId="0" borderId="5" xfId="0" applyFont="1" applyFill="1" applyBorder="1"/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center" vertical="center" wrapText="1"/>
    </xf>
    <xf numFmtId="165" fontId="45" fillId="0" borderId="0" xfId="0" applyNumberFormat="1" applyFont="1" applyBorder="1" applyAlignment="1">
      <alignment horizontal="right" vertical="center"/>
    </xf>
    <xf numFmtId="0" fontId="45" fillId="0" borderId="3" xfId="0" applyFont="1" applyFill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right" vertical="center"/>
    </xf>
    <xf numFmtId="165" fontId="69" fillId="19" borderId="0" xfId="0" applyNumberFormat="1" applyFont="1" applyFill="1" applyBorder="1" applyAlignment="1">
      <alignment horizontal="right" vertical="center" wrapText="1"/>
    </xf>
    <xf numFmtId="0" fontId="61" fillId="0" borderId="0" xfId="54" applyFont="1"/>
    <xf numFmtId="165" fontId="47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20" fillId="0" borderId="20" xfId="0" applyNumberFormat="1" applyFont="1" applyBorder="1" applyAlignment="1">
      <alignment horizontal="right" vertical="center" wrapText="1"/>
    </xf>
    <xf numFmtId="0" fontId="78" fillId="0" borderId="0" xfId="10" applyFont="1" applyFill="1" applyBorder="1" applyAlignment="1">
      <alignment horizontal="left" vertical="center" indent="1"/>
    </xf>
    <xf numFmtId="3" fontId="0" fillId="0" borderId="0" xfId="0" applyNumberFormat="1"/>
    <xf numFmtId="0" fontId="57" fillId="0" borderId="0" xfId="0" applyFont="1" applyBorder="1" applyAlignment="1">
      <alignment horizontal="center" vertical="center" wrapText="1"/>
    </xf>
    <xf numFmtId="0" fontId="0" fillId="0" borderId="1" xfId="0" applyBorder="1"/>
    <xf numFmtId="0" fontId="78" fillId="0" borderId="0" xfId="10" applyFont="1" applyFill="1" applyBorder="1" applyAlignment="1">
      <alignment horizontal="left" vertical="center" indent="2"/>
    </xf>
    <xf numFmtId="0" fontId="78" fillId="0" borderId="1" xfId="10" applyFont="1" applyFill="1" applyBorder="1" applyAlignment="1">
      <alignment horizontal="left" vertical="center" indent="2"/>
    </xf>
    <xf numFmtId="0" fontId="79" fillId="0" borderId="29" xfId="10" applyFont="1" applyFill="1" applyBorder="1" applyAlignment="1">
      <alignment horizontal="left" vertical="center"/>
    </xf>
    <xf numFmtId="0" fontId="79" fillId="0" borderId="1" xfId="10" applyFont="1" applyFill="1" applyBorder="1" applyAlignment="1">
      <alignment horizontal="left" vertical="center"/>
    </xf>
    <xf numFmtId="166" fontId="57" fillId="17" borderId="35" xfId="5" applyNumberFormat="1" applyFont="1" applyFill="1" applyBorder="1" applyAlignment="1" applyProtection="1">
      <protection locked="0"/>
    </xf>
    <xf numFmtId="3" fontId="53" fillId="13" borderId="33" xfId="69" applyNumberFormat="1" applyFont="1" applyFill="1" applyBorder="1" applyAlignment="1" applyProtection="1"/>
    <xf numFmtId="3" fontId="49" fillId="0" borderId="33" xfId="69" applyNumberFormat="1" applyFont="1" applyFill="1" applyBorder="1" applyAlignment="1" applyProtection="1"/>
    <xf numFmtId="3" fontId="54" fillId="0" borderId="33" xfId="69" applyNumberFormat="1" applyFont="1" applyFill="1" applyBorder="1" applyAlignment="1" applyProtection="1"/>
    <xf numFmtId="3" fontId="57" fillId="14" borderId="19" xfId="5" applyNumberFormat="1" applyFont="1" applyFill="1" applyBorder="1" applyAlignment="1" applyProtection="1">
      <alignment horizontal="right" vertical="center"/>
      <protection locked="0"/>
    </xf>
    <xf numFmtId="3" fontId="57" fillId="13" borderId="33" xfId="69" applyNumberFormat="1" applyFont="1" applyFill="1" applyBorder="1" applyAlignment="1" applyProtection="1"/>
    <xf numFmtId="3" fontId="54" fillId="0" borderId="33" xfId="69" applyNumberFormat="1" applyFont="1" applyFill="1" applyBorder="1"/>
    <xf numFmtId="3" fontId="54" fillId="0" borderId="32" xfId="69" applyNumberFormat="1" applyFont="1" applyFill="1" applyBorder="1" applyAlignment="1" applyProtection="1">
      <alignment horizontal="center"/>
    </xf>
    <xf numFmtId="166" fontId="57" fillId="14" borderId="35" xfId="5" applyNumberFormat="1" applyFont="1" applyFill="1" applyBorder="1" applyAlignment="1" applyProtection="1">
      <alignment horizontal="right" vertical="center"/>
      <protection locked="0"/>
    </xf>
    <xf numFmtId="0" fontId="51" fillId="0" borderId="0" xfId="0" applyFont="1" applyBorder="1" applyAlignment="1">
      <alignment horizontal="right" vertical="center" wrapText="1"/>
    </xf>
    <xf numFmtId="3" fontId="20" fillId="0" borderId="36" xfId="0" applyNumberFormat="1" applyFont="1" applyBorder="1" applyAlignment="1">
      <alignment horizontal="right" vertical="center" wrapText="1"/>
    </xf>
    <xf numFmtId="0" fontId="47" fillId="0" borderId="0" xfId="51" applyFont="1" applyFill="1" applyAlignment="1">
      <alignment horizontal="left" indent="1"/>
    </xf>
    <xf numFmtId="165" fontId="20" fillId="0" borderId="0" xfId="51" applyNumberFormat="1" applyFont="1" applyFill="1"/>
    <xf numFmtId="0" fontId="20" fillId="0" borderId="0" xfId="51" applyFont="1" applyFill="1" applyAlignment="1">
      <alignment horizontal="left" indent="1"/>
    </xf>
    <xf numFmtId="0" fontId="20" fillId="0" borderId="0" xfId="51" applyFont="1" applyFill="1"/>
    <xf numFmtId="0" fontId="81" fillId="0" borderId="0" xfId="73" applyFont="1"/>
    <xf numFmtId="0" fontId="20" fillId="0" borderId="0" xfId="73" applyFont="1"/>
    <xf numFmtId="0" fontId="81" fillId="0" borderId="3" xfId="73" applyFont="1" applyBorder="1"/>
    <xf numFmtId="0" fontId="20" fillId="0" borderId="3" xfId="73" applyFont="1" applyBorder="1"/>
    <xf numFmtId="0" fontId="20" fillId="0" borderId="5" xfId="73" applyFont="1" applyBorder="1"/>
    <xf numFmtId="2" fontId="57" fillId="0" borderId="5" xfId="73" applyNumberFormat="1" applyFont="1" applyFill="1" applyBorder="1" applyAlignment="1">
      <alignment horizontal="center" vertical="center"/>
    </xf>
    <xf numFmtId="2" fontId="20" fillId="0" borderId="0" xfId="73" applyNumberFormat="1" applyFont="1" applyAlignment="1">
      <alignment horizontal="center"/>
    </xf>
    <xf numFmtId="2" fontId="20" fillId="0" borderId="3" xfId="73" applyNumberFormat="1" applyFont="1" applyBorder="1" applyAlignment="1">
      <alignment horizontal="center"/>
    </xf>
    <xf numFmtId="0" fontId="47" fillId="0" borderId="3" xfId="73" applyFont="1" applyBorder="1" applyAlignment="1">
      <alignment horizontal="center"/>
    </xf>
    <xf numFmtId="0" fontId="82" fillId="0" borderId="0" xfId="0" applyFont="1"/>
    <xf numFmtId="0" fontId="83" fillId="0" borderId="0" xfId="0" applyFont="1"/>
    <xf numFmtId="0" fontId="72" fillId="0" borderId="3" xfId="9" applyFont="1" applyFill="1" applyBorder="1"/>
    <xf numFmtId="1" fontId="72" fillId="0" borderId="3" xfId="9" applyNumberFormat="1" applyFont="1" applyFill="1" applyBorder="1"/>
    <xf numFmtId="3" fontId="84" fillId="12" borderId="3" xfId="9" applyNumberFormat="1" applyFont="1" applyFill="1" applyBorder="1" applyProtection="1">
      <protection locked="0"/>
    </xf>
    <xf numFmtId="3" fontId="57" fillId="12" borderId="3" xfId="9" applyNumberFormat="1" applyFont="1" applyFill="1" applyBorder="1" applyProtection="1">
      <protection locked="0"/>
    </xf>
    <xf numFmtId="0" fontId="85" fillId="0" borderId="0" xfId="0" applyFont="1"/>
    <xf numFmtId="166" fontId="10" fillId="0" borderId="0" xfId="73" applyNumberFormat="1"/>
    <xf numFmtId="0" fontId="10" fillId="0" borderId="0" xfId="73"/>
    <xf numFmtId="0" fontId="87" fillId="0" borderId="0" xfId="73" applyFont="1"/>
    <xf numFmtId="0" fontId="86" fillId="0" borderId="0" xfId="73" applyFont="1" applyAlignment="1">
      <alignment vertical="center"/>
    </xf>
    <xf numFmtId="2" fontId="88" fillId="0" borderId="0" xfId="73" applyNumberFormat="1" applyFont="1" applyAlignment="1">
      <alignment horizontal="center" vertical="center"/>
    </xf>
    <xf numFmtId="2" fontId="86" fillId="0" borderId="0" xfId="73" applyNumberFormat="1" applyFont="1" applyAlignment="1">
      <alignment horizontal="center" vertical="center"/>
    </xf>
    <xf numFmtId="0" fontId="88" fillId="0" borderId="0" xfId="73" applyFont="1" applyAlignment="1">
      <alignment vertical="center"/>
    </xf>
    <xf numFmtId="0" fontId="87" fillId="0" borderId="3" xfId="73" applyFont="1" applyBorder="1"/>
    <xf numFmtId="0" fontId="86" fillId="0" borderId="3" xfId="73" applyFont="1" applyBorder="1" applyAlignment="1">
      <alignment vertical="center"/>
    </xf>
    <xf numFmtId="2" fontId="88" fillId="0" borderId="3" xfId="73" applyNumberFormat="1" applyFont="1" applyBorder="1" applyAlignment="1">
      <alignment horizontal="center" vertical="center"/>
    </xf>
    <xf numFmtId="2" fontId="86" fillId="0" borderId="3" xfId="73" applyNumberFormat="1" applyFont="1" applyBorder="1" applyAlignment="1">
      <alignment horizontal="center" vertical="center"/>
    </xf>
    <xf numFmtId="0" fontId="50" fillId="0" borderId="0" xfId="0" applyFont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85" fillId="0" borderId="0" xfId="0" applyFont="1" applyFill="1" applyAlignment="1">
      <alignment vertical="center"/>
    </xf>
    <xf numFmtId="0" fontId="85" fillId="0" borderId="0" xfId="0" applyFont="1" applyFill="1"/>
    <xf numFmtId="2" fontId="20" fillId="0" borderId="29" xfId="0" applyNumberFormat="1" applyFont="1" applyBorder="1" applyAlignment="1"/>
    <xf numFmtId="0" fontId="50" fillId="0" borderId="0" xfId="0" applyFont="1" applyFill="1" applyBorder="1" applyAlignment="1">
      <alignment vertical="center"/>
    </xf>
    <xf numFmtId="0" fontId="47" fillId="0" borderId="1" xfId="3" applyFont="1" applyFill="1" applyBorder="1" applyAlignment="1">
      <alignment vertical="center"/>
    </xf>
    <xf numFmtId="165" fontId="20" fillId="0" borderId="1" xfId="30" applyNumberFormat="1" applyFont="1" applyFill="1" applyBorder="1"/>
    <xf numFmtId="0" fontId="85" fillId="0" borderId="0" xfId="0" applyFont="1" applyAlignment="1">
      <alignment horizontal="justify" vertical="center"/>
    </xf>
    <xf numFmtId="165" fontId="78" fillId="0" borderId="0" xfId="0" applyNumberFormat="1" applyFont="1" applyFill="1" applyBorder="1" applyAlignment="1">
      <alignment horizontal="center" vertical="center" wrapText="1"/>
    </xf>
    <xf numFmtId="0" fontId="89" fillId="0" borderId="1" xfId="69" applyNumberFormat="1" applyFont="1" applyFill="1" applyBorder="1" applyAlignment="1" applyProtection="1"/>
    <xf numFmtId="0" fontId="9" fillId="0" borderId="1" xfId="0" applyFont="1" applyBorder="1"/>
    <xf numFmtId="0" fontId="89" fillId="0" borderId="1" xfId="69" applyNumberFormat="1" applyFont="1" applyFill="1" applyBorder="1" applyAlignment="1" applyProtection="1">
      <alignment horizontal="center"/>
    </xf>
    <xf numFmtId="165" fontId="46" fillId="0" borderId="0" xfId="7" applyNumberFormat="1" applyFont="1" applyFill="1" applyBorder="1" applyAlignment="1">
      <alignment horizontal="center" vertical="center"/>
    </xf>
    <xf numFmtId="2" fontId="46" fillId="0" borderId="0" xfId="7" applyNumberFormat="1" applyFont="1" applyFill="1" applyBorder="1" applyAlignment="1">
      <alignment horizontal="center" vertical="center"/>
    </xf>
    <xf numFmtId="165" fontId="46" fillId="0" borderId="0" xfId="6" applyNumberFormat="1" applyFont="1" applyFill="1" applyBorder="1" applyAlignment="1">
      <alignment horizontal="center" vertical="center"/>
    </xf>
    <xf numFmtId="2" fontId="46" fillId="0" borderId="0" xfId="6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165" fontId="49" fillId="0" borderId="0" xfId="30" applyNumberFormat="1" applyFont="1" applyFill="1" applyBorder="1"/>
    <xf numFmtId="0" fontId="45" fillId="0" borderId="5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2" fontId="45" fillId="0" borderId="5" xfId="0" applyNumberFormat="1" applyFont="1" applyFill="1" applyBorder="1" applyAlignment="1">
      <alignment horizontal="center" vertical="center" wrapText="1"/>
    </xf>
    <xf numFmtId="2" fontId="45" fillId="0" borderId="3" xfId="0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/>
    </xf>
    <xf numFmtId="0" fontId="47" fillId="0" borderId="20" xfId="0" applyFont="1" applyFill="1" applyBorder="1" applyAlignment="1">
      <alignment horizontal="center" vertical="center" wrapText="1"/>
    </xf>
    <xf numFmtId="0" fontId="46" fillId="22" borderId="0" xfId="0" applyFont="1" applyFill="1" applyBorder="1" applyAlignment="1">
      <alignment vertical="center"/>
    </xf>
    <xf numFmtId="165" fontId="46" fillId="22" borderId="0" xfId="0" applyNumberFormat="1" applyFont="1" applyFill="1" applyAlignment="1">
      <alignment horizontal="center" vertical="center"/>
    </xf>
    <xf numFmtId="165" fontId="46" fillId="22" borderId="9" xfId="0" applyNumberFormat="1" applyFont="1" applyFill="1" applyBorder="1" applyAlignment="1">
      <alignment horizontal="center" vertical="center"/>
    </xf>
    <xf numFmtId="0" fontId="46" fillId="22" borderId="13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/>
    </xf>
    <xf numFmtId="2" fontId="45" fillId="0" borderId="12" xfId="0" applyNumberFormat="1" applyFont="1" applyBorder="1" applyAlignment="1">
      <alignment horizontal="center" vertical="center"/>
    </xf>
    <xf numFmtId="2" fontId="45" fillId="0" borderId="5" xfId="0" applyNumberFormat="1" applyFont="1" applyBorder="1" applyAlignment="1">
      <alignment horizontal="center" vertical="center"/>
    </xf>
    <xf numFmtId="2" fontId="45" fillId="0" borderId="16" xfId="0" applyNumberFormat="1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0" xfId="0" applyFont="1" applyBorder="1" applyAlignment="1">
      <alignment horizontal="left" vertical="center" wrapText="1" indent="2"/>
    </xf>
    <xf numFmtId="0" fontId="46" fillId="0" borderId="0" xfId="0" applyFont="1" applyAlignment="1">
      <alignment horizontal="left" vertical="center" wrapText="1" indent="2"/>
    </xf>
    <xf numFmtId="0" fontId="46" fillId="0" borderId="3" xfId="0" applyFont="1" applyBorder="1" applyAlignment="1">
      <alignment horizontal="left" vertical="center" wrapText="1" indent="2"/>
    </xf>
    <xf numFmtId="0" fontId="45" fillId="0" borderId="5" xfId="0" applyFont="1" applyFill="1" applyBorder="1" applyAlignment="1">
      <alignment horizontal="left" vertical="center" wrapText="1" indent="1"/>
    </xf>
    <xf numFmtId="0" fontId="45" fillId="0" borderId="3" xfId="0" applyFont="1" applyFill="1" applyBorder="1" applyAlignment="1">
      <alignment horizontal="left" vertical="center" wrapText="1" indent="1"/>
    </xf>
    <xf numFmtId="0" fontId="45" fillId="0" borderId="5" xfId="0" applyFont="1" applyBorder="1" applyAlignment="1">
      <alignment horizontal="left" vertical="center" wrapText="1" indent="1"/>
    </xf>
    <xf numFmtId="0" fontId="8" fillId="0" borderId="0" xfId="52" applyFont="1" applyBorder="1"/>
    <xf numFmtId="0" fontId="8" fillId="0" borderId="0" xfId="52" applyFont="1"/>
    <xf numFmtId="0" fontId="79" fillId="0" borderId="2" xfId="10" applyFont="1" applyFill="1" applyBorder="1" applyAlignment="1">
      <alignment horizontal="left" vertical="center"/>
    </xf>
    <xf numFmtId="0" fontId="79" fillId="0" borderId="3" xfId="10" applyFont="1" applyFill="1" applyBorder="1" applyAlignment="1">
      <alignment horizontal="left" vertical="center"/>
    </xf>
    <xf numFmtId="0" fontId="57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7" fillId="0" borderId="1" xfId="0" applyFont="1" applyBorder="1"/>
    <xf numFmtId="3" fontId="91" fillId="0" borderId="0" xfId="0" applyNumberFormat="1" applyFont="1" applyBorder="1" applyAlignment="1">
      <alignment horizontal="center" vertical="center" wrapText="1"/>
    </xf>
    <xf numFmtId="3" fontId="92" fillId="0" borderId="0" xfId="0" applyNumberFormat="1" applyFont="1" applyBorder="1" applyAlignment="1">
      <alignment horizontal="center"/>
    </xf>
    <xf numFmtId="3" fontId="92" fillId="0" borderId="0" xfId="0" applyNumberFormat="1" applyFont="1" applyAlignment="1">
      <alignment horizontal="center"/>
    </xf>
    <xf numFmtId="3" fontId="92" fillId="0" borderId="1" xfId="0" applyNumberFormat="1" applyFont="1" applyBorder="1" applyAlignment="1">
      <alignment horizontal="center"/>
    </xf>
    <xf numFmtId="4" fontId="92" fillId="0" borderId="0" xfId="0" applyNumberFormat="1" applyFont="1" applyAlignment="1">
      <alignment horizontal="center"/>
    </xf>
    <xf numFmtId="3" fontId="92" fillId="0" borderId="3" xfId="0" applyNumberFormat="1" applyFont="1" applyBorder="1" applyAlignment="1">
      <alignment horizontal="center"/>
    </xf>
    <xf numFmtId="3" fontId="93" fillId="0" borderId="1" xfId="0" applyNumberFormat="1" applyFont="1" applyBorder="1" applyAlignment="1">
      <alignment horizontal="center"/>
    </xf>
    <xf numFmtId="3" fontId="94" fillId="0" borderId="29" xfId="0" applyNumberFormat="1" applyFont="1" applyBorder="1" applyAlignment="1">
      <alignment horizontal="center" vertical="center" wrapText="1"/>
    </xf>
    <xf numFmtId="175" fontId="45" fillId="0" borderId="0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vertical="center"/>
    </xf>
    <xf numFmtId="0" fontId="46" fillId="0" borderId="10" xfId="0" applyFont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6" fillId="22" borderId="3" xfId="0" applyFont="1" applyFill="1" applyBorder="1" applyAlignment="1">
      <alignment vertical="center"/>
    </xf>
    <xf numFmtId="0" fontId="46" fillId="22" borderId="10" xfId="0" applyFont="1" applyFill="1" applyBorder="1" applyAlignment="1">
      <alignment horizontal="center" vertical="center"/>
    </xf>
    <xf numFmtId="165" fontId="46" fillId="22" borderId="3" xfId="0" applyNumberFormat="1" applyFont="1" applyFill="1" applyBorder="1" applyAlignment="1">
      <alignment horizontal="center" vertical="center"/>
    </xf>
    <xf numFmtId="165" fontId="46" fillId="22" borderId="12" xfId="0" applyNumberFormat="1" applyFont="1" applyFill="1" applyBorder="1" applyAlignment="1">
      <alignment horizontal="center" vertical="center"/>
    </xf>
    <xf numFmtId="2" fontId="45" fillId="0" borderId="5" xfId="0" applyNumberFormat="1" applyFont="1" applyFill="1" applyBorder="1" applyAlignment="1">
      <alignment horizontal="center" vertical="center"/>
    </xf>
    <xf numFmtId="2" fontId="45" fillId="0" borderId="16" xfId="0" applyNumberFormat="1" applyFont="1" applyFill="1" applyBorder="1" applyAlignment="1">
      <alignment horizontal="center" vertical="center"/>
    </xf>
    <xf numFmtId="2" fontId="45" fillId="0" borderId="3" xfId="0" applyNumberFormat="1" applyFont="1" applyFill="1" applyBorder="1" applyAlignment="1">
      <alignment horizontal="center" vertical="center"/>
    </xf>
    <xf numFmtId="2" fontId="45" fillId="0" borderId="12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45" fillId="0" borderId="0" xfId="2" applyFont="1" applyFill="1" applyBorder="1" applyAlignment="1">
      <alignment horizontal="center" vertical="center" wrapText="1"/>
    </xf>
    <xf numFmtId="0" fontId="8" fillId="0" borderId="0" xfId="0" applyFont="1"/>
    <xf numFmtId="0" fontId="79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9" fillId="0" borderId="4" xfId="0" applyFont="1" applyBorder="1" applyAlignment="1">
      <alignment vertical="center"/>
    </xf>
    <xf numFmtId="2" fontId="78" fillId="0" borderId="0" xfId="0" applyNumberFormat="1" applyFont="1" applyAlignment="1">
      <alignment horizontal="center" vertical="center"/>
    </xf>
    <xf numFmtId="0" fontId="95" fillId="0" borderId="0" xfId="0" applyFont="1"/>
    <xf numFmtId="0" fontId="78" fillId="0" borderId="0" xfId="0" applyFont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 indent="1"/>
    </xf>
    <xf numFmtId="0" fontId="46" fillId="0" borderId="0" xfId="0" applyFont="1" applyAlignment="1">
      <alignment horizontal="left" vertical="center" indent="2"/>
    </xf>
    <xf numFmtId="0" fontId="79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left" vertical="center" wrapText="1" indent="1"/>
    </xf>
    <xf numFmtId="0" fontId="96" fillId="0" borderId="0" xfId="0" applyFont="1"/>
    <xf numFmtId="0" fontId="47" fillId="0" borderId="0" xfId="2" applyFont="1" applyFill="1" applyBorder="1"/>
    <xf numFmtId="165" fontId="20" fillId="0" borderId="0" xfId="2" applyNumberFormat="1" applyFont="1" applyFill="1" applyBorder="1" applyAlignment="1">
      <alignment vertical="center"/>
    </xf>
    <xf numFmtId="0" fontId="46" fillId="0" borderId="0" xfId="2" applyFont="1" applyFill="1" applyBorder="1" applyAlignment="1">
      <alignment horizontal="center" vertical="center"/>
    </xf>
    <xf numFmtId="0" fontId="79" fillId="0" borderId="22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78" fillId="0" borderId="6" xfId="0" applyFont="1" applyBorder="1" applyAlignment="1">
      <alignment horizontal="center" vertical="center"/>
    </xf>
    <xf numFmtId="0" fontId="78" fillId="0" borderId="12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 wrapText="1"/>
    </xf>
    <xf numFmtId="0" fontId="45" fillId="0" borderId="3" xfId="2" applyFont="1" applyFill="1" applyBorder="1" applyAlignment="1">
      <alignment vertical="center" wrapText="1"/>
    </xf>
    <xf numFmtId="0" fontId="79" fillId="0" borderId="37" xfId="0" applyFont="1" applyBorder="1" applyAlignment="1">
      <alignment horizontal="center" vertical="center" wrapText="1"/>
    </xf>
    <xf numFmtId="0" fontId="79" fillId="0" borderId="16" xfId="0" applyFont="1" applyBorder="1" applyAlignment="1">
      <alignment horizontal="center" vertical="center" wrapText="1"/>
    </xf>
    <xf numFmtId="0" fontId="20" fillId="0" borderId="0" xfId="2" applyFont="1" applyBorder="1" applyAlignment="1">
      <alignment wrapText="1"/>
    </xf>
    <xf numFmtId="0" fontId="20" fillId="0" borderId="0" xfId="2" applyFont="1" applyAlignment="1">
      <alignment wrapText="1"/>
    </xf>
    <xf numFmtId="0" fontId="20" fillId="0" borderId="0" xfId="2" applyFont="1" applyFill="1" applyBorder="1" applyAlignment="1">
      <alignment wrapText="1"/>
    </xf>
    <xf numFmtId="167" fontId="20" fillId="0" borderId="0" xfId="25" applyNumberFormat="1" applyFont="1" applyFill="1" applyBorder="1" applyAlignment="1">
      <alignment wrapText="1"/>
    </xf>
    <xf numFmtId="165" fontId="20" fillId="0" borderId="0" xfId="2" applyNumberFormat="1" applyFont="1" applyFill="1" applyBorder="1" applyAlignment="1">
      <alignment wrapText="1"/>
    </xf>
    <xf numFmtId="0" fontId="20" fillId="0" borderId="0" xfId="0" applyFont="1" applyAlignment="1">
      <alignment wrapText="1"/>
    </xf>
    <xf numFmtId="0" fontId="79" fillId="0" borderId="3" xfId="0" applyFont="1" applyBorder="1" applyAlignment="1">
      <alignment vertical="center"/>
    </xf>
    <xf numFmtId="0" fontId="79" fillId="0" borderId="12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vertical="center"/>
    </xf>
    <xf numFmtId="0" fontId="78" fillId="0" borderId="12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/>
    </xf>
    <xf numFmtId="0" fontId="46" fillId="0" borderId="12" xfId="2" applyFont="1" applyFill="1" applyBorder="1" applyAlignment="1">
      <alignment horizontal="center" vertical="center" wrapText="1"/>
    </xf>
    <xf numFmtId="165" fontId="79" fillId="0" borderId="3" xfId="0" applyNumberFormat="1" applyFont="1" applyBorder="1" applyAlignment="1">
      <alignment horizontal="center" vertical="center" wrapText="1"/>
    </xf>
    <xf numFmtId="165" fontId="78" fillId="0" borderId="3" xfId="0" applyNumberFormat="1" applyFont="1" applyBorder="1" applyAlignment="1">
      <alignment horizontal="center" vertical="center" wrapText="1"/>
    </xf>
    <xf numFmtId="166" fontId="49" fillId="0" borderId="0" xfId="22" applyNumberFormat="1" applyFont="1"/>
    <xf numFmtId="165" fontId="78" fillId="0" borderId="0" xfId="0" applyNumberFormat="1" applyFont="1" applyAlignment="1">
      <alignment horizontal="center" vertical="center" wrapText="1"/>
    </xf>
    <xf numFmtId="165" fontId="78" fillId="0" borderId="9" xfId="0" applyNumberFormat="1" applyFont="1" applyBorder="1" applyAlignment="1">
      <alignment horizontal="center" vertical="center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" fillId="0" borderId="0" xfId="0" applyFont="1" applyBorder="1"/>
    <xf numFmtId="165" fontId="8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176" fontId="8" fillId="0" borderId="0" xfId="0" applyNumberFormat="1" applyFont="1"/>
    <xf numFmtId="165" fontId="8" fillId="0" borderId="0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50" fillId="0" borderId="0" xfId="0" applyFont="1" applyBorder="1" applyAlignment="1">
      <alignment horizontal="right" vertical="center"/>
    </xf>
    <xf numFmtId="165" fontId="91" fillId="0" borderId="3" xfId="0" applyNumberFormat="1" applyFont="1" applyBorder="1" applyAlignment="1">
      <alignment horizontal="center" vertical="center"/>
    </xf>
    <xf numFmtId="165" fontId="91" fillId="0" borderId="12" xfId="0" applyNumberFormat="1" applyFont="1" applyBorder="1" applyAlignment="1">
      <alignment horizontal="center" vertical="center"/>
    </xf>
    <xf numFmtId="0" fontId="78" fillId="0" borderId="12" xfId="0" applyFont="1" applyBorder="1" applyAlignment="1">
      <alignment vertical="center"/>
    </xf>
    <xf numFmtId="0" fontId="91" fillId="0" borderId="0" xfId="0" applyFont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0" fontId="78" fillId="0" borderId="9" xfId="0" applyFont="1" applyBorder="1" applyAlignment="1">
      <alignment vertical="center"/>
    </xf>
    <xf numFmtId="0" fontId="8" fillId="0" borderId="0" xfId="0" applyFont="1" applyBorder="1" applyAlignment="1"/>
    <xf numFmtId="0" fontId="79" fillId="2" borderId="5" xfId="0" applyFont="1" applyFill="1" applyBorder="1" applyAlignment="1">
      <alignment horizontal="center" vertical="center"/>
    </xf>
    <xf numFmtId="0" fontId="79" fillId="2" borderId="16" xfId="0" applyFont="1" applyFill="1" applyBorder="1" applyAlignment="1">
      <alignment horizontal="center" vertical="center"/>
    </xf>
    <xf numFmtId="0" fontId="78" fillId="2" borderId="16" xfId="0" applyFont="1" applyFill="1" applyBorder="1" applyAlignment="1">
      <alignment vertical="center"/>
    </xf>
    <xf numFmtId="0" fontId="78" fillId="2" borderId="5" xfId="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85" fillId="0" borderId="41" xfId="0" applyFont="1" applyBorder="1" applyAlignment="1">
      <alignment horizontal="right" vertical="center" wrapText="1"/>
    </xf>
    <xf numFmtId="165" fontId="92" fillId="0" borderId="42" xfId="0" applyNumberFormat="1" applyFont="1" applyBorder="1" applyAlignment="1">
      <alignment horizontal="center" vertical="center" wrapText="1"/>
    </xf>
    <xf numFmtId="165" fontId="78" fillId="0" borderId="42" xfId="0" applyNumberFormat="1" applyFont="1" applyBorder="1" applyAlignment="1">
      <alignment horizontal="center" vertical="center" wrapText="1"/>
    </xf>
    <xf numFmtId="165" fontId="78" fillId="0" borderId="0" xfId="0" applyNumberFormat="1" applyFont="1" applyAlignment="1">
      <alignment horizontal="center" vertical="center"/>
    </xf>
    <xf numFmtId="165" fontId="92" fillId="0" borderId="0" xfId="0" applyNumberFormat="1" applyFont="1" applyAlignment="1">
      <alignment horizontal="center" vertical="center" wrapText="1"/>
    </xf>
    <xf numFmtId="165" fontId="78" fillId="0" borderId="4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85" fillId="0" borderId="0" xfId="0" applyFont="1" applyBorder="1" applyAlignment="1">
      <alignment horizontal="right" vertical="center" wrapText="1"/>
    </xf>
    <xf numFmtId="0" fontId="4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/>
    <xf numFmtId="0" fontId="8" fillId="0" borderId="29" xfId="0" applyFont="1" applyBorder="1" applyAlignment="1">
      <alignment wrapText="1"/>
    </xf>
    <xf numFmtId="165" fontId="8" fillId="0" borderId="29" xfId="0" applyNumberFormat="1" applyFont="1" applyBorder="1"/>
    <xf numFmtId="0" fontId="47" fillId="0" borderId="0" xfId="0" applyFont="1" applyAlignment="1">
      <alignment wrapText="1"/>
    </xf>
    <xf numFmtId="0" fontId="78" fillId="0" borderId="0" xfId="0" applyFont="1" applyAlignment="1">
      <alignment horizontal="center" vertical="center"/>
    </xf>
    <xf numFmtId="1" fontId="47" fillId="0" borderId="0" xfId="0" applyNumberFormat="1" applyFont="1"/>
    <xf numFmtId="0" fontId="54" fillId="0" borderId="0" xfId="56" applyFont="1" applyBorder="1"/>
    <xf numFmtId="0" fontId="54" fillId="0" borderId="0" xfId="56" applyFont="1" applyBorder="1" applyAlignment="1">
      <alignment horizontal="center"/>
    </xf>
    <xf numFmtId="165" fontId="49" fillId="0" borderId="0" xfId="56" applyNumberFormat="1" applyFont="1" applyBorder="1" applyAlignment="1">
      <alignment horizontal="center"/>
    </xf>
    <xf numFmtId="165" fontId="29" fillId="0" borderId="0" xfId="56" applyNumberFormat="1" applyFont="1" applyBorder="1" applyAlignment="1">
      <alignment horizontal="center"/>
    </xf>
    <xf numFmtId="0" fontId="54" fillId="0" borderId="1" xfId="56" applyFont="1" applyBorder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4" fillId="0" borderId="0" xfId="0" applyFont="1" applyAlignment="1">
      <alignment horizontal="justify" vertical="center"/>
    </xf>
    <xf numFmtId="0" fontId="49" fillId="0" borderId="1" xfId="0" applyFont="1" applyBorder="1"/>
    <xf numFmtId="0" fontId="79" fillId="0" borderId="3" xfId="0" applyFont="1" applyBorder="1" applyAlignment="1">
      <alignment vertical="center" wrapText="1"/>
    </xf>
    <xf numFmtId="0" fontId="78" fillId="0" borderId="0" xfId="0" applyFont="1" applyAlignment="1">
      <alignment vertical="center" wrapText="1"/>
    </xf>
    <xf numFmtId="0" fontId="9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8" fillId="0" borderId="0" xfId="0" applyFont="1" applyAlignment="1">
      <alignment horizontal="left" vertical="center" wrapText="1" indent="2"/>
    </xf>
    <xf numFmtId="0" fontId="98" fillId="0" borderId="0" xfId="0" applyFont="1" applyAlignment="1">
      <alignment horizontal="center" vertical="center"/>
    </xf>
    <xf numFmtId="0" fontId="7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9" fillId="0" borderId="5" xfId="0" applyFont="1" applyBorder="1" applyAlignment="1">
      <alignment horizontal="center" vertical="center"/>
    </xf>
    <xf numFmtId="0" fontId="79" fillId="0" borderId="5" xfId="0" applyFont="1" applyBorder="1" applyAlignment="1">
      <alignment vertical="center"/>
    </xf>
    <xf numFmtId="3" fontId="79" fillId="0" borderId="5" xfId="0" applyNumberFormat="1" applyFont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0" fontId="78" fillId="0" borderId="3" xfId="0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center"/>
    </xf>
    <xf numFmtId="3" fontId="20" fillId="0" borderId="0" xfId="52" applyNumberFormat="1" applyFont="1" applyFill="1" applyBorder="1" applyAlignment="1"/>
    <xf numFmtId="0" fontId="49" fillId="0" borderId="0" xfId="22" applyFont="1" applyFill="1"/>
    <xf numFmtId="165" fontId="20" fillId="0" borderId="0" xfId="52" applyNumberFormat="1" applyFont="1" applyFill="1" applyBorder="1"/>
    <xf numFmtId="0" fontId="60" fillId="0" borderId="3" xfId="60" applyFont="1" applyBorder="1" applyAlignment="1"/>
    <xf numFmtId="165" fontId="54" fillId="0" borderId="0" xfId="60" applyNumberFormat="1" applyFont="1" applyAlignment="1">
      <alignment horizontal="center"/>
    </xf>
    <xf numFmtId="165" fontId="54" fillId="0" borderId="0" xfId="60" applyNumberFormat="1" applyFont="1" applyFill="1" applyAlignment="1">
      <alignment horizontal="center"/>
    </xf>
    <xf numFmtId="0" fontId="53" fillId="10" borderId="29" xfId="60" applyFont="1" applyFill="1" applyBorder="1"/>
    <xf numFmtId="165" fontId="53" fillId="10" borderId="29" xfId="60" applyNumberFormat="1" applyFont="1" applyFill="1" applyBorder="1" applyAlignment="1">
      <alignment horizontal="center"/>
    </xf>
    <xf numFmtId="1" fontId="20" fillId="0" borderId="0" xfId="52" applyNumberFormat="1" applyFont="1" applyFill="1" applyBorder="1" applyAlignment="1"/>
    <xf numFmtId="1" fontId="49" fillId="0" borderId="0" xfId="59" applyNumberFormat="1" applyFont="1" applyFill="1" applyBorder="1" applyAlignment="1"/>
    <xf numFmtId="1" fontId="20" fillId="0" borderId="0" xfId="52" applyNumberFormat="1" applyFont="1" applyFill="1" applyBorder="1"/>
    <xf numFmtId="1" fontId="49" fillId="0" borderId="0" xfId="22" applyNumberFormat="1" applyFont="1" applyFill="1"/>
    <xf numFmtId="1" fontId="20" fillId="0" borderId="1" xfId="52" applyNumberFormat="1" applyFont="1" applyFill="1" applyBorder="1"/>
    <xf numFmtId="0" fontId="44" fillId="0" borderId="1" xfId="0" applyFont="1" applyBorder="1"/>
    <xf numFmtId="0" fontId="49" fillId="0" borderId="1" xfId="22" applyFont="1" applyBorder="1"/>
    <xf numFmtId="0" fontId="49" fillId="0" borderId="29" xfId="22" applyFont="1" applyBorder="1"/>
    <xf numFmtId="165" fontId="49" fillId="0" borderId="1" xfId="22" applyNumberFormat="1" applyFont="1" applyBorder="1"/>
    <xf numFmtId="0" fontId="78" fillId="0" borderId="0" xfId="0" applyFont="1" applyAlignment="1">
      <alignment horizontal="center" vertical="center"/>
    </xf>
    <xf numFmtId="0" fontId="78" fillId="0" borderId="9" xfId="0" applyFont="1" applyBorder="1" applyAlignment="1">
      <alignment vertical="center"/>
    </xf>
    <xf numFmtId="0" fontId="78" fillId="0" borderId="12" xfId="0" applyFont="1" applyBorder="1" applyAlignment="1">
      <alignment vertical="center" wrapText="1"/>
    </xf>
    <xf numFmtId="0" fontId="79" fillId="0" borderId="12" xfId="0" applyFont="1" applyBorder="1" applyAlignment="1">
      <alignment vertical="center"/>
    </xf>
    <xf numFmtId="0" fontId="98" fillId="0" borderId="12" xfId="0" applyFont="1" applyBorder="1" applyAlignment="1">
      <alignment vertical="center"/>
    </xf>
    <xf numFmtId="0" fontId="78" fillId="0" borderId="9" xfId="0" applyFont="1" applyBorder="1" applyAlignment="1">
      <alignment vertical="center" wrapText="1"/>
    </xf>
    <xf numFmtId="0" fontId="0" fillId="0" borderId="0" xfId="0" applyBorder="1"/>
    <xf numFmtId="0" fontId="96" fillId="0" borderId="0" xfId="0" applyFont="1" applyBorder="1" applyAlignment="1">
      <alignment horizontal="center" vertical="center"/>
    </xf>
    <xf numFmtId="0" fontId="96" fillId="0" borderId="0" xfId="0" applyFont="1" applyBorder="1" applyAlignment="1">
      <alignment horizontal="center" vertical="center" wrapText="1"/>
    </xf>
    <xf numFmtId="165" fontId="0" fillId="0" borderId="0" xfId="0" applyNumberFormat="1" applyBorder="1"/>
    <xf numFmtId="0" fontId="53" fillId="0" borderId="33" xfId="2" applyFont="1" applyFill="1" applyBorder="1" applyAlignment="1">
      <alignment horizontal="left"/>
    </xf>
    <xf numFmtId="0" fontId="45" fillId="0" borderId="3" xfId="0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45" fillId="0" borderId="5" xfId="0" applyFont="1" applyBorder="1" applyAlignment="1">
      <alignment horizontal="right" vertical="center"/>
    </xf>
    <xf numFmtId="3" fontId="47" fillId="0" borderId="0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Alignment="1">
      <alignment horizontal="right" vertical="center"/>
    </xf>
    <xf numFmtId="0" fontId="46" fillId="0" borderId="0" xfId="0" applyFont="1" applyFill="1" applyAlignment="1">
      <alignment horizontal="right" vertical="center"/>
    </xf>
    <xf numFmtId="3" fontId="45" fillId="0" borderId="24" xfId="0" applyNumberFormat="1" applyFont="1" applyFill="1" applyBorder="1" applyAlignment="1">
      <alignment horizontal="right" vertical="center"/>
    </xf>
    <xf numFmtId="3" fontId="46" fillId="0" borderId="30" xfId="0" applyNumberFormat="1" applyFont="1" applyFill="1" applyBorder="1" applyAlignment="1">
      <alignment horizontal="right" vertical="center"/>
    </xf>
    <xf numFmtId="3" fontId="46" fillId="0" borderId="0" xfId="0" applyNumberFormat="1" applyFont="1" applyFill="1" applyBorder="1" applyAlignment="1">
      <alignment horizontal="right" vertical="center"/>
    </xf>
    <xf numFmtId="165" fontId="46" fillId="0" borderId="23" xfId="0" applyNumberFormat="1" applyFont="1" applyFill="1" applyBorder="1" applyAlignment="1">
      <alignment horizontal="right" vertical="center"/>
    </xf>
    <xf numFmtId="165" fontId="46" fillId="0" borderId="0" xfId="0" applyNumberFormat="1" applyFont="1" applyFill="1" applyBorder="1" applyAlignment="1">
      <alignment horizontal="right" vertical="center"/>
    </xf>
    <xf numFmtId="165" fontId="46" fillId="0" borderId="2" xfId="0" applyNumberFormat="1" applyFont="1" applyFill="1" applyBorder="1" applyAlignment="1">
      <alignment horizontal="right" vertical="center"/>
    </xf>
    <xf numFmtId="165" fontId="20" fillId="0" borderId="3" xfId="0" applyNumberFormat="1" applyFont="1" applyFill="1" applyBorder="1" applyAlignment="1">
      <alignment horizontal="right" vertical="center" wrapText="1"/>
    </xf>
    <xf numFmtId="165" fontId="51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1" fontId="20" fillId="0" borderId="0" xfId="0" applyNumberFormat="1" applyFont="1"/>
    <xf numFmtId="1" fontId="20" fillId="0" borderId="0" xfId="0" applyNumberFormat="1" applyFont="1" applyAlignment="1">
      <alignment horizontal="center"/>
    </xf>
    <xf numFmtId="0" fontId="0" fillId="0" borderId="0" xfId="0" applyFill="1"/>
    <xf numFmtId="0" fontId="5" fillId="0" borderId="0" xfId="4" applyFont="1"/>
    <xf numFmtId="0" fontId="67" fillId="9" borderId="27" xfId="0" applyFont="1" applyFill="1" applyBorder="1" applyAlignment="1">
      <alignment horizontal="center" vertical="center"/>
    </xf>
    <xf numFmtId="0" fontId="4" fillId="0" borderId="0" xfId="0" applyFont="1"/>
    <xf numFmtId="0" fontId="100" fillId="0" borderId="0" xfId="4" applyFont="1"/>
    <xf numFmtId="0" fontId="49" fillId="0" borderId="0" xfId="4" applyFont="1"/>
    <xf numFmtId="0" fontId="4" fillId="0" borderId="1" xfId="0" applyFont="1" applyBorder="1"/>
    <xf numFmtId="0" fontId="99" fillId="0" borderId="1" xfId="0" applyFont="1" applyBorder="1"/>
    <xf numFmtId="165" fontId="4" fillId="0" borderId="0" xfId="0" applyNumberFormat="1" applyFont="1"/>
    <xf numFmtId="165" fontId="4" fillId="0" borderId="1" xfId="0" applyNumberFormat="1" applyFont="1" applyBorder="1"/>
    <xf numFmtId="3" fontId="57" fillId="0" borderId="1" xfId="0" applyNumberFormat="1" applyFont="1" applyBorder="1"/>
    <xf numFmtId="0" fontId="49" fillId="0" borderId="1" xfId="20" applyFont="1" applyBorder="1"/>
    <xf numFmtId="3" fontId="49" fillId="0" borderId="1" xfId="0" applyNumberFormat="1" applyFont="1" applyBorder="1"/>
    <xf numFmtId="3" fontId="47" fillId="0" borderId="1" xfId="0" applyNumberFormat="1" applyFont="1" applyBorder="1"/>
    <xf numFmtId="1" fontId="20" fillId="0" borderId="3" xfId="0" applyNumberFormat="1" applyFont="1" applyBorder="1"/>
    <xf numFmtId="2" fontId="20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65" fontId="8" fillId="0" borderId="3" xfId="0" applyNumberFormat="1" applyFont="1" applyBorder="1"/>
    <xf numFmtId="0" fontId="20" fillId="0" borderId="44" xfId="0" applyFont="1" applyBorder="1"/>
    <xf numFmtId="1" fontId="20" fillId="0" borderId="44" xfId="0" applyNumberFormat="1" applyFont="1" applyBorder="1" applyAlignment="1">
      <alignment horizontal="right"/>
    </xf>
    <xf numFmtId="165" fontId="20" fillId="0" borderId="44" xfId="0" applyNumberFormat="1" applyFont="1" applyBorder="1" applyAlignment="1">
      <alignment horizontal="right"/>
    </xf>
    <xf numFmtId="165" fontId="8" fillId="0" borderId="0" xfId="0" applyNumberFormat="1" applyFont="1" applyFill="1"/>
    <xf numFmtId="0" fontId="5" fillId="0" borderId="0" xfId="0" applyFont="1"/>
    <xf numFmtId="0" fontId="5" fillId="0" borderId="5" xfId="73" applyFont="1" applyBorder="1"/>
    <xf numFmtId="0" fontId="5" fillId="0" borderId="3" xfId="73" applyFont="1" applyBorder="1"/>
    <xf numFmtId="0" fontId="5" fillId="0" borderId="0" xfId="73" applyFont="1"/>
    <xf numFmtId="0" fontId="49" fillId="0" borderId="1" xfId="0" applyFont="1" applyFill="1" applyBorder="1" applyAlignment="1">
      <alignment horizontal="right" indent="2"/>
    </xf>
    <xf numFmtId="0" fontId="3" fillId="0" borderId="0" xfId="0" applyFont="1"/>
    <xf numFmtId="165" fontId="49" fillId="3" borderId="0" xfId="0" applyNumberFormat="1" applyFont="1" applyFill="1" applyBorder="1" applyAlignment="1">
      <alignment horizontal="center"/>
    </xf>
    <xf numFmtId="165" fontId="49" fillId="3" borderId="1" xfId="0" applyNumberFormat="1" applyFont="1" applyFill="1" applyBorder="1" applyAlignment="1">
      <alignment horizontal="center"/>
    </xf>
    <xf numFmtId="165" fontId="29" fillId="0" borderId="1" xfId="56" applyNumberFormat="1" applyFont="1" applyBorder="1" applyAlignment="1">
      <alignment horizontal="center"/>
    </xf>
    <xf numFmtId="0" fontId="60" fillId="0" borderId="0" xfId="0" applyFont="1" applyAlignment="1"/>
    <xf numFmtId="0" fontId="0" fillId="0" borderId="0" xfId="0" applyAlignment="1"/>
    <xf numFmtId="0" fontId="44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60" fillId="0" borderId="0" xfId="0" applyFont="1" applyAlignment="1"/>
    <xf numFmtId="0" fontId="0" fillId="0" borderId="0" xfId="0" applyAlignment="1"/>
    <xf numFmtId="0" fontId="78" fillId="0" borderId="0" xfId="0" applyFont="1" applyAlignment="1">
      <alignment horizontal="center" vertical="center"/>
    </xf>
    <xf numFmtId="0" fontId="85" fillId="0" borderId="41" xfId="0" applyFont="1" applyBorder="1" applyAlignment="1">
      <alignment horizontal="right" vertical="center" wrapText="1"/>
    </xf>
    <xf numFmtId="0" fontId="46" fillId="0" borderId="0" xfId="0" applyFont="1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/>
    </xf>
    <xf numFmtId="0" fontId="46" fillId="0" borderId="4" xfId="0" applyFont="1" applyBorder="1" applyAlignment="1">
      <alignment horizontal="left" vertical="center" indent="3"/>
    </xf>
    <xf numFmtId="0" fontId="44" fillId="0" borderId="3" xfId="0" applyFont="1" applyBorder="1" applyAlignment="1">
      <alignment vertical="center"/>
    </xf>
    <xf numFmtId="0" fontId="78" fillId="0" borderId="9" xfId="0" applyFont="1" applyBorder="1" applyAlignment="1">
      <alignment vertical="center"/>
    </xf>
    <xf numFmtId="0" fontId="78" fillId="0" borderId="12" xfId="0" applyFont="1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7" fillId="0" borderId="0" xfId="0" applyFont="1" applyBorder="1"/>
    <xf numFmtId="0" fontId="47" fillId="0" borderId="0" xfId="0" applyFont="1" applyBorder="1" applyAlignment="1">
      <alignment horizontal="center"/>
    </xf>
    <xf numFmtId="0" fontId="101" fillId="0" borderId="0" xfId="0" applyFont="1"/>
    <xf numFmtId="0" fontId="49" fillId="0" borderId="1" xfId="65" applyFont="1" applyBorder="1"/>
    <xf numFmtId="0" fontId="57" fillId="0" borderId="1" xfId="20" applyFont="1" applyBorder="1"/>
    <xf numFmtId="0" fontId="87" fillId="0" borderId="0" xfId="73" applyFont="1" applyBorder="1"/>
    <xf numFmtId="0" fontId="2" fillId="0" borderId="0" xfId="73" applyFont="1"/>
    <xf numFmtId="0" fontId="44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3" xfId="0" applyFont="1" applyBorder="1"/>
    <xf numFmtId="165" fontId="5" fillId="0" borderId="0" xfId="0" applyNumberFormat="1" applyFont="1"/>
    <xf numFmtId="165" fontId="78" fillId="0" borderId="3" xfId="0" applyNumberFormat="1" applyFont="1" applyBorder="1" applyAlignment="1">
      <alignment horizontal="center" vertical="center"/>
    </xf>
    <xf numFmtId="0" fontId="57" fillId="0" borderId="0" xfId="22" applyFont="1" applyBorder="1"/>
    <xf numFmtId="0" fontId="5" fillId="0" borderId="0" xfId="52" applyFont="1" applyBorder="1"/>
    <xf numFmtId="0" fontId="5" fillId="0" borderId="0" xfId="52" applyFont="1"/>
    <xf numFmtId="171" fontId="49" fillId="0" borderId="0" xfId="61" applyNumberFormat="1" applyFont="1" applyAlignment="1">
      <alignment horizontal="left"/>
    </xf>
    <xf numFmtId="0" fontId="49" fillId="0" borderId="3" xfId="60" applyFont="1" applyBorder="1" applyAlignment="1">
      <alignment horizontal="left"/>
    </xf>
    <xf numFmtId="0" fontId="49" fillId="0" borderId="3" xfId="60" applyFont="1" applyBorder="1" applyAlignment="1">
      <alignment horizontal="center"/>
    </xf>
    <xf numFmtId="0" fontId="5" fillId="0" borderId="29" xfId="0" applyFont="1" applyFill="1" applyBorder="1"/>
    <xf numFmtId="0" fontId="5" fillId="0" borderId="44" xfId="0" applyFont="1" applyBorder="1"/>
    <xf numFmtId="0" fontId="49" fillId="0" borderId="3" xfId="0" applyFont="1" applyBorder="1" applyAlignment="1"/>
    <xf numFmtId="0" fontId="5" fillId="0" borderId="0" xfId="0" applyFont="1" applyAlignment="1">
      <alignment vertical="center"/>
    </xf>
    <xf numFmtId="0" fontId="50" fillId="0" borderId="4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78" fillId="0" borderId="10" xfId="0" applyFont="1" applyBorder="1" applyAlignment="1">
      <alignment vertical="center"/>
    </xf>
    <xf numFmtId="2" fontId="46" fillId="0" borderId="0" xfId="0" applyNumberFormat="1" applyFont="1" applyAlignment="1">
      <alignment horizontal="center" vertical="center"/>
    </xf>
    <xf numFmtId="0" fontId="20" fillId="0" borderId="5" xfId="51" applyFont="1" applyBorder="1"/>
    <xf numFmtId="0" fontId="5" fillId="0" borderId="0" xfId="51" applyFont="1"/>
    <xf numFmtId="0" fontId="5" fillId="0" borderId="0" xfId="51" applyFont="1" applyAlignment="1">
      <alignment horizontal="left" indent="1"/>
    </xf>
    <xf numFmtId="0" fontId="5" fillId="0" borderId="5" xfId="51" applyFont="1" applyBorder="1"/>
    <xf numFmtId="0" fontId="47" fillId="0" borderId="20" xfId="0" applyFont="1" applyBorder="1" applyAlignment="1">
      <alignment vertical="center" wrapText="1"/>
    </xf>
    <xf numFmtId="3" fontId="47" fillId="0" borderId="2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2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0" fontId="47" fillId="0" borderId="21" xfId="0" applyFont="1" applyBorder="1" applyAlignment="1">
      <alignment vertical="center" wrapText="1"/>
    </xf>
    <xf numFmtId="3" fontId="45" fillId="0" borderId="21" xfId="0" applyNumberFormat="1" applyFont="1" applyBorder="1" applyAlignment="1">
      <alignment horizontal="right" vertical="center" wrapText="1"/>
    </xf>
    <xf numFmtId="165" fontId="47" fillId="0" borderId="20" xfId="0" applyNumberFormat="1" applyFont="1" applyBorder="1" applyAlignment="1">
      <alignment horizontal="right" vertical="center" wrapText="1"/>
    </xf>
    <xf numFmtId="0" fontId="102" fillId="0" borderId="3" xfId="0" applyFont="1" applyBorder="1" applyAlignment="1">
      <alignment vertical="center" wrapText="1"/>
    </xf>
    <xf numFmtId="165" fontId="102" fillId="0" borderId="3" xfId="0" applyNumberFormat="1" applyFont="1" applyBorder="1" applyAlignment="1">
      <alignment horizontal="right" vertical="center" wrapText="1"/>
    </xf>
    <xf numFmtId="165" fontId="51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165" fontId="51" fillId="0" borderId="3" xfId="0" applyNumberFormat="1" applyFont="1" applyBorder="1" applyAlignment="1">
      <alignment horizontal="right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46" fillId="0" borderId="5" xfId="0" applyNumberFormat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wrapText="1" indent="1"/>
    </xf>
    <xf numFmtId="2" fontId="46" fillId="0" borderId="0" xfId="0" applyNumberFormat="1" applyFont="1" applyAlignment="1">
      <alignment horizontal="center" vertical="center" wrapText="1"/>
    </xf>
    <xf numFmtId="0" fontId="46" fillId="0" borderId="4" xfId="0" applyFont="1" applyBorder="1" applyAlignment="1">
      <alignment horizontal="left" vertical="center" wrapText="1" indent="1"/>
    </xf>
    <xf numFmtId="0" fontId="5" fillId="0" borderId="20" xfId="0" applyFont="1" applyFill="1" applyBorder="1" applyAlignment="1">
      <alignment horizontal="center" vertical="center" wrapText="1"/>
    </xf>
    <xf numFmtId="2" fontId="46" fillId="0" borderId="20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2" fontId="46" fillId="0" borderId="36" xfId="0" applyNumberFormat="1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2" fontId="4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46" fillId="0" borderId="4" xfId="0" applyNumberFormat="1" applyFont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54" fillId="0" borderId="5" xfId="0" applyFont="1" applyBorder="1"/>
    <xf numFmtId="2" fontId="45" fillId="0" borderId="5" xfId="0" applyNumberFormat="1" applyFont="1" applyBorder="1" applyAlignment="1">
      <alignment horizontal="center" vertical="center" wrapText="1"/>
    </xf>
    <xf numFmtId="0" fontId="45" fillId="0" borderId="36" xfId="0" applyFont="1" applyFill="1" applyBorder="1" applyAlignment="1">
      <alignment vertical="center" wrapText="1"/>
    </xf>
    <xf numFmtId="2" fontId="45" fillId="0" borderId="3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5" fillId="0" borderId="0" xfId="0" applyFont="1" applyBorder="1"/>
    <xf numFmtId="0" fontId="1" fillId="0" borderId="0" xfId="0" applyFont="1"/>
    <xf numFmtId="0" fontId="104" fillId="0" borderId="0" xfId="4" applyFont="1"/>
    <xf numFmtId="0" fontId="5" fillId="0" borderId="0" xfId="4" applyFont="1" applyAlignment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left" wrapText="1"/>
    </xf>
    <xf numFmtId="0" fontId="49" fillId="0" borderId="0" xfId="4" applyFont="1" applyAlignment="1">
      <alignment horizontal="left"/>
    </xf>
    <xf numFmtId="0" fontId="100" fillId="0" borderId="0" xfId="0" applyFont="1"/>
    <xf numFmtId="0" fontId="49" fillId="0" borderId="0" xfId="4" applyFont="1" applyAlignment="1"/>
    <xf numFmtId="0" fontId="100" fillId="0" borderId="0" xfId="4" applyFont="1" applyAlignment="1">
      <alignment horizontal="left"/>
    </xf>
    <xf numFmtId="0" fontId="100" fillId="0" borderId="0" xfId="4" applyFont="1" applyAlignment="1"/>
    <xf numFmtId="0" fontId="100" fillId="0" borderId="0" xfId="4" applyFont="1" applyBorder="1" applyAlignment="1">
      <alignment horizontal="left" vertical="center" wrapText="1"/>
    </xf>
    <xf numFmtId="0" fontId="100" fillId="0" borderId="0" xfId="4" applyFont="1" applyAlignment="1">
      <alignment horizontal="left"/>
    </xf>
    <xf numFmtId="0" fontId="76" fillId="0" borderId="0" xfId="0" applyFont="1" applyBorder="1" applyAlignment="1">
      <alignment horizontal="left" wrapText="1"/>
    </xf>
    <xf numFmtId="0" fontId="44" fillId="0" borderId="0" xfId="4" applyFont="1" applyAlignment="1">
      <alignment horizontal="left"/>
    </xf>
    <xf numFmtId="0" fontId="103" fillId="0" borderId="0" xfId="0" applyFont="1" applyBorder="1" applyAlignment="1">
      <alignment horizontal="left" wrapText="1"/>
    </xf>
    <xf numFmtId="0" fontId="104" fillId="0" borderId="0" xfId="4" applyFont="1" applyAlignment="1">
      <alignment horizontal="left"/>
    </xf>
    <xf numFmtId="0" fontId="53" fillId="14" borderId="17" xfId="69" applyFont="1" applyFill="1" applyBorder="1" applyAlignment="1">
      <alignment horizontal="center" vertical="center"/>
    </xf>
    <xf numFmtId="0" fontId="53" fillId="14" borderId="18" xfId="69" applyFont="1" applyFill="1" applyBorder="1" applyAlignment="1">
      <alignment horizontal="center" vertical="center"/>
    </xf>
    <xf numFmtId="0" fontId="60" fillId="0" borderId="0" xfId="0" applyFont="1" applyAlignment="1"/>
    <xf numFmtId="0" fontId="0" fillId="0" borderId="0" xfId="0" applyAlignment="1"/>
    <xf numFmtId="0" fontId="47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0" fillId="0" borderId="3" xfId="18" applyFont="1" applyBorder="1" applyAlignment="1">
      <alignment horizontal="left"/>
    </xf>
    <xf numFmtId="0" fontId="86" fillId="0" borderId="0" xfId="73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vertical="center" wrapText="1"/>
    </xf>
    <xf numFmtId="0" fontId="51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left" vertical="center"/>
    </xf>
    <xf numFmtId="0" fontId="78" fillId="0" borderId="41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42" xfId="0" applyFont="1" applyBorder="1" applyAlignment="1">
      <alignment horizontal="center" vertical="center"/>
    </xf>
    <xf numFmtId="0" fontId="78" fillId="0" borderId="43" xfId="0" applyFont="1" applyBorder="1" applyAlignment="1">
      <alignment vertical="center"/>
    </xf>
    <xf numFmtId="0" fontId="90" fillId="0" borderId="43" xfId="0" applyFont="1" applyBorder="1" applyAlignment="1">
      <alignment vertical="center"/>
    </xf>
    <xf numFmtId="0" fontId="92" fillId="0" borderId="41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" vertical="center"/>
    </xf>
    <xf numFmtId="0" fontId="79" fillId="0" borderId="41" xfId="0" applyFont="1" applyBorder="1" applyAlignment="1">
      <alignment horizontal="center" vertical="center" wrapText="1"/>
    </xf>
    <xf numFmtId="0" fontId="79" fillId="0" borderId="42" xfId="0" applyFont="1" applyBorder="1" applyAlignment="1">
      <alignment horizontal="center" vertical="center" wrapText="1"/>
    </xf>
    <xf numFmtId="0" fontId="90" fillId="0" borderId="42" xfId="0" applyFont="1" applyBorder="1" applyAlignment="1">
      <alignment horizontal="center" vertical="center" wrapText="1"/>
    </xf>
    <xf numFmtId="0" fontId="79" fillId="0" borderId="41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85" fillId="0" borderId="41" xfId="0" applyFont="1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44" fillId="0" borderId="4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/>
    <xf numFmtId="0" fontId="44" fillId="0" borderId="3" xfId="0" applyFont="1" applyBorder="1" applyAlignment="1">
      <alignment horizontal="justify" vertical="center"/>
    </xf>
    <xf numFmtId="0" fontId="44" fillId="0" borderId="0" xfId="0" applyFont="1" applyBorder="1" applyAlignment="1">
      <alignment horizontal="justify" vertical="center"/>
    </xf>
    <xf numFmtId="0" fontId="44" fillId="0" borderId="3" xfId="0" applyFont="1" applyFill="1" applyBorder="1" applyAlignment="1">
      <alignment vertical="center" wrapText="1"/>
    </xf>
    <xf numFmtId="0" fontId="44" fillId="0" borderId="0" xfId="0" applyFont="1" applyBorder="1" applyAlignment="1">
      <alignment horizontal="justify" vertical="center" wrapText="1"/>
    </xf>
    <xf numFmtId="0" fontId="44" fillId="0" borderId="3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 wrapText="1"/>
    </xf>
    <xf numFmtId="0" fontId="60" fillId="0" borderId="3" xfId="60" applyFont="1" applyBorder="1" applyAlignment="1">
      <alignment horizontal="left"/>
    </xf>
    <xf numFmtId="0" fontId="60" fillId="0" borderId="0" xfId="0" applyFont="1" applyBorder="1" applyAlignment="1">
      <alignment horizontal="left"/>
    </xf>
    <xf numFmtId="0" fontId="46" fillId="0" borderId="0" xfId="2" applyFont="1" applyFill="1" applyBorder="1" applyAlignment="1">
      <alignment horizontal="left" vertical="top" wrapText="1"/>
    </xf>
    <xf numFmtId="0" fontId="45" fillId="0" borderId="0" xfId="2" applyFont="1" applyFill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50" fillId="0" borderId="4" xfId="0" applyFont="1" applyBorder="1" applyAlignment="1">
      <alignment horizontal="right" vertical="center"/>
    </xf>
    <xf numFmtId="0" fontId="78" fillId="0" borderId="38" xfId="0" applyFont="1" applyBorder="1" applyAlignment="1">
      <alignment vertical="center"/>
    </xf>
    <xf numFmtId="0" fontId="78" fillId="0" borderId="39" xfId="0" applyFont="1" applyBorder="1" applyAlignment="1">
      <alignment vertical="center"/>
    </xf>
    <xf numFmtId="0" fontId="78" fillId="0" borderId="9" xfId="0" applyFont="1" applyBorder="1" applyAlignment="1">
      <alignment vertical="center"/>
    </xf>
    <xf numFmtId="0" fontId="78" fillId="0" borderId="38" xfId="0" applyFont="1" applyBorder="1" applyAlignment="1">
      <alignment vertical="center" wrapText="1"/>
    </xf>
    <xf numFmtId="0" fontId="78" fillId="0" borderId="1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8" fillId="0" borderId="40" xfId="0" applyFont="1" applyBorder="1" applyAlignment="1">
      <alignment vertical="center"/>
    </xf>
    <xf numFmtId="0" fontId="0" fillId="0" borderId="4" xfId="0" applyBorder="1" applyAlignment="1"/>
    <xf numFmtId="0" fontId="44" fillId="0" borderId="1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 wrapText="1"/>
    </xf>
    <xf numFmtId="0" fontId="44" fillId="0" borderId="3" xfId="0" applyFont="1" applyBorder="1" applyAlignment="1">
      <alignment horizontal="justify" vertical="center" wrapText="1"/>
    </xf>
    <xf numFmtId="0" fontId="79" fillId="0" borderId="7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 wrapText="1"/>
    </xf>
    <xf numFmtId="0" fontId="97" fillId="0" borderId="4" xfId="0" applyFont="1" applyBorder="1" applyAlignment="1">
      <alignment vertical="center"/>
    </xf>
    <xf numFmtId="0" fontId="51" fillId="0" borderId="21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51" fillId="0" borderId="4" xfId="0" applyFont="1" applyBorder="1" applyAlignment="1">
      <alignment horizontal="left" vertical="center" wrapText="1"/>
    </xf>
  </cellXfs>
  <cellStyles count="76">
    <cellStyle name="Accent5" xfId="41"/>
    <cellStyle name="Accent6" xfId="42"/>
    <cellStyle name="Čiarka" xfId="8" builtinId="3"/>
    <cellStyle name="Čiarka 2" xfId="16"/>
    <cellStyle name="Čiarka 2 2" xfId="36"/>
    <cellStyle name="Čiarka 2 2 2" xfId="61"/>
    <cellStyle name="Čiarka 3" xfId="28"/>
    <cellStyle name="Čiarka 3 2" xfId="29"/>
    <cellStyle name="Čiarka 4" xfId="33"/>
    <cellStyle name="Čiarka 5" xfId="63"/>
    <cellStyle name="Čiarka 6" xfId="74"/>
    <cellStyle name="Excel Built-in Normal" xfId="10"/>
    <cellStyle name="Hypertextové prepojenie" xfId="4" builtinId="8"/>
    <cellStyle name="Hypertextové prepojenie 2" xfId="43"/>
    <cellStyle name="Hypertextové prepojenie 3" xfId="48"/>
    <cellStyle name="Kontrolná bunka 2" xfId="40"/>
    <cellStyle name="Nadpis 1 2" xfId="38"/>
    <cellStyle name="Normal 2" xfId="1"/>
    <cellStyle name="Normal 45" xfId="56"/>
    <cellStyle name="Normal 45 2" xfId="71"/>
    <cellStyle name="Normal_TAB2 2" xfId="57"/>
    <cellStyle name="Normálna 11" xfId="3"/>
    <cellStyle name="Normálna 2" xfId="44"/>
    <cellStyle name="Normálna 2 2" xfId="5"/>
    <cellStyle name="Normálna 2 4" xfId="65"/>
    <cellStyle name="Normálna 3" xfId="17"/>
    <cellStyle name="Normálna 3 2" xfId="70"/>
    <cellStyle name="Normálna 4" xfId="14"/>
    <cellStyle name="Normálna 4 2" xfId="46"/>
    <cellStyle name="Normálna 4 3" xfId="45"/>
    <cellStyle name="Normálna 6" xfId="6"/>
    <cellStyle name="Normálne" xfId="0" builtinId="0"/>
    <cellStyle name="Normálne 10" xfId="55"/>
    <cellStyle name="normálne 10 2" xfId="69"/>
    <cellStyle name="Normálne 11" xfId="66"/>
    <cellStyle name="Normálne 12" xfId="73"/>
    <cellStyle name="Normálne 14" xfId="9"/>
    <cellStyle name="Normálne 14 2" xfId="11"/>
    <cellStyle name="Normálne 14 2 2" xfId="19"/>
    <cellStyle name="Normálne 14 3" xfId="18"/>
    <cellStyle name="Normálne 2" xfId="2"/>
    <cellStyle name="Normálne 2 2" xfId="20"/>
    <cellStyle name="Normálne 2 3" xfId="34"/>
    <cellStyle name="Normálne 2 4" xfId="51"/>
    <cellStyle name="Normálne 3" xfId="13"/>
    <cellStyle name="Normálne 3 2" xfId="26"/>
    <cellStyle name="Normálne 3 3" xfId="35"/>
    <cellStyle name="Normálne 3 3 2" xfId="60"/>
    <cellStyle name="Normálne 3 4" xfId="53"/>
    <cellStyle name="Normálne 4" xfId="22"/>
    <cellStyle name="Normálne 4 2" xfId="59"/>
    <cellStyle name="normálne 4 3" xfId="64"/>
    <cellStyle name="Normálne 5" xfId="23"/>
    <cellStyle name="Normálne 50 2" xfId="30"/>
    <cellStyle name="Normálne 6" xfId="31"/>
    <cellStyle name="Normálne 6 2" xfId="68"/>
    <cellStyle name="Normálne 7" xfId="32"/>
    <cellStyle name="Normálne 8" xfId="52"/>
    <cellStyle name="Normálne 9" xfId="54"/>
    <cellStyle name="Normálne 9 2" xfId="62"/>
    <cellStyle name="normálne 9_Tabulky IFP_casove rady-request_20111102_" xfId="72"/>
    <cellStyle name="normální_preBetku_UDZS_rozpocet 2007 - 2009" xfId="75"/>
    <cellStyle name="Percentá" xfId="12" builtinId="5"/>
    <cellStyle name="Percentá 2" xfId="15"/>
    <cellStyle name="percentá 2 10" xfId="7"/>
    <cellStyle name="Percentá 2 2" xfId="21"/>
    <cellStyle name="Percentá 2 3" xfId="25"/>
    <cellStyle name="Percentá 2 4" xfId="37"/>
    <cellStyle name="Percentá 2 5" xfId="49"/>
    <cellStyle name="Percentá 2 6" xfId="50"/>
    <cellStyle name="Percentá 3" xfId="24"/>
    <cellStyle name="Percentá 3 2" xfId="27"/>
    <cellStyle name="Percentá 4" xfId="58"/>
    <cellStyle name="Percentá 5" xfId="67"/>
    <cellStyle name="Použité hypertextové prepojenie 2" xfId="47"/>
    <cellStyle name="Zlá 2" xfId="39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5E0B4"/>
      <color rgb="FF2C9ADC"/>
      <color rgb="FFC6D9F1"/>
      <color rgb="FFC6EFCE"/>
      <color rgb="FFB0D6AF"/>
      <color rgb="FFF9C9BA"/>
      <color rgb="FF7F7F7F"/>
      <color rgb="FFD3BED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63" Type="http://schemas.openxmlformats.org/officeDocument/2006/relationships/externalLink" Target="externalLinks/externalLink22.xml"/><Relationship Id="rId68" Type="http://schemas.openxmlformats.org/officeDocument/2006/relationships/externalLink" Target="externalLinks/externalLink27.xml"/><Relationship Id="rId84" Type="http://schemas.openxmlformats.org/officeDocument/2006/relationships/externalLink" Target="externalLinks/externalLink43.xml"/><Relationship Id="rId89" Type="http://schemas.openxmlformats.org/officeDocument/2006/relationships/externalLink" Target="externalLinks/externalLink48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3" Type="http://schemas.openxmlformats.org/officeDocument/2006/relationships/externalLink" Target="externalLinks/externalLink12.xml"/><Relationship Id="rId58" Type="http://schemas.openxmlformats.org/officeDocument/2006/relationships/externalLink" Target="externalLinks/externalLink17.xml"/><Relationship Id="rId66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33.xml"/><Relationship Id="rId79" Type="http://schemas.openxmlformats.org/officeDocument/2006/relationships/externalLink" Target="externalLinks/externalLink38.xml"/><Relationship Id="rId87" Type="http://schemas.openxmlformats.org/officeDocument/2006/relationships/externalLink" Target="externalLinks/externalLink46.xml"/><Relationship Id="rId102" Type="http://schemas.openxmlformats.org/officeDocument/2006/relationships/externalLink" Target="externalLinks/externalLink61.xml"/><Relationship Id="rId110" Type="http://schemas.openxmlformats.org/officeDocument/2006/relationships/externalLink" Target="externalLinks/externalLink69.xml"/><Relationship Id="rId115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0.xml"/><Relationship Id="rId82" Type="http://schemas.openxmlformats.org/officeDocument/2006/relationships/externalLink" Target="externalLinks/externalLink41.xml"/><Relationship Id="rId90" Type="http://schemas.openxmlformats.org/officeDocument/2006/relationships/externalLink" Target="externalLinks/externalLink49.xml"/><Relationship Id="rId95" Type="http://schemas.openxmlformats.org/officeDocument/2006/relationships/externalLink" Target="externalLinks/externalLink5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externalLink" Target="externalLinks/externalLink7.xml"/><Relationship Id="rId56" Type="http://schemas.openxmlformats.org/officeDocument/2006/relationships/externalLink" Target="externalLinks/externalLink15.xml"/><Relationship Id="rId64" Type="http://schemas.openxmlformats.org/officeDocument/2006/relationships/externalLink" Target="externalLinks/externalLink23.xml"/><Relationship Id="rId69" Type="http://schemas.openxmlformats.org/officeDocument/2006/relationships/externalLink" Target="externalLinks/externalLink28.xml"/><Relationship Id="rId77" Type="http://schemas.openxmlformats.org/officeDocument/2006/relationships/externalLink" Target="externalLinks/externalLink36.xml"/><Relationship Id="rId100" Type="http://schemas.openxmlformats.org/officeDocument/2006/relationships/externalLink" Target="externalLinks/externalLink59.xml"/><Relationship Id="rId105" Type="http://schemas.openxmlformats.org/officeDocument/2006/relationships/externalLink" Target="externalLinks/externalLink64.xml"/><Relationship Id="rId113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72" Type="http://schemas.openxmlformats.org/officeDocument/2006/relationships/externalLink" Target="externalLinks/externalLink31.xml"/><Relationship Id="rId80" Type="http://schemas.openxmlformats.org/officeDocument/2006/relationships/externalLink" Target="externalLinks/externalLink39.xml"/><Relationship Id="rId85" Type="http://schemas.openxmlformats.org/officeDocument/2006/relationships/externalLink" Target="externalLinks/externalLink44.xml"/><Relationship Id="rId93" Type="http://schemas.openxmlformats.org/officeDocument/2006/relationships/externalLink" Target="externalLinks/externalLink52.xml"/><Relationship Id="rId98" Type="http://schemas.openxmlformats.org/officeDocument/2006/relationships/externalLink" Target="externalLinks/externalLink5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59" Type="http://schemas.openxmlformats.org/officeDocument/2006/relationships/externalLink" Target="externalLinks/externalLink18.xml"/><Relationship Id="rId67" Type="http://schemas.openxmlformats.org/officeDocument/2006/relationships/externalLink" Target="externalLinks/externalLink26.xml"/><Relationship Id="rId103" Type="http://schemas.openxmlformats.org/officeDocument/2006/relationships/externalLink" Target="externalLinks/externalLink62.xml"/><Relationship Id="rId108" Type="http://schemas.openxmlformats.org/officeDocument/2006/relationships/externalLink" Target="externalLinks/externalLink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3.xml"/><Relationship Id="rId62" Type="http://schemas.openxmlformats.org/officeDocument/2006/relationships/externalLink" Target="externalLinks/externalLink21.xml"/><Relationship Id="rId70" Type="http://schemas.openxmlformats.org/officeDocument/2006/relationships/externalLink" Target="externalLinks/externalLink29.xml"/><Relationship Id="rId75" Type="http://schemas.openxmlformats.org/officeDocument/2006/relationships/externalLink" Target="externalLinks/externalLink34.xml"/><Relationship Id="rId83" Type="http://schemas.openxmlformats.org/officeDocument/2006/relationships/externalLink" Target="externalLinks/externalLink42.xml"/><Relationship Id="rId88" Type="http://schemas.openxmlformats.org/officeDocument/2006/relationships/externalLink" Target="externalLinks/externalLink47.xml"/><Relationship Id="rId91" Type="http://schemas.openxmlformats.org/officeDocument/2006/relationships/externalLink" Target="externalLinks/externalLink50.xml"/><Relationship Id="rId96" Type="http://schemas.openxmlformats.org/officeDocument/2006/relationships/externalLink" Target="externalLinks/externalLink55.xml"/><Relationship Id="rId111" Type="http://schemas.openxmlformats.org/officeDocument/2006/relationships/externalLink" Target="externalLinks/externalLink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8.xml"/><Relationship Id="rId57" Type="http://schemas.openxmlformats.org/officeDocument/2006/relationships/externalLink" Target="externalLinks/externalLink16.xml"/><Relationship Id="rId106" Type="http://schemas.openxmlformats.org/officeDocument/2006/relationships/externalLink" Target="externalLinks/externalLink65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52" Type="http://schemas.openxmlformats.org/officeDocument/2006/relationships/externalLink" Target="externalLinks/externalLink11.xml"/><Relationship Id="rId60" Type="http://schemas.openxmlformats.org/officeDocument/2006/relationships/externalLink" Target="externalLinks/externalLink19.xml"/><Relationship Id="rId65" Type="http://schemas.openxmlformats.org/officeDocument/2006/relationships/externalLink" Target="externalLinks/externalLink24.xml"/><Relationship Id="rId73" Type="http://schemas.openxmlformats.org/officeDocument/2006/relationships/externalLink" Target="externalLinks/externalLink32.xml"/><Relationship Id="rId78" Type="http://schemas.openxmlformats.org/officeDocument/2006/relationships/externalLink" Target="externalLinks/externalLink37.xml"/><Relationship Id="rId81" Type="http://schemas.openxmlformats.org/officeDocument/2006/relationships/externalLink" Target="externalLinks/externalLink40.xml"/><Relationship Id="rId86" Type="http://schemas.openxmlformats.org/officeDocument/2006/relationships/externalLink" Target="externalLinks/externalLink45.xml"/><Relationship Id="rId94" Type="http://schemas.openxmlformats.org/officeDocument/2006/relationships/externalLink" Target="externalLinks/externalLink53.xml"/><Relationship Id="rId99" Type="http://schemas.openxmlformats.org/officeDocument/2006/relationships/externalLink" Target="externalLinks/externalLink58.xml"/><Relationship Id="rId101" Type="http://schemas.openxmlformats.org/officeDocument/2006/relationships/externalLink" Target="externalLinks/externalLink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8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6" Type="http://schemas.openxmlformats.org/officeDocument/2006/relationships/externalLink" Target="externalLinks/externalLink35.xml"/><Relationship Id="rId97" Type="http://schemas.openxmlformats.org/officeDocument/2006/relationships/externalLink" Target="externalLinks/externalLink56.xml"/><Relationship Id="rId104" Type="http://schemas.openxmlformats.org/officeDocument/2006/relationships/externalLink" Target="externalLinks/externalLink6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0.xml"/><Relationship Id="rId92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3708541418402E-2"/>
          <c:y val="0.2105723273864003"/>
          <c:w val="0.89153653846153846"/>
          <c:h val="0.6919454448038957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'Graf 1+2'!$E$10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670313639679067E-2"/>
                  <c:y val="9.52988969433339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B61-4D17-818C-E4D81676918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1+2'!$G$10:$M$10</c:f>
              <c:numCache>
                <c:formatCode>0.0</c:formatCode>
                <c:ptCount val="7"/>
                <c:pt idx="0">
                  <c:v>-2.3707534714209273</c:v>
                </c:pt>
                <c:pt idx="1">
                  <c:v>-1.0789174782868978</c:v>
                </c:pt>
                <c:pt idx="2">
                  <c:v>-1.5493995855584819</c:v>
                </c:pt>
                <c:pt idx="3">
                  <c:v>-0.89677298584209775</c:v>
                </c:pt>
                <c:pt idx="4">
                  <c:v>-0.50376653778628566</c:v>
                </c:pt>
                <c:pt idx="5">
                  <c:v>-8.9913323199984366E-2</c:v>
                </c:pt>
                <c:pt idx="6">
                  <c:v>-0.17592601845438224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61-4D17-818C-E4D816769189}"/>
            </c:ext>
          </c:extLst>
        </c:ser>
        <c:ser>
          <c:idx val="0"/>
          <c:order val="2"/>
          <c:tx>
            <c:strRef>
              <c:f>'Graf 1+2'!$E$11</c:f>
              <c:strCache>
                <c:ptCount val="1"/>
                <c:pt idx="0">
                  <c:v>Nominálne saldo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1.4587892049598834E-2"/>
                  <c:y val="5.198181700599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587892049598726E-2"/>
                  <c:y val="9.35672706107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598832968636035E-2"/>
                  <c:y val="2.07927268023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B61-4D17-818C-E4D81676918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1+2'!$G$11:$M$11</c:f>
              <c:numCache>
                <c:formatCode>0.0</c:formatCode>
                <c:ptCount val="7"/>
                <c:pt idx="0">
                  <c:v>-2.4766043259577044</c:v>
                </c:pt>
                <c:pt idx="1">
                  <c:v>-0.95247104414076211</c:v>
                </c:pt>
                <c:pt idx="2">
                  <c:v>-1.0601803518355066</c:v>
                </c:pt>
                <c:pt idx="3">
                  <c:v>-0.67999918185887065</c:v>
                </c:pt>
                <c:pt idx="4">
                  <c:v>-0.48999973284565995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B61-4D17-818C-E4D81676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572512"/>
        <c:axId val="485572904"/>
      </c:barChart>
      <c:lineChart>
        <c:grouping val="standard"/>
        <c:varyColors val="0"/>
        <c:ser>
          <c:idx val="4"/>
          <c:order val="0"/>
          <c:tx>
            <c:strRef>
              <c:f>'Graf 1+2'!$E$12</c:f>
              <c:strCache>
                <c:ptCount val="1"/>
                <c:pt idx="0">
                  <c:v>Konsolidačné úsilie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B61-4D17-818C-E4D816769189}"/>
              </c:ext>
            </c:extLst>
          </c:dPt>
          <c:dLbls>
            <c:dLbl>
              <c:idx val="3"/>
              <c:layout>
                <c:manualLayout>
                  <c:x val="-4.6727523132404268E-2"/>
                  <c:y val="-6.868195823348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7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896479293199784E-2"/>
                  <c:y val="-6.497765298717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8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997260462792368E-2"/>
                  <c:y val="-7.44147099109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9-FB61-4D17-818C-E4D81676918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5875" cmpd="sng"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1+2'!$G$12:$M$12</c:f>
              <c:numCache>
                <c:formatCode>0.0</c:formatCode>
                <c:ptCount val="7"/>
                <c:pt idx="0">
                  <c:v>0.16908085477144308</c:v>
                </c:pt>
                <c:pt idx="1">
                  <c:v>1.2918359931340295</c:v>
                </c:pt>
                <c:pt idx="2">
                  <c:v>-0.47048210727158413</c:v>
                </c:pt>
                <c:pt idx="3">
                  <c:v>0.65262659971638415</c:v>
                </c:pt>
                <c:pt idx="4">
                  <c:v>0.39300644805581209</c:v>
                </c:pt>
                <c:pt idx="5">
                  <c:v>0.41385321458630131</c:v>
                </c:pt>
                <c:pt idx="6">
                  <c:v>-8.6012695254397878E-2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A-FB61-4D17-818C-E4D81676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72512"/>
        <c:axId val="485572904"/>
        <c:extLst xmlns:c16r2="http://schemas.microsoft.com/office/drawing/2015/06/chart"/>
      </c:lineChart>
      <c:catAx>
        <c:axId val="48557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sk-SK"/>
          </a:p>
        </c:txPr>
        <c:crossAx val="485572904"/>
        <c:crosses val="autoZero"/>
        <c:auto val="1"/>
        <c:lblAlgn val="ctr"/>
        <c:lblOffset val="100"/>
        <c:noMultiLvlLbl val="0"/>
      </c:catAx>
      <c:valAx>
        <c:axId val="485572904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4855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5767820990539"/>
          <c:y val="5.7696663886006493E-2"/>
          <c:w val="0.77830706762233592"/>
          <c:h val="0.128228156399122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8661417322853E-2"/>
          <c:y val="5.3691275167785234E-2"/>
          <c:w val="0.89423578302712159"/>
          <c:h val="0.63745811974845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5'!$K$11</c:f>
              <c:strCache>
                <c:ptCount val="1"/>
                <c:pt idx="0">
                  <c:v>private consumption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multiLvlStrRef>
              <c:f>'Graf 5'!$L$9:$S$10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5'!$L$11:$S$11</c:f>
              <c:numCache>
                <c:formatCode>0.0</c:formatCode>
                <c:ptCount val="8"/>
                <c:pt idx="0">
                  <c:v>1.1385263332316005</c:v>
                </c:pt>
                <c:pt idx="1">
                  <c:v>1.5236701611293524</c:v>
                </c:pt>
                <c:pt idx="2">
                  <c:v>1.4683706871110611</c:v>
                </c:pt>
                <c:pt idx="3">
                  <c:v>2.1003997607869747</c:v>
                </c:pt>
                <c:pt idx="4">
                  <c:v>1.7532864883066996</c:v>
                </c:pt>
                <c:pt idx="5">
                  <c:v>2.3779820599251282</c:v>
                </c:pt>
                <c:pt idx="6">
                  <c:v>1.5162192160969055</c:v>
                </c:pt>
                <c:pt idx="7">
                  <c:v>2.1530631606671147</c:v>
                </c:pt>
              </c:numCache>
            </c:numRef>
          </c:val>
        </c:ser>
        <c:ser>
          <c:idx val="1"/>
          <c:order val="1"/>
          <c:tx>
            <c:strRef>
              <c:f>'Graf 5'!$K$12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multiLvlStrRef>
              <c:f>'Graf 5'!$L$9:$S$10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5'!$L$12:$S$12</c:f>
              <c:numCache>
                <c:formatCode>0.0</c:formatCode>
                <c:ptCount val="8"/>
                <c:pt idx="0">
                  <c:v>4.5209472358232823</c:v>
                </c:pt>
                <c:pt idx="1">
                  <c:v>4.4107355157208392</c:v>
                </c:pt>
                <c:pt idx="2">
                  <c:v>-2.2926655784353693</c:v>
                </c:pt>
                <c:pt idx="3">
                  <c:v>-2.2166147735684811</c:v>
                </c:pt>
                <c:pt idx="4">
                  <c:v>0.73601000223003432</c:v>
                </c:pt>
                <c:pt idx="5">
                  <c:v>0.81987595270107738</c:v>
                </c:pt>
                <c:pt idx="6">
                  <c:v>1.4383267091353273</c:v>
                </c:pt>
                <c:pt idx="7">
                  <c:v>0.77955939743660452</c:v>
                </c:pt>
              </c:numCache>
            </c:numRef>
          </c:val>
        </c:ser>
        <c:ser>
          <c:idx val="2"/>
          <c:order val="2"/>
          <c:tx>
            <c:strRef>
              <c:f>'Graf 5'!$K$13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multiLvlStrRef>
              <c:f>'Graf 5'!$L$9:$S$10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5'!$L$13:$S$13</c:f>
              <c:numCache>
                <c:formatCode>0.0</c:formatCode>
                <c:ptCount val="8"/>
                <c:pt idx="0">
                  <c:v>0.97573589810080308</c:v>
                </c:pt>
                <c:pt idx="1">
                  <c:v>0.98995472907686</c:v>
                </c:pt>
                <c:pt idx="2">
                  <c:v>0.29015575301738744</c:v>
                </c:pt>
                <c:pt idx="3">
                  <c:v>0.34974085046404896</c:v>
                </c:pt>
                <c:pt idx="4">
                  <c:v>0.30950561530634385</c:v>
                </c:pt>
                <c:pt idx="5">
                  <c:v>0.19123571852292412</c:v>
                </c:pt>
                <c:pt idx="6">
                  <c:v>0.34441671543929392</c:v>
                </c:pt>
                <c:pt idx="7">
                  <c:v>4.1884331952471647E-2</c:v>
                </c:pt>
              </c:numCache>
            </c:numRef>
          </c:val>
        </c:ser>
        <c:ser>
          <c:idx val="3"/>
          <c:order val="3"/>
          <c:tx>
            <c:strRef>
              <c:f>'Graf 5'!$K$14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5'!$L$9:$S$10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5'!$L$14:$S$14</c:f>
              <c:numCache>
                <c:formatCode>0.0</c:formatCode>
                <c:ptCount val="8"/>
                <c:pt idx="0">
                  <c:v>-1.4291548225145227</c:v>
                </c:pt>
                <c:pt idx="1">
                  <c:v>-1.30969640292226</c:v>
                </c:pt>
                <c:pt idx="2">
                  <c:v>2.0919567415502693</c:v>
                </c:pt>
                <c:pt idx="3">
                  <c:v>0.3294620573047381</c:v>
                </c:pt>
                <c:pt idx="4">
                  <c:v>0.8957207765266415</c:v>
                </c:pt>
                <c:pt idx="5">
                  <c:v>-0.17846252547240357</c:v>
                </c:pt>
                <c:pt idx="6">
                  <c:v>-0.10550043612685023</c:v>
                </c:pt>
                <c:pt idx="7">
                  <c:v>0.54368257626325478</c:v>
                </c:pt>
              </c:numCache>
            </c:numRef>
          </c:val>
        </c:ser>
        <c:ser>
          <c:idx val="4"/>
          <c:order val="4"/>
          <c:tx>
            <c:strRef>
              <c:f>'Graf 5'!$K$15</c:f>
              <c:strCache>
                <c:ptCount val="1"/>
                <c:pt idx="0">
                  <c:v>inventories and stat. disc.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5'!$L$9:$S$10</c:f>
              <c:multiLvlStrCache>
                <c:ptCount val="8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  <c:pt idx="4">
                    <c:v>before</c:v>
                  </c:pt>
                  <c:pt idx="5">
                    <c:v>after</c:v>
                  </c:pt>
                  <c:pt idx="6">
                    <c:v>before</c:v>
                  </c:pt>
                  <c:pt idx="7">
                    <c:v>after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5'!$L$15:$S$15</c:f>
              <c:numCache>
                <c:formatCode>0.0</c:formatCode>
                <c:ptCount val="8"/>
                <c:pt idx="0">
                  <c:v>-1.0311814473756806</c:v>
                </c:pt>
                <c:pt idx="1">
                  <c:v>-0.79274549697481245</c:v>
                </c:pt>
                <c:pt idx="2">
                  <c:v>1.5675925014763017</c:v>
                </c:pt>
                <c:pt idx="3">
                  <c:v>1.560475325683776</c:v>
                </c:pt>
                <c:pt idx="4">
                  <c:v>-0.50618182783510113</c:v>
                </c:pt>
                <c:pt idx="5">
                  <c:v>-0.16990286553893119</c:v>
                </c:pt>
                <c:pt idx="6">
                  <c:v>0.91558737795747769</c:v>
                </c:pt>
                <c:pt idx="7">
                  <c:v>0.51551357706520573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997176"/>
        <c:axId val="488997568"/>
      </c:barChart>
      <c:lineChart>
        <c:grouping val="standard"/>
        <c:varyColors val="0"/>
        <c:ser>
          <c:idx val="5"/>
          <c:order val="5"/>
          <c:tx>
            <c:strRef>
              <c:f>'Graf 5'!$K$16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5'!$L$16:$S$16</c:f>
              <c:numCache>
                <c:formatCode>0.0</c:formatCode>
                <c:ptCount val="8"/>
                <c:pt idx="0">
                  <c:v>4.174873197265482</c:v>
                </c:pt>
                <c:pt idx="1">
                  <c:v>4.8219185060299798</c:v>
                </c:pt>
                <c:pt idx="2">
                  <c:v>3.1254101047196503</c:v>
                </c:pt>
                <c:pt idx="3">
                  <c:v>2.1234632206710566</c:v>
                </c:pt>
                <c:pt idx="4">
                  <c:v>3.188341054534618</c:v>
                </c:pt>
                <c:pt idx="5">
                  <c:v>3.0407283401377949</c:v>
                </c:pt>
                <c:pt idx="6">
                  <c:v>4.1090495825021538</c:v>
                </c:pt>
                <c:pt idx="7">
                  <c:v>4.0337030433846515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97176"/>
        <c:axId val="488997568"/>
      </c:lineChart>
      <c:catAx>
        <c:axId val="48899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997568"/>
        <c:crosses val="autoZero"/>
        <c:auto val="1"/>
        <c:lblAlgn val="ctr"/>
        <c:lblOffset val="100"/>
        <c:noMultiLvlLbl val="0"/>
      </c:catAx>
      <c:valAx>
        <c:axId val="48899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997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"/>
          <c:y val="0.85409748278109532"/>
          <c:w val="0.74444444444444446"/>
          <c:h val="0.13063115432718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6+7'!$L$9</c:f>
              <c:strCache>
                <c:ptCount val="1"/>
                <c:pt idx="0">
                  <c:v>Verejná správa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6+7'!$R$9:$W$9</c:f>
              <c:numCache>
                <c:formatCode>0.0</c:formatCode>
                <c:ptCount val="6"/>
                <c:pt idx="0">
                  <c:v>0.18327919832799822</c:v>
                </c:pt>
                <c:pt idx="1">
                  <c:v>0.26358875264726617</c:v>
                </c:pt>
                <c:pt idx="2">
                  <c:v>0.19819891221054767</c:v>
                </c:pt>
                <c:pt idx="3">
                  <c:v>3.867368605818064E-2</c:v>
                </c:pt>
                <c:pt idx="4">
                  <c:v>3.3659566627915395E-2</c:v>
                </c:pt>
                <c:pt idx="5">
                  <c:v>2.8389521099586416E-2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80-49BF-850F-BB29CD3A982D}"/>
            </c:ext>
          </c:extLst>
        </c:ser>
        <c:ser>
          <c:idx val="2"/>
          <c:order val="2"/>
          <c:tx>
            <c:strRef>
              <c:f>'Graf 6+7'!$L$10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6+7'!$R$10:$W$10</c:f>
              <c:numCache>
                <c:formatCode>0.0</c:formatCode>
                <c:ptCount val="6"/>
                <c:pt idx="0">
                  <c:v>1.0369018491208073</c:v>
                </c:pt>
                <c:pt idx="1">
                  <c:v>0.9245629476751146</c:v>
                </c:pt>
                <c:pt idx="2">
                  <c:v>0.68722011364830793</c:v>
                </c:pt>
                <c:pt idx="3">
                  <c:v>0.15267081248420278</c:v>
                </c:pt>
                <c:pt idx="4">
                  <c:v>0.1578334115745163</c:v>
                </c:pt>
                <c:pt idx="5">
                  <c:v>0.1291528558303871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80-49BF-850F-BB29CD3A982D}"/>
            </c:ext>
          </c:extLst>
        </c:ser>
        <c:ser>
          <c:idx val="3"/>
          <c:order val="3"/>
          <c:tx>
            <c:strRef>
              <c:f>'Graf 6+7'!$L$11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6+7'!$R$11:$W$11</c:f>
              <c:numCache>
                <c:formatCode>0.0</c:formatCode>
                <c:ptCount val="6"/>
                <c:pt idx="0">
                  <c:v>0.93160463221586653</c:v>
                </c:pt>
                <c:pt idx="1">
                  <c:v>0.55841359448558969</c:v>
                </c:pt>
                <c:pt idx="2">
                  <c:v>9.0401512949176033E-2</c:v>
                </c:pt>
                <c:pt idx="3">
                  <c:v>2.8635501003479766E-2</c:v>
                </c:pt>
                <c:pt idx="4">
                  <c:v>0.10770025534619701</c:v>
                </c:pt>
                <c:pt idx="5">
                  <c:v>7.0873190224947105E-2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80-49BF-850F-BB29CD3A982D}"/>
            </c:ext>
          </c:extLst>
        </c:ser>
        <c:ser>
          <c:idx val="4"/>
          <c:order val="4"/>
          <c:tx>
            <c:strRef>
              <c:f>'Graf 6+7'!$L$12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6+7'!$R$12:$W$12</c:f>
              <c:numCache>
                <c:formatCode>0.0</c:formatCode>
                <c:ptCount val="6"/>
                <c:pt idx="0">
                  <c:v>0.1266668648529177</c:v>
                </c:pt>
                <c:pt idx="1">
                  <c:v>0.28099834081987768</c:v>
                </c:pt>
                <c:pt idx="2">
                  <c:v>0.26115255686630018</c:v>
                </c:pt>
                <c:pt idx="3">
                  <c:v>3.5463398001251797E-2</c:v>
                </c:pt>
                <c:pt idx="4">
                  <c:v>2.5857246573854249E-2</c:v>
                </c:pt>
                <c:pt idx="5">
                  <c:v>1.8559573620408155E-2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80-49BF-850F-BB29CD3A982D}"/>
            </c:ext>
          </c:extLst>
        </c:ser>
        <c:ser>
          <c:idx val="5"/>
          <c:order val="5"/>
          <c:tx>
            <c:strRef>
              <c:f>'Graf 6+7'!$L$13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6+7'!$R$13:$W$13</c:f>
              <c:numCache>
                <c:formatCode>0.0</c:formatCode>
                <c:ptCount val="6"/>
                <c:pt idx="0">
                  <c:v>-7.225181372732789E-2</c:v>
                </c:pt>
                <c:pt idx="1">
                  <c:v>-1.9095746833393559E-2</c:v>
                </c:pt>
                <c:pt idx="2">
                  <c:v>7.7019131353254352E-3</c:v>
                </c:pt>
                <c:pt idx="3">
                  <c:v>-2.9401116086469368E-2</c:v>
                </c:pt>
                <c:pt idx="4">
                  <c:v>-2.9041458949225905E-2</c:v>
                </c:pt>
                <c:pt idx="5">
                  <c:v>-2.8666189851745613E-2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998352"/>
        <c:axId val="488998744"/>
      </c:barChart>
      <c:lineChart>
        <c:grouping val="standard"/>
        <c:varyColors val="0"/>
        <c:ser>
          <c:idx val="0"/>
          <c:order val="0"/>
          <c:tx>
            <c:strRef>
              <c:f>'Graf 6+7'!$L$8</c:f>
              <c:strCache>
                <c:ptCount val="1"/>
                <c:pt idx="0">
                  <c:v>Zamestnanosť 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524992709244675E-2"/>
                  <c:y val="-7.26569899114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599066783318751E-2"/>
                  <c:y val="-5.11691030128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6385301837270395E-2"/>
                  <c:y val="-5.47546496465582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673199183435511E-2"/>
                  <c:y val="-6.3945508201221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786410032079325E-2"/>
                  <c:y val="-5.4842152220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766754155730641E-2"/>
                  <c:y val="-5.3670304028549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A80-49BF-850F-BB29CD3A982D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6+7'!$R$8:$W$8</c:f>
              <c:numCache>
                <c:formatCode>0.0</c:formatCode>
                <c:ptCount val="6"/>
                <c:pt idx="0">
                  <c:v>2.2062007307902736</c:v>
                </c:pt>
                <c:pt idx="1">
                  <c:v>2.008467888794474</c:v>
                </c:pt>
                <c:pt idx="2">
                  <c:v>1.2446750088096703</c:v>
                </c:pt>
                <c:pt idx="3">
                  <c:v>0.22604228146061445</c:v>
                </c:pt>
                <c:pt idx="4">
                  <c:v>0.29600902117328243</c:v>
                </c:pt>
                <c:pt idx="5">
                  <c:v>0.21830895092358471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98352"/>
        <c:axId val="488998744"/>
      </c:lineChart>
      <c:catAx>
        <c:axId val="4889983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88998744"/>
        <c:crosses val="autoZero"/>
        <c:auto val="1"/>
        <c:lblAlgn val="ctr"/>
        <c:lblOffset val="100"/>
        <c:noMultiLvlLbl val="1"/>
      </c:catAx>
      <c:valAx>
        <c:axId val="488998744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8899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425500145815107"/>
          <c:y val="6.3739675721539435E-2"/>
          <c:w val="0.27761609798775155"/>
          <c:h val="0.32505110766416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6+7'!$L$18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6+7'!$O$18:$T$18</c:f>
              <c:numCache>
                <c:formatCode>0.0</c:formatCode>
                <c:ptCount val="6"/>
                <c:pt idx="0">
                  <c:v>0.87553326711939694</c:v>
                </c:pt>
                <c:pt idx="1">
                  <c:v>1.5497173777771458</c:v>
                </c:pt>
                <c:pt idx="2">
                  <c:v>1.1534099920521319</c:v>
                </c:pt>
                <c:pt idx="3">
                  <c:v>1.2118771597945066</c:v>
                </c:pt>
                <c:pt idx="4">
                  <c:v>1.6291656238497481</c:v>
                </c:pt>
                <c:pt idx="5">
                  <c:v>1.8295408374827253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2"/>
          <c:tx>
            <c:strRef>
              <c:f>'Graf 6+7'!$L$19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6+7'!$O$19:$T$19</c:f>
              <c:numCache>
                <c:formatCode>0.0</c:formatCode>
                <c:ptCount val="6"/>
                <c:pt idx="0">
                  <c:v>0.71369693522654831</c:v>
                </c:pt>
                <c:pt idx="1">
                  <c:v>0.67025021973269472</c:v>
                </c:pt>
                <c:pt idx="2">
                  <c:v>0.60267426970651117</c:v>
                </c:pt>
                <c:pt idx="3">
                  <c:v>0.54962966873264862</c:v>
                </c:pt>
                <c:pt idx="4">
                  <c:v>0.49550869692845406</c:v>
                </c:pt>
                <c:pt idx="5">
                  <c:v>0.47350026809070067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ser>
          <c:idx val="3"/>
          <c:order val="3"/>
          <c:tx>
            <c:strRef>
              <c:f>'Graf 6+7'!$L$20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6+7'!$O$20:$T$20</c:f>
              <c:numCache>
                <c:formatCode>0.0</c:formatCode>
                <c:ptCount val="6"/>
                <c:pt idx="0">
                  <c:v>-0.38336891664329975</c:v>
                </c:pt>
                <c:pt idx="1">
                  <c:v>0.24111304014093335</c:v>
                </c:pt>
                <c:pt idx="2">
                  <c:v>0.67643685248185392</c:v>
                </c:pt>
                <c:pt idx="3">
                  <c:v>0.27610747628999915</c:v>
                </c:pt>
                <c:pt idx="4">
                  <c:v>3.527025438250591E-2</c:v>
                </c:pt>
                <c:pt idx="5">
                  <c:v>3.527025438250591E-2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11-4A64-9E2C-C749300CDFE0}"/>
            </c:ext>
          </c:extLst>
        </c:ser>
        <c:ser>
          <c:idx val="4"/>
          <c:order val="4"/>
          <c:tx>
            <c:strRef>
              <c:f>'Graf 6+7'!$L$21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6+7'!$O$21:$T$21</c:f>
              <c:numCache>
                <c:formatCode>0.0</c:formatCode>
                <c:ptCount val="6"/>
                <c:pt idx="0">
                  <c:v>0.1</c:v>
                </c:pt>
                <c:pt idx="1">
                  <c:v>0</c:v>
                </c:pt>
                <c:pt idx="2">
                  <c:v>9.1765246584191357E-2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999528"/>
        <c:axId val="488999920"/>
      </c:barChart>
      <c:lineChart>
        <c:grouping val="standard"/>
        <c:varyColors val="0"/>
        <c:ser>
          <c:idx val="0"/>
          <c:order val="0"/>
          <c:tx>
            <c:strRef>
              <c:f>'Graf 6+7'!$L$17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C11-4A64-9E2C-C749300CDFE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C11-4A64-9E2C-C749300CDFE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6+7'!$O$17:$T$17</c:f>
              <c:numCache>
                <c:formatCode>0.0</c:formatCode>
                <c:ptCount val="6"/>
                <c:pt idx="0">
                  <c:v>1.3058612857026457</c:v>
                </c:pt>
                <c:pt idx="1">
                  <c:v>2.4610806376507735</c:v>
                </c:pt>
                <c:pt idx="2">
                  <c:v>2.5242863608246884</c:v>
                </c:pt>
                <c:pt idx="3">
                  <c:v>2.0574542519900652</c:v>
                </c:pt>
                <c:pt idx="4">
                  <c:v>2.1599445751607078</c:v>
                </c:pt>
                <c:pt idx="5">
                  <c:v>2.3383113599559318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99528"/>
        <c:axId val="488999920"/>
      </c:lineChart>
      <c:catAx>
        <c:axId val="4889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8999920"/>
        <c:crosses val="autoZero"/>
        <c:auto val="1"/>
        <c:lblAlgn val="ctr"/>
        <c:lblOffset val="100"/>
        <c:noMultiLvlLbl val="1"/>
      </c:catAx>
      <c:valAx>
        <c:axId val="488999920"/>
        <c:scaling>
          <c:orientation val="minMax"/>
          <c:max val="3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88999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6+7'!$M$9</c:f>
              <c:strCache>
                <c:ptCount val="1"/>
                <c:pt idx="0">
                  <c:v>Public administration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6+7'!$R$9:$W$9</c:f>
              <c:numCache>
                <c:formatCode>0.0</c:formatCode>
                <c:ptCount val="6"/>
                <c:pt idx="0">
                  <c:v>0.18327919832799822</c:v>
                </c:pt>
                <c:pt idx="1">
                  <c:v>0.26358875264726617</c:v>
                </c:pt>
                <c:pt idx="2">
                  <c:v>0.19819891221054767</c:v>
                </c:pt>
                <c:pt idx="3">
                  <c:v>3.867368605818064E-2</c:v>
                </c:pt>
                <c:pt idx="4">
                  <c:v>3.3659566627915395E-2</c:v>
                </c:pt>
                <c:pt idx="5">
                  <c:v>2.8389521099586416E-2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80-49BF-850F-BB29CD3A982D}"/>
            </c:ext>
          </c:extLst>
        </c:ser>
        <c:ser>
          <c:idx val="2"/>
          <c:order val="2"/>
          <c:tx>
            <c:strRef>
              <c:f>'Graf 6+7'!$M$10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6+7'!$R$10:$W$10</c:f>
              <c:numCache>
                <c:formatCode>0.0</c:formatCode>
                <c:ptCount val="6"/>
                <c:pt idx="0">
                  <c:v>1.0369018491208073</c:v>
                </c:pt>
                <c:pt idx="1">
                  <c:v>0.9245629476751146</c:v>
                </c:pt>
                <c:pt idx="2">
                  <c:v>0.68722011364830793</c:v>
                </c:pt>
                <c:pt idx="3">
                  <c:v>0.15267081248420278</c:v>
                </c:pt>
                <c:pt idx="4">
                  <c:v>0.1578334115745163</c:v>
                </c:pt>
                <c:pt idx="5">
                  <c:v>0.1291528558303871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80-49BF-850F-BB29CD3A982D}"/>
            </c:ext>
          </c:extLst>
        </c:ser>
        <c:ser>
          <c:idx val="3"/>
          <c:order val="3"/>
          <c:tx>
            <c:strRef>
              <c:f>'Graf 6+7'!$M$11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6+7'!$R$11:$W$11</c:f>
              <c:numCache>
                <c:formatCode>0.0</c:formatCode>
                <c:ptCount val="6"/>
                <c:pt idx="0">
                  <c:v>0.93160463221586653</c:v>
                </c:pt>
                <c:pt idx="1">
                  <c:v>0.55841359448558969</c:v>
                </c:pt>
                <c:pt idx="2">
                  <c:v>9.0401512949176033E-2</c:v>
                </c:pt>
                <c:pt idx="3">
                  <c:v>2.8635501003479766E-2</c:v>
                </c:pt>
                <c:pt idx="4">
                  <c:v>0.10770025534619701</c:v>
                </c:pt>
                <c:pt idx="5">
                  <c:v>7.0873190224947105E-2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80-49BF-850F-BB29CD3A982D}"/>
            </c:ext>
          </c:extLst>
        </c:ser>
        <c:ser>
          <c:idx val="4"/>
          <c:order val="4"/>
          <c:tx>
            <c:strRef>
              <c:f>'Graf 6+7'!$M$12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6+7'!$R$12:$W$12</c:f>
              <c:numCache>
                <c:formatCode>0.0</c:formatCode>
                <c:ptCount val="6"/>
                <c:pt idx="0">
                  <c:v>0.1266668648529177</c:v>
                </c:pt>
                <c:pt idx="1">
                  <c:v>0.28099834081987768</c:v>
                </c:pt>
                <c:pt idx="2">
                  <c:v>0.26115255686630018</c:v>
                </c:pt>
                <c:pt idx="3">
                  <c:v>3.5463398001251797E-2</c:v>
                </c:pt>
                <c:pt idx="4">
                  <c:v>2.5857246573854249E-2</c:v>
                </c:pt>
                <c:pt idx="5">
                  <c:v>1.8559573620408155E-2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80-49BF-850F-BB29CD3A982D}"/>
            </c:ext>
          </c:extLst>
        </c:ser>
        <c:ser>
          <c:idx val="5"/>
          <c:order val="5"/>
          <c:tx>
            <c:strRef>
              <c:f>'Graf 6+7'!$M$13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6+7'!$R$13:$W$13</c:f>
              <c:numCache>
                <c:formatCode>0.0</c:formatCode>
                <c:ptCount val="6"/>
                <c:pt idx="0">
                  <c:v>-7.225181372732789E-2</c:v>
                </c:pt>
                <c:pt idx="1">
                  <c:v>-1.9095746833393559E-2</c:v>
                </c:pt>
                <c:pt idx="2">
                  <c:v>7.7019131353254352E-3</c:v>
                </c:pt>
                <c:pt idx="3">
                  <c:v>-2.9401116086469368E-2</c:v>
                </c:pt>
                <c:pt idx="4">
                  <c:v>-2.9041458949225905E-2</c:v>
                </c:pt>
                <c:pt idx="5">
                  <c:v>-2.8666189851745613E-2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000704"/>
        <c:axId val="489001096"/>
      </c:barChart>
      <c:lineChart>
        <c:grouping val="standard"/>
        <c:varyColors val="0"/>
        <c:ser>
          <c:idx val="0"/>
          <c:order val="0"/>
          <c:tx>
            <c:strRef>
              <c:f>'Graf 6+7'!$M$8</c:f>
              <c:strCache>
                <c:ptCount val="1"/>
                <c:pt idx="0">
                  <c:v>Employment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524992709244675E-2"/>
                  <c:y val="-7.26569899114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599066783318751E-2"/>
                  <c:y val="-5.11691030128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6385301837270395E-2"/>
                  <c:y val="-5.47546496465582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673199183435511E-2"/>
                  <c:y val="-6.3945508201221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786410032079325E-2"/>
                  <c:y val="-5.484215222016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766754155730641E-2"/>
                  <c:y val="-5.3670304028549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164507407702448E-2"/>
                  <c:y val="-5.087142347856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A80-49BF-850F-BB29CD3A982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905727983768722E-2"/>
                  <c:y val="-6.7828564638085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A80-49BF-850F-BB29CD3A982D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6+7'!$R$7:$W$7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6+7'!$R$8:$W$8</c:f>
              <c:numCache>
                <c:formatCode>0.0</c:formatCode>
                <c:ptCount val="6"/>
                <c:pt idx="0">
                  <c:v>2.2062007307902736</c:v>
                </c:pt>
                <c:pt idx="1">
                  <c:v>2.008467888794474</c:v>
                </c:pt>
                <c:pt idx="2">
                  <c:v>1.2446750088096703</c:v>
                </c:pt>
                <c:pt idx="3">
                  <c:v>0.22604228146061445</c:v>
                </c:pt>
                <c:pt idx="4">
                  <c:v>0.29600902117328243</c:v>
                </c:pt>
                <c:pt idx="5">
                  <c:v>0.21830895092358471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FA80-49BF-850F-BB29CD3A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00704"/>
        <c:axId val="489001096"/>
      </c:lineChart>
      <c:catAx>
        <c:axId val="489000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89001096"/>
        <c:crosses val="autoZero"/>
        <c:auto val="1"/>
        <c:lblAlgn val="ctr"/>
        <c:lblOffset val="100"/>
        <c:noMultiLvlLbl val="1"/>
      </c:catAx>
      <c:valAx>
        <c:axId val="489001096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8900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425500145815107"/>
          <c:y val="6.3739675721539435E-2"/>
          <c:w val="0.27761609798775155"/>
          <c:h val="0.32505110766416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7121314891892E-2"/>
          <c:y val="5.0925925925925923E-2"/>
          <c:w val="0.92708287868510864"/>
          <c:h val="0.898148148148148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6+7'!$M$18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6+7'!$O$18:$T$18</c:f>
              <c:numCache>
                <c:formatCode>0.0</c:formatCode>
                <c:ptCount val="6"/>
                <c:pt idx="0">
                  <c:v>0.87553326711939694</c:v>
                </c:pt>
                <c:pt idx="1">
                  <c:v>1.5497173777771458</c:v>
                </c:pt>
                <c:pt idx="2">
                  <c:v>1.1534099920521319</c:v>
                </c:pt>
                <c:pt idx="3">
                  <c:v>1.2118771597945066</c:v>
                </c:pt>
                <c:pt idx="4">
                  <c:v>1.6291656238497481</c:v>
                </c:pt>
                <c:pt idx="5">
                  <c:v>1.8295408374827253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2"/>
          <c:tx>
            <c:strRef>
              <c:f>'Graf 6+7'!$M$19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6+7'!$O$19:$T$19</c:f>
              <c:numCache>
                <c:formatCode>0.0</c:formatCode>
                <c:ptCount val="6"/>
                <c:pt idx="0">
                  <c:v>0.71369693522654831</c:v>
                </c:pt>
                <c:pt idx="1">
                  <c:v>0.67025021973269472</c:v>
                </c:pt>
                <c:pt idx="2">
                  <c:v>0.60267426970651117</c:v>
                </c:pt>
                <c:pt idx="3">
                  <c:v>0.54962966873264862</c:v>
                </c:pt>
                <c:pt idx="4">
                  <c:v>0.49550869692845406</c:v>
                </c:pt>
                <c:pt idx="5">
                  <c:v>0.47350026809070067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ser>
          <c:idx val="3"/>
          <c:order val="3"/>
          <c:tx>
            <c:strRef>
              <c:f>'Graf 6+7'!$M$20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6+7'!$O$20:$T$20</c:f>
              <c:numCache>
                <c:formatCode>0.0</c:formatCode>
                <c:ptCount val="6"/>
                <c:pt idx="0">
                  <c:v>-0.38336891664329975</c:v>
                </c:pt>
                <c:pt idx="1">
                  <c:v>0.24111304014093335</c:v>
                </c:pt>
                <c:pt idx="2">
                  <c:v>0.67643685248185392</c:v>
                </c:pt>
                <c:pt idx="3">
                  <c:v>0.27610747628999915</c:v>
                </c:pt>
                <c:pt idx="4">
                  <c:v>3.527025438250591E-2</c:v>
                </c:pt>
                <c:pt idx="5">
                  <c:v>3.527025438250591E-2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11-4A64-9E2C-C749300CDFE0}"/>
            </c:ext>
          </c:extLst>
        </c:ser>
        <c:ser>
          <c:idx val="4"/>
          <c:order val="4"/>
          <c:tx>
            <c:strRef>
              <c:f>'Graf 6+7'!$M$21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6+7'!$O$21:$T$21</c:f>
              <c:numCache>
                <c:formatCode>0.0</c:formatCode>
                <c:ptCount val="6"/>
                <c:pt idx="0">
                  <c:v>0.1</c:v>
                </c:pt>
                <c:pt idx="1">
                  <c:v>0</c:v>
                </c:pt>
                <c:pt idx="2">
                  <c:v>9.1765246584191357E-2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001880"/>
        <c:axId val="489002272"/>
      </c:barChart>
      <c:lineChart>
        <c:grouping val="standard"/>
        <c:varyColors val="0"/>
        <c:ser>
          <c:idx val="0"/>
          <c:order val="0"/>
          <c:tx>
            <c:strRef>
              <c:f>'Graf 6+7'!$M$17</c:f>
              <c:strCache>
                <c:ptCount val="1"/>
                <c:pt idx="0">
                  <c:v>Headline inflation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C11-4A64-9E2C-C749300CDFE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C11-4A64-9E2C-C749300CDFE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6+7'!$O$16:$T$16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6+7'!$O$17:$T$17</c:f>
              <c:numCache>
                <c:formatCode>0.0</c:formatCode>
                <c:ptCount val="6"/>
                <c:pt idx="0">
                  <c:v>1.3058612857026457</c:v>
                </c:pt>
                <c:pt idx="1">
                  <c:v>2.4610806376507735</c:v>
                </c:pt>
                <c:pt idx="2">
                  <c:v>2.5242863608246884</c:v>
                </c:pt>
                <c:pt idx="3">
                  <c:v>2.0574542519900652</c:v>
                </c:pt>
                <c:pt idx="4">
                  <c:v>2.1599445751607078</c:v>
                </c:pt>
                <c:pt idx="5">
                  <c:v>2.3383113599559318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01880"/>
        <c:axId val="489002272"/>
      </c:lineChart>
      <c:catAx>
        <c:axId val="4890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9002272"/>
        <c:crosses val="autoZero"/>
        <c:auto val="1"/>
        <c:lblAlgn val="ctr"/>
        <c:lblOffset val="100"/>
        <c:noMultiLvlLbl val="1"/>
      </c:catAx>
      <c:valAx>
        <c:axId val="489002272"/>
        <c:scaling>
          <c:orientation val="minMax"/>
          <c:max val="3.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489001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17106118720101"/>
          <c:y val="2.7695713850110684E-2"/>
          <c:w val="0.68041029354089355"/>
          <c:h val="0.163082634000185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033382994546303E-2"/>
          <c:y val="4.5147336827487339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8+9'!$I$8</c:f>
              <c:strCache>
                <c:ptCount val="1"/>
                <c:pt idx="0">
                  <c:v>Nemecko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8+9'!$K$8:$IR$8</c:f>
              <c:numCache>
                <c:formatCode>0.0</c:formatCode>
                <c:ptCount val="242"/>
                <c:pt idx="0">
                  <c:v>-0.68500000000000005</c:v>
                </c:pt>
                <c:pt idx="1">
                  <c:v>-0.57599999999999996</c:v>
                </c:pt>
                <c:pt idx="2">
                  <c:v>-0.495</c:v>
                </c:pt>
                <c:pt idx="3">
                  <c:v>-0.376</c:v>
                </c:pt>
                <c:pt idx="4">
                  <c:v>-0.32400000000000001</c:v>
                </c:pt>
                <c:pt idx="5">
                  <c:v>-0.21</c:v>
                </c:pt>
                <c:pt idx="6">
                  <c:v>-0.36299999999999999</c:v>
                </c:pt>
                <c:pt idx="7">
                  <c:v>-0.32700000000000001</c:v>
                </c:pt>
                <c:pt idx="8">
                  <c:v>-0.28499999999999998</c:v>
                </c:pt>
                <c:pt idx="9">
                  <c:v>-0.255</c:v>
                </c:pt>
                <c:pt idx="10">
                  <c:v>-0.25700000000000001</c:v>
                </c:pt>
                <c:pt idx="11">
                  <c:v>-0.20200000000000001</c:v>
                </c:pt>
                <c:pt idx="12">
                  <c:v>-0.11700000000000001</c:v>
                </c:pt>
                <c:pt idx="13">
                  <c:v>-0.104</c:v>
                </c:pt>
                <c:pt idx="14">
                  <c:v>-4.4999999999999998E-2</c:v>
                </c:pt>
                <c:pt idx="15">
                  <c:v>2.5000000000000001E-2</c:v>
                </c:pt>
                <c:pt idx="16">
                  <c:v>-2.1999999999999999E-2</c:v>
                </c:pt>
                <c:pt idx="17">
                  <c:v>2.5000000000000001E-2</c:v>
                </c:pt>
                <c:pt idx="18">
                  <c:v>5.5E-2</c:v>
                </c:pt>
                <c:pt idx="19">
                  <c:v>7.0000000000000001E-3</c:v>
                </c:pt>
                <c:pt idx="20">
                  <c:v>-7.0000000000000007E-2</c:v>
                </c:pt>
                <c:pt idx="21">
                  <c:v>-1.4999999999999999E-2</c:v>
                </c:pt>
                <c:pt idx="22">
                  <c:v>8.4000000000000005E-2</c:v>
                </c:pt>
                <c:pt idx="23">
                  <c:v>6.9000000000000006E-2</c:v>
                </c:pt>
                <c:pt idx="24">
                  <c:v>0.183</c:v>
                </c:pt>
                <c:pt idx="25">
                  <c:v>9.6000000000000002E-2</c:v>
                </c:pt>
                <c:pt idx="26">
                  <c:v>0.10100000000000001</c:v>
                </c:pt>
                <c:pt idx="27">
                  <c:v>8.6999999999999994E-2</c:v>
                </c:pt>
                <c:pt idx="28">
                  <c:v>0.16600000000000001</c:v>
                </c:pt>
                <c:pt idx="29">
                  <c:v>0.193</c:v>
                </c:pt>
                <c:pt idx="30">
                  <c:v>0.26200000000000001</c:v>
                </c:pt>
                <c:pt idx="31">
                  <c:v>0.23899999999999999</c:v>
                </c:pt>
                <c:pt idx="32">
                  <c:v>0.20799999999999999</c:v>
                </c:pt>
                <c:pt idx="33">
                  <c:v>0.24199999999999999</c:v>
                </c:pt>
                <c:pt idx="34">
                  <c:v>0.25</c:v>
                </c:pt>
                <c:pt idx="35">
                  <c:v>0.252</c:v>
                </c:pt>
                <c:pt idx="36">
                  <c:v>0.249</c:v>
                </c:pt>
                <c:pt idx="37">
                  <c:v>0.313</c:v>
                </c:pt>
                <c:pt idx="38">
                  <c:v>0.34</c:v>
                </c:pt>
                <c:pt idx="39">
                  <c:v>0.36699999999999999</c:v>
                </c:pt>
                <c:pt idx="40">
                  <c:v>0.40699999999999997</c:v>
                </c:pt>
                <c:pt idx="41">
                  <c:v>0.42799999999999999</c:v>
                </c:pt>
                <c:pt idx="42">
                  <c:v>0.35199999999999998</c:v>
                </c:pt>
                <c:pt idx="43">
                  <c:v>0.46</c:v>
                </c:pt>
                <c:pt idx="44">
                  <c:v>0.498</c:v>
                </c:pt>
                <c:pt idx="45">
                  <c:v>0.57299999999999995</c:v>
                </c:pt>
                <c:pt idx="46">
                  <c:v>0.47</c:v>
                </c:pt>
                <c:pt idx="47">
                  <c:v>0.46200000000000002</c:v>
                </c:pt>
                <c:pt idx="48">
                  <c:v>0.45</c:v>
                </c:pt>
                <c:pt idx="49">
                  <c:v>0.38700000000000001</c:v>
                </c:pt>
                <c:pt idx="50">
                  <c:v>0.32600000000000001</c:v>
                </c:pt>
                <c:pt idx="51">
                  <c:v>0.34499999999999997</c:v>
                </c:pt>
                <c:pt idx="52">
                  <c:v>0.30499999999999999</c:v>
                </c:pt>
                <c:pt idx="53">
                  <c:v>0.317</c:v>
                </c:pt>
                <c:pt idx="54">
                  <c:v>0.40799999999999997</c:v>
                </c:pt>
                <c:pt idx="55">
                  <c:v>0.40300000000000002</c:v>
                </c:pt>
                <c:pt idx="56">
                  <c:v>0.37</c:v>
                </c:pt>
                <c:pt idx="57">
                  <c:v>0.34</c:v>
                </c:pt>
                <c:pt idx="58">
                  <c:v>0.29199999999999998</c:v>
                </c:pt>
                <c:pt idx="59">
                  <c:v>0.30199999999999999</c:v>
                </c:pt>
                <c:pt idx="60">
                  <c:v>0.33700000000000002</c:v>
                </c:pt>
                <c:pt idx="61">
                  <c:v>0.40300000000000002</c:v>
                </c:pt>
                <c:pt idx="62">
                  <c:v>0.44900000000000001</c:v>
                </c:pt>
                <c:pt idx="63">
                  <c:v>0.38600000000000001</c:v>
                </c:pt>
                <c:pt idx="64">
                  <c:v>0.40600000000000003</c:v>
                </c:pt>
                <c:pt idx="65">
                  <c:v>0.57899999999999996</c:v>
                </c:pt>
                <c:pt idx="66">
                  <c:v>0.55900000000000005</c:v>
                </c:pt>
                <c:pt idx="67">
                  <c:v>0.54400000000000004</c:v>
                </c:pt>
                <c:pt idx="68">
                  <c:v>0.57099999999999995</c:v>
                </c:pt>
                <c:pt idx="69">
                  <c:v>0.59</c:v>
                </c:pt>
                <c:pt idx="70">
                  <c:v>0.51100000000000001</c:v>
                </c:pt>
                <c:pt idx="71">
                  <c:v>0.497</c:v>
                </c:pt>
                <c:pt idx="72">
                  <c:v>0.497</c:v>
                </c:pt>
                <c:pt idx="73">
                  <c:v>0.52700000000000002</c:v>
                </c:pt>
                <c:pt idx="74">
                  <c:v>0.57099999999999995</c:v>
                </c:pt>
                <c:pt idx="75">
                  <c:v>0.64800000000000002</c:v>
                </c:pt>
                <c:pt idx="76">
                  <c:v>0.65100000000000002</c:v>
                </c:pt>
                <c:pt idx="77">
                  <c:v>0.65300000000000002</c:v>
                </c:pt>
                <c:pt idx="78">
                  <c:v>0.70599999999999996</c:v>
                </c:pt>
                <c:pt idx="79">
                  <c:v>0.745</c:v>
                </c:pt>
                <c:pt idx="80">
                  <c:v>0.76700000000000002</c:v>
                </c:pt>
                <c:pt idx="81">
                  <c:v>0.629</c:v>
                </c:pt>
                <c:pt idx="82">
                  <c:v>0.56799999999999995</c:v>
                </c:pt>
                <c:pt idx="83">
                  <c:v>0.58099999999999996</c:v>
                </c:pt>
                <c:pt idx="84">
                  <c:v>0.439</c:v>
                </c:pt>
                <c:pt idx="85">
                  <c:v>0.42699999999999999</c:v>
                </c:pt>
                <c:pt idx="86">
                  <c:v>0.42</c:v>
                </c:pt>
                <c:pt idx="87">
                  <c:v>0.30099999999999999</c:v>
                </c:pt>
                <c:pt idx="88">
                  <c:v>0.307</c:v>
                </c:pt>
                <c:pt idx="89">
                  <c:v>0.30499999999999999</c:v>
                </c:pt>
                <c:pt idx="90">
                  <c:v>0.36</c:v>
                </c:pt>
                <c:pt idx="91">
                  <c:v>0.36099999999999999</c:v>
                </c:pt>
                <c:pt idx="92">
                  <c:v>0.41</c:v>
                </c:pt>
                <c:pt idx="93">
                  <c:v>0.36399999999999999</c:v>
                </c:pt>
                <c:pt idx="94">
                  <c:v>0.38300000000000001</c:v>
                </c:pt>
                <c:pt idx="95">
                  <c:v>0.45200000000000001</c:v>
                </c:pt>
                <c:pt idx="96">
                  <c:v>0.40300000000000002</c:v>
                </c:pt>
                <c:pt idx="97">
                  <c:v>0.45900000000000002</c:v>
                </c:pt>
                <c:pt idx="98">
                  <c:v>0.46400000000000002</c:v>
                </c:pt>
                <c:pt idx="99">
                  <c:v>0.44700000000000001</c:v>
                </c:pt>
                <c:pt idx="100">
                  <c:v>0.433</c:v>
                </c:pt>
                <c:pt idx="101">
                  <c:v>0.312</c:v>
                </c:pt>
                <c:pt idx="102">
                  <c:v>0.379</c:v>
                </c:pt>
                <c:pt idx="103">
                  <c:v>0.38</c:v>
                </c:pt>
                <c:pt idx="104">
                  <c:v>0.41399999999999998</c:v>
                </c:pt>
                <c:pt idx="105">
                  <c:v>0.38200000000000001</c:v>
                </c:pt>
                <c:pt idx="106">
                  <c:v>0.46800000000000003</c:v>
                </c:pt>
                <c:pt idx="107">
                  <c:v>0.54200000000000004</c:v>
                </c:pt>
                <c:pt idx="108">
                  <c:v>0.50600000000000001</c:v>
                </c:pt>
                <c:pt idx="109">
                  <c:v>0.59699999999999998</c:v>
                </c:pt>
                <c:pt idx="110">
                  <c:v>0.57299999999999995</c:v>
                </c:pt>
                <c:pt idx="111">
                  <c:v>0.46600000000000003</c:v>
                </c:pt>
                <c:pt idx="112">
                  <c:v>0.255</c:v>
                </c:pt>
                <c:pt idx="113">
                  <c:v>0.27600000000000002</c:v>
                </c:pt>
                <c:pt idx="114">
                  <c:v>0.26400000000000001</c:v>
                </c:pt>
                <c:pt idx="115">
                  <c:v>0.27400000000000002</c:v>
                </c:pt>
                <c:pt idx="116">
                  <c:v>0.33100000000000002</c:v>
                </c:pt>
                <c:pt idx="117">
                  <c:v>0.36799999999999999</c:v>
                </c:pt>
                <c:pt idx="118">
                  <c:v>0.39100000000000001</c:v>
                </c:pt>
                <c:pt idx="119">
                  <c:v>0.41799999999999998</c:v>
                </c:pt>
                <c:pt idx="120">
                  <c:v>0.317</c:v>
                </c:pt>
                <c:pt idx="121">
                  <c:v>0.253</c:v>
                </c:pt>
                <c:pt idx="122">
                  <c:v>0.187</c:v>
                </c:pt>
                <c:pt idx="123">
                  <c:v>0.22800000000000001</c:v>
                </c:pt>
                <c:pt idx="124">
                  <c:v>0.32800000000000001</c:v>
                </c:pt>
                <c:pt idx="125">
                  <c:v>0.40300000000000002</c:v>
                </c:pt>
                <c:pt idx="126">
                  <c:v>0.435</c:v>
                </c:pt>
                <c:pt idx="127">
                  <c:v>0.48499999999999999</c:v>
                </c:pt>
                <c:pt idx="128">
                  <c:v>0.35599999999999998</c:v>
                </c:pt>
                <c:pt idx="129">
                  <c:v>0.186</c:v>
                </c:pt>
                <c:pt idx="130">
                  <c:v>0.30199999999999999</c:v>
                </c:pt>
                <c:pt idx="131">
                  <c:v>0.32</c:v>
                </c:pt>
                <c:pt idx="132">
                  <c:v>0.41199999999999998</c:v>
                </c:pt>
                <c:pt idx="133">
                  <c:v>0.46200000000000002</c:v>
                </c:pt>
                <c:pt idx="134">
                  <c:v>0.42099999999999999</c:v>
                </c:pt>
                <c:pt idx="135">
                  <c:v>0.33800000000000002</c:v>
                </c:pt>
                <c:pt idx="136">
                  <c:v>0.29799999999999999</c:v>
                </c:pt>
                <c:pt idx="137">
                  <c:v>0.20799999999999999</c:v>
                </c:pt>
                <c:pt idx="138">
                  <c:v>0.221</c:v>
                </c:pt>
                <c:pt idx="139">
                  <c:v>0.314</c:v>
                </c:pt>
                <c:pt idx="140">
                  <c:v>0.36499999999999999</c:v>
                </c:pt>
                <c:pt idx="141">
                  <c:v>0.28100000000000003</c:v>
                </c:pt>
                <c:pt idx="142">
                  <c:v>0.24</c:v>
                </c:pt>
                <c:pt idx="143">
                  <c:v>0.27200000000000002</c:v>
                </c:pt>
                <c:pt idx="144">
                  <c:v>0.308</c:v>
                </c:pt>
                <c:pt idx="145">
                  <c:v>0.13500000000000001</c:v>
                </c:pt>
                <c:pt idx="146">
                  <c:v>0.16700000000000001</c:v>
                </c:pt>
                <c:pt idx="147">
                  <c:v>6.0000000000000001E-3</c:v>
                </c:pt>
                <c:pt idx="148">
                  <c:v>5.8000000000000003E-2</c:v>
                </c:pt>
                <c:pt idx="149">
                  <c:v>0.02</c:v>
                </c:pt>
                <c:pt idx="150">
                  <c:v>-0.11899999999999999</c:v>
                </c:pt>
                <c:pt idx="151">
                  <c:v>-8.2000000000000003E-2</c:v>
                </c:pt>
                <c:pt idx="152">
                  <c:v>7.0000000000000001E-3</c:v>
                </c:pt>
                <c:pt idx="153">
                  <c:v>1.0999999999999999E-2</c:v>
                </c:pt>
                <c:pt idx="154">
                  <c:v>-4.2999999999999997E-2</c:v>
                </c:pt>
                <c:pt idx="155">
                  <c:v>-7.1999999999999995E-2</c:v>
                </c:pt>
                <c:pt idx="156">
                  <c:v>-3.2000000000000001E-2</c:v>
                </c:pt>
                <c:pt idx="157">
                  <c:v>-0.108</c:v>
                </c:pt>
                <c:pt idx="158">
                  <c:v>-6.7000000000000004E-2</c:v>
                </c:pt>
                <c:pt idx="159">
                  <c:v>-0.11899999999999999</c:v>
                </c:pt>
                <c:pt idx="160">
                  <c:v>-0.03</c:v>
                </c:pt>
                <c:pt idx="161">
                  <c:v>6.0000000000000001E-3</c:v>
                </c:pt>
                <c:pt idx="162">
                  <c:v>-0.189</c:v>
                </c:pt>
                <c:pt idx="163">
                  <c:v>-0.126</c:v>
                </c:pt>
                <c:pt idx="164">
                  <c:v>-4.7E-2</c:v>
                </c:pt>
                <c:pt idx="165">
                  <c:v>1.9E-2</c:v>
                </c:pt>
                <c:pt idx="166">
                  <c:v>0.02</c:v>
                </c:pt>
                <c:pt idx="167">
                  <c:v>6.8000000000000005E-2</c:v>
                </c:pt>
                <c:pt idx="168">
                  <c:v>0.13800000000000001</c:v>
                </c:pt>
                <c:pt idx="169">
                  <c:v>0.16500000000000001</c:v>
                </c:pt>
                <c:pt idx="170">
                  <c:v>0.124</c:v>
                </c:pt>
                <c:pt idx="171">
                  <c:v>0.14399999999999999</c:v>
                </c:pt>
                <c:pt idx="172">
                  <c:v>0.27100000000000002</c:v>
                </c:pt>
                <c:pt idx="173">
                  <c:v>0.23100000000000001</c:v>
                </c:pt>
                <c:pt idx="174">
                  <c:v>0.127</c:v>
                </c:pt>
                <c:pt idx="175">
                  <c:v>9.5000000000000001E-2</c:v>
                </c:pt>
                <c:pt idx="176">
                  <c:v>0.13400000000000001</c:v>
                </c:pt>
                <c:pt idx="177">
                  <c:v>0.18</c:v>
                </c:pt>
                <c:pt idx="178">
                  <c:v>0.21199999999999999</c:v>
                </c:pt>
                <c:pt idx="179">
                  <c:v>0.27100000000000002</c:v>
                </c:pt>
                <c:pt idx="180">
                  <c:v>0.23799999999999999</c:v>
                </c:pt>
                <c:pt idx="181">
                  <c:v>0.14699999999999999</c:v>
                </c:pt>
                <c:pt idx="182">
                  <c:v>0.20200000000000001</c:v>
                </c:pt>
                <c:pt idx="183">
                  <c:v>0.26100000000000001</c:v>
                </c:pt>
                <c:pt idx="184">
                  <c:v>0.29599999999999999</c:v>
                </c:pt>
                <c:pt idx="185">
                  <c:v>0.32500000000000001</c:v>
                </c:pt>
                <c:pt idx="186">
                  <c:v>0.48399999999999999</c:v>
                </c:pt>
                <c:pt idx="187">
                  <c:v>0.54</c:v>
                </c:pt>
                <c:pt idx="188">
                  <c:v>0.51400000000000001</c:v>
                </c:pt>
                <c:pt idx="189">
                  <c:v>0.629</c:v>
                </c:pt>
                <c:pt idx="190">
                  <c:v>0.64100000000000001</c:v>
                </c:pt>
                <c:pt idx="191">
                  <c:v>0.54800000000000004</c:v>
                </c:pt>
                <c:pt idx="192">
                  <c:v>0.54</c:v>
                </c:pt>
                <c:pt idx="193">
                  <c:v>0.67800000000000005</c:v>
                </c:pt>
                <c:pt idx="194">
                  <c:v>0.46</c:v>
                </c:pt>
                <c:pt idx="195">
                  <c:v>0.47899999999999998</c:v>
                </c:pt>
                <c:pt idx="196">
                  <c:v>0.55800000000000005</c:v>
                </c:pt>
                <c:pt idx="197">
                  <c:v>0.69299999999999995</c:v>
                </c:pt>
                <c:pt idx="198">
                  <c:v>0.51700000000000002</c:v>
                </c:pt>
                <c:pt idx="199">
                  <c:v>0.51200000000000001</c:v>
                </c:pt>
                <c:pt idx="200">
                  <c:v>0.54800000000000004</c:v>
                </c:pt>
                <c:pt idx="201">
                  <c:v>0.61499999999999999</c:v>
                </c:pt>
                <c:pt idx="202">
                  <c:v>0.51</c:v>
                </c:pt>
                <c:pt idx="203">
                  <c:v>0.64900000000000002</c:v>
                </c:pt>
                <c:pt idx="204">
                  <c:v>0.66300000000000003</c:v>
                </c:pt>
                <c:pt idx="205">
                  <c:v>0.65300000000000002</c:v>
                </c:pt>
                <c:pt idx="206">
                  <c:v>0.66800000000000004</c:v>
                </c:pt>
                <c:pt idx="207">
                  <c:v>0.74199999999999999</c:v>
                </c:pt>
                <c:pt idx="208">
                  <c:v>0.56399999999999995</c:v>
                </c:pt>
                <c:pt idx="209">
                  <c:v>0.66</c:v>
                </c:pt>
                <c:pt idx="210">
                  <c:v>0.66100000000000003</c:v>
                </c:pt>
                <c:pt idx="211">
                  <c:v>0.64400000000000002</c:v>
                </c:pt>
                <c:pt idx="212">
                  <c:v>0.69099999999999995</c:v>
                </c:pt>
                <c:pt idx="213">
                  <c:v>0.78800000000000003</c:v>
                </c:pt>
                <c:pt idx="214">
                  <c:v>0.89800000000000002</c:v>
                </c:pt>
                <c:pt idx="215">
                  <c:v>0.79100000000000004</c:v>
                </c:pt>
                <c:pt idx="216">
                  <c:v>0.92200000000000004</c:v>
                </c:pt>
                <c:pt idx="217">
                  <c:v>0.752</c:v>
                </c:pt>
                <c:pt idx="218">
                  <c:v>0.83399999999999996</c:v>
                </c:pt>
                <c:pt idx="219">
                  <c:v>0.84399999999999997</c:v>
                </c:pt>
                <c:pt idx="220">
                  <c:v>0.48699999999999999</c:v>
                </c:pt>
                <c:pt idx="221">
                  <c:v>0.60399999999999998</c:v>
                </c:pt>
                <c:pt idx="222">
                  <c:v>0.624</c:v>
                </c:pt>
                <c:pt idx="223">
                  <c:v>0.54700000000000004</c:v>
                </c:pt>
                <c:pt idx="224">
                  <c:v>0.373</c:v>
                </c:pt>
                <c:pt idx="225">
                  <c:v>0.155</c:v>
                </c:pt>
                <c:pt idx="226">
                  <c:v>7.8E-2</c:v>
                </c:pt>
                <c:pt idx="227">
                  <c:v>0.155</c:v>
                </c:pt>
                <c:pt idx="228">
                  <c:v>0.19400000000000001</c:v>
                </c:pt>
                <c:pt idx="229">
                  <c:v>0.20699999999999999</c:v>
                </c:pt>
                <c:pt idx="230">
                  <c:v>0.184</c:v>
                </c:pt>
                <c:pt idx="231">
                  <c:v>0.25700000000000001</c:v>
                </c:pt>
                <c:pt idx="232">
                  <c:v>0.39300000000000002</c:v>
                </c:pt>
                <c:pt idx="233">
                  <c:v>0.32800000000000001</c:v>
                </c:pt>
                <c:pt idx="234">
                  <c:v>0.36699999999999999</c:v>
                </c:pt>
                <c:pt idx="235">
                  <c:v>0.34200000000000003</c:v>
                </c:pt>
                <c:pt idx="236">
                  <c:v>0.375</c:v>
                </c:pt>
                <c:pt idx="237">
                  <c:v>0.30199999999999999</c:v>
                </c:pt>
                <c:pt idx="238">
                  <c:v>0.36199999999999999</c:v>
                </c:pt>
                <c:pt idx="239">
                  <c:v>0.45400000000000001</c:v>
                </c:pt>
                <c:pt idx="240">
                  <c:v>0.49199999999999999</c:v>
                </c:pt>
                <c:pt idx="241">
                  <c:v>0.498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8+9'!$I$9</c:f>
              <c:strCache>
                <c:ptCount val="1"/>
                <c:pt idx="0">
                  <c:v>Taliansko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8+9'!$K$9:$IR$9</c:f>
              <c:numCache>
                <c:formatCode>0.0</c:formatCode>
                <c:ptCount val="242"/>
                <c:pt idx="0">
                  <c:v>1.395</c:v>
                </c:pt>
                <c:pt idx="1">
                  <c:v>1.806</c:v>
                </c:pt>
                <c:pt idx="2">
                  <c:v>1.5409999999999999</c:v>
                </c:pt>
                <c:pt idx="3">
                  <c:v>1.5659999999999998</c:v>
                </c:pt>
                <c:pt idx="4">
                  <c:v>1.605</c:v>
                </c:pt>
                <c:pt idx="5">
                  <c:v>1.7389999999999999</c:v>
                </c:pt>
                <c:pt idx="6">
                  <c:v>1.746</c:v>
                </c:pt>
                <c:pt idx="7">
                  <c:v>2.1019999999999999</c:v>
                </c:pt>
                <c:pt idx="8">
                  <c:v>2.149</c:v>
                </c:pt>
                <c:pt idx="9">
                  <c:v>2.3479999999999999</c:v>
                </c:pt>
                <c:pt idx="10">
                  <c:v>2.3580000000000001</c:v>
                </c:pt>
                <c:pt idx="11">
                  <c:v>2.67</c:v>
                </c:pt>
                <c:pt idx="12">
                  <c:v>2.5529999999999999</c:v>
                </c:pt>
                <c:pt idx="13">
                  <c:v>2.66</c:v>
                </c:pt>
                <c:pt idx="14">
                  <c:v>2.6829999999999998</c:v>
                </c:pt>
                <c:pt idx="15">
                  <c:v>2.5609999999999999</c:v>
                </c:pt>
                <c:pt idx="16">
                  <c:v>2.5840000000000001</c:v>
                </c:pt>
                <c:pt idx="17">
                  <c:v>2.6019999999999999</c:v>
                </c:pt>
                <c:pt idx="18">
                  <c:v>2.5409999999999999</c:v>
                </c:pt>
                <c:pt idx="19">
                  <c:v>2.4779999999999998</c:v>
                </c:pt>
                <c:pt idx="20">
                  <c:v>2.488</c:v>
                </c:pt>
                <c:pt idx="21">
                  <c:v>2.448</c:v>
                </c:pt>
                <c:pt idx="22">
                  <c:v>2.496</c:v>
                </c:pt>
                <c:pt idx="23">
                  <c:v>2.504</c:v>
                </c:pt>
                <c:pt idx="24">
                  <c:v>2.7330000000000001</c:v>
                </c:pt>
                <c:pt idx="25">
                  <c:v>2.847</c:v>
                </c:pt>
                <c:pt idx="26">
                  <c:v>2.7989999999999999</c:v>
                </c:pt>
                <c:pt idx="27">
                  <c:v>2.9580000000000002</c:v>
                </c:pt>
                <c:pt idx="28">
                  <c:v>2.7469999999999999</c:v>
                </c:pt>
                <c:pt idx="29">
                  <c:v>2.649</c:v>
                </c:pt>
                <c:pt idx="30">
                  <c:v>2.73</c:v>
                </c:pt>
                <c:pt idx="31">
                  <c:v>2.8540000000000001</c:v>
                </c:pt>
                <c:pt idx="32">
                  <c:v>2.899</c:v>
                </c:pt>
                <c:pt idx="33">
                  <c:v>2.742</c:v>
                </c:pt>
                <c:pt idx="34">
                  <c:v>2.831</c:v>
                </c:pt>
                <c:pt idx="35">
                  <c:v>2.9390000000000001</c:v>
                </c:pt>
                <c:pt idx="36">
                  <c:v>3.1320000000000001</c:v>
                </c:pt>
                <c:pt idx="37">
                  <c:v>3.2130000000000001</c:v>
                </c:pt>
                <c:pt idx="38">
                  <c:v>3.407</c:v>
                </c:pt>
                <c:pt idx="39">
                  <c:v>3.4910000000000001</c:v>
                </c:pt>
                <c:pt idx="40">
                  <c:v>3.403</c:v>
                </c:pt>
                <c:pt idx="41">
                  <c:v>3.3210000000000002</c:v>
                </c:pt>
                <c:pt idx="42">
                  <c:v>3.4460000000000002</c:v>
                </c:pt>
                <c:pt idx="43">
                  <c:v>3.4830000000000001</c:v>
                </c:pt>
                <c:pt idx="44">
                  <c:v>3.577</c:v>
                </c:pt>
                <c:pt idx="45">
                  <c:v>3.4239999999999999</c:v>
                </c:pt>
                <c:pt idx="46">
                  <c:v>3.1469999999999998</c:v>
                </c:pt>
                <c:pt idx="47">
                  <c:v>2.83</c:v>
                </c:pt>
                <c:pt idx="48">
                  <c:v>2.9820000000000002</c:v>
                </c:pt>
                <c:pt idx="49">
                  <c:v>3.0350000000000001</c:v>
                </c:pt>
                <c:pt idx="50">
                  <c:v>3.2359999999999998</c:v>
                </c:pt>
                <c:pt idx="51">
                  <c:v>3.1520000000000001</c:v>
                </c:pt>
                <c:pt idx="52">
                  <c:v>3.121</c:v>
                </c:pt>
                <c:pt idx="53">
                  <c:v>2.9929999999999999</c:v>
                </c:pt>
                <c:pt idx="54">
                  <c:v>2.927</c:v>
                </c:pt>
                <c:pt idx="55">
                  <c:v>2.7429999999999999</c:v>
                </c:pt>
                <c:pt idx="56">
                  <c:v>2.589</c:v>
                </c:pt>
                <c:pt idx="57">
                  <c:v>2.5510000000000002</c:v>
                </c:pt>
                <c:pt idx="58">
                  <c:v>2.7149999999999999</c:v>
                </c:pt>
                <c:pt idx="59">
                  <c:v>2.68</c:v>
                </c:pt>
                <c:pt idx="60">
                  <c:v>2.694</c:v>
                </c:pt>
                <c:pt idx="61">
                  <c:v>2.609</c:v>
                </c:pt>
                <c:pt idx="62">
                  <c:v>3.1310000000000002</c:v>
                </c:pt>
                <c:pt idx="63">
                  <c:v>2.6890000000000001</c:v>
                </c:pt>
                <c:pt idx="64">
                  <c:v>2.4609999999999999</c:v>
                </c:pt>
                <c:pt idx="65">
                  <c:v>2.2290000000000001</c:v>
                </c:pt>
                <c:pt idx="66">
                  <c:v>1.8719999999999999</c:v>
                </c:pt>
                <c:pt idx="67">
                  <c:v>1.7970000000000002</c:v>
                </c:pt>
                <c:pt idx="68">
                  <c:v>1.7410000000000001</c:v>
                </c:pt>
                <c:pt idx="69">
                  <c:v>1.778</c:v>
                </c:pt>
                <c:pt idx="70">
                  <c:v>1.7970000000000002</c:v>
                </c:pt>
                <c:pt idx="71">
                  <c:v>1.786</c:v>
                </c:pt>
                <c:pt idx="72">
                  <c:v>1.786</c:v>
                </c:pt>
                <c:pt idx="73">
                  <c:v>1.877</c:v>
                </c:pt>
                <c:pt idx="74">
                  <c:v>1.9830000000000001</c:v>
                </c:pt>
                <c:pt idx="75">
                  <c:v>2.0110000000000001</c:v>
                </c:pt>
                <c:pt idx="76">
                  <c:v>1.97</c:v>
                </c:pt>
                <c:pt idx="77">
                  <c:v>2.0670000000000002</c:v>
                </c:pt>
                <c:pt idx="78">
                  <c:v>1.9849999999999999</c:v>
                </c:pt>
                <c:pt idx="79">
                  <c:v>2.0489999999999999</c:v>
                </c:pt>
                <c:pt idx="80">
                  <c:v>2.0499999999999998</c:v>
                </c:pt>
                <c:pt idx="81">
                  <c:v>2.0070000000000001</c:v>
                </c:pt>
                <c:pt idx="82">
                  <c:v>1.9630000000000001</c:v>
                </c:pt>
                <c:pt idx="83">
                  <c:v>1.9830000000000001</c:v>
                </c:pt>
                <c:pt idx="84">
                  <c:v>2.0059999999999998</c:v>
                </c:pt>
                <c:pt idx="85">
                  <c:v>2.016</c:v>
                </c:pt>
                <c:pt idx="86">
                  <c:v>1.9119999999999999</c:v>
                </c:pt>
                <c:pt idx="87">
                  <c:v>1.8120000000000001</c:v>
                </c:pt>
                <c:pt idx="88">
                  <c:v>1.651</c:v>
                </c:pt>
                <c:pt idx="89">
                  <c:v>1.716</c:v>
                </c:pt>
                <c:pt idx="90">
                  <c:v>1.8109999999999999</c:v>
                </c:pt>
                <c:pt idx="91">
                  <c:v>1.8359999999999999</c:v>
                </c:pt>
                <c:pt idx="92">
                  <c:v>1.8460000000000001</c:v>
                </c:pt>
                <c:pt idx="93">
                  <c:v>1.792</c:v>
                </c:pt>
                <c:pt idx="94">
                  <c:v>1.95</c:v>
                </c:pt>
                <c:pt idx="95">
                  <c:v>2.0430000000000001</c:v>
                </c:pt>
                <c:pt idx="96">
                  <c:v>2.0840000000000001</c:v>
                </c:pt>
                <c:pt idx="97">
                  <c:v>2.1469999999999998</c:v>
                </c:pt>
                <c:pt idx="98">
                  <c:v>2.1110000000000002</c:v>
                </c:pt>
                <c:pt idx="99">
                  <c:v>2.1070000000000002</c:v>
                </c:pt>
                <c:pt idx="100">
                  <c:v>2.0779999999999998</c:v>
                </c:pt>
                <c:pt idx="101">
                  <c:v>1.9590000000000001</c:v>
                </c:pt>
                <c:pt idx="102">
                  <c:v>2.077</c:v>
                </c:pt>
                <c:pt idx="103">
                  <c:v>2.101</c:v>
                </c:pt>
                <c:pt idx="104">
                  <c:v>2.0329999999999999</c:v>
                </c:pt>
                <c:pt idx="105">
                  <c:v>2.0310000000000001</c:v>
                </c:pt>
                <c:pt idx="106">
                  <c:v>2.0219999999999998</c:v>
                </c:pt>
                <c:pt idx="107">
                  <c:v>2.1219999999999999</c:v>
                </c:pt>
                <c:pt idx="108">
                  <c:v>2.0720000000000001</c:v>
                </c:pt>
                <c:pt idx="109">
                  <c:v>2.29</c:v>
                </c:pt>
                <c:pt idx="110">
                  <c:v>2.343</c:v>
                </c:pt>
                <c:pt idx="111">
                  <c:v>2.1579999999999999</c:v>
                </c:pt>
                <c:pt idx="112">
                  <c:v>1.9159999999999999</c:v>
                </c:pt>
                <c:pt idx="113">
                  <c:v>1.986</c:v>
                </c:pt>
                <c:pt idx="114">
                  <c:v>2.0870000000000002</c:v>
                </c:pt>
                <c:pt idx="115">
                  <c:v>2.2610000000000001</c:v>
                </c:pt>
                <c:pt idx="116">
                  <c:v>2.1</c:v>
                </c:pt>
                <c:pt idx="117">
                  <c:v>2.137</c:v>
                </c:pt>
                <c:pt idx="118">
                  <c:v>2.2519999999999998</c:v>
                </c:pt>
                <c:pt idx="119">
                  <c:v>2.165</c:v>
                </c:pt>
                <c:pt idx="120">
                  <c:v>2.282</c:v>
                </c:pt>
                <c:pt idx="121">
                  <c:v>2.262</c:v>
                </c:pt>
                <c:pt idx="122">
                  <c:v>2.3170000000000002</c:v>
                </c:pt>
                <c:pt idx="123">
                  <c:v>2.2200000000000002</c:v>
                </c:pt>
                <c:pt idx="124">
                  <c:v>2.3180000000000001</c:v>
                </c:pt>
                <c:pt idx="125">
                  <c:v>2.2240000000000002</c:v>
                </c:pt>
                <c:pt idx="126">
                  <c:v>2.3570000000000002</c:v>
                </c:pt>
                <c:pt idx="127">
                  <c:v>2.367</c:v>
                </c:pt>
                <c:pt idx="128">
                  <c:v>2.1</c:v>
                </c:pt>
                <c:pt idx="129">
                  <c:v>2.1949999999999998</c:v>
                </c:pt>
                <c:pt idx="130">
                  <c:v>2.19</c:v>
                </c:pt>
                <c:pt idx="131">
                  <c:v>2.2709999999999999</c:v>
                </c:pt>
                <c:pt idx="132">
                  <c:v>2.2650000000000001</c:v>
                </c:pt>
                <c:pt idx="133">
                  <c:v>2.2269999999999999</c:v>
                </c:pt>
                <c:pt idx="134">
                  <c:v>2.0230000000000001</c:v>
                </c:pt>
                <c:pt idx="135">
                  <c:v>1.8959999999999999</c:v>
                </c:pt>
                <c:pt idx="136">
                  <c:v>1.9609999999999999</c:v>
                </c:pt>
                <c:pt idx="137">
                  <c:v>1.8149999999999999</c:v>
                </c:pt>
                <c:pt idx="138">
                  <c:v>1.8220000000000001</c:v>
                </c:pt>
                <c:pt idx="139">
                  <c:v>1.873</c:v>
                </c:pt>
                <c:pt idx="140">
                  <c:v>2.04</c:v>
                </c:pt>
                <c:pt idx="141">
                  <c:v>1.9020000000000001</c:v>
                </c:pt>
                <c:pt idx="142">
                  <c:v>2.0880000000000001</c:v>
                </c:pt>
                <c:pt idx="143">
                  <c:v>2.093</c:v>
                </c:pt>
                <c:pt idx="144">
                  <c:v>2.02</c:v>
                </c:pt>
                <c:pt idx="145">
                  <c:v>1.754</c:v>
                </c:pt>
                <c:pt idx="146">
                  <c:v>1.585</c:v>
                </c:pt>
                <c:pt idx="147">
                  <c:v>1.3740000000000001</c:v>
                </c:pt>
                <c:pt idx="148">
                  <c:v>1.38</c:v>
                </c:pt>
                <c:pt idx="149">
                  <c:v>1.383</c:v>
                </c:pt>
                <c:pt idx="150">
                  <c:v>1.1879999999999999</c:v>
                </c:pt>
                <c:pt idx="151">
                  <c:v>1.214</c:v>
                </c:pt>
                <c:pt idx="152">
                  <c:v>1.3420000000000001</c:v>
                </c:pt>
                <c:pt idx="153">
                  <c:v>1.248</c:v>
                </c:pt>
                <c:pt idx="154">
                  <c:v>1.171</c:v>
                </c:pt>
                <c:pt idx="155">
                  <c:v>1.1339999999999999</c:v>
                </c:pt>
                <c:pt idx="156">
                  <c:v>1.1339999999999999</c:v>
                </c:pt>
                <c:pt idx="157">
                  <c:v>1.042</c:v>
                </c:pt>
                <c:pt idx="158">
                  <c:v>1.137</c:v>
                </c:pt>
                <c:pt idx="159">
                  <c:v>1.169</c:v>
                </c:pt>
                <c:pt idx="160">
                  <c:v>1.234</c:v>
                </c:pt>
                <c:pt idx="161">
                  <c:v>1.2549999999999999</c:v>
                </c:pt>
                <c:pt idx="162">
                  <c:v>1.194</c:v>
                </c:pt>
                <c:pt idx="163">
                  <c:v>1.23</c:v>
                </c:pt>
                <c:pt idx="164">
                  <c:v>1.5569999999999999</c:v>
                </c:pt>
                <c:pt idx="165">
                  <c:v>1.512</c:v>
                </c:pt>
                <c:pt idx="166">
                  <c:v>1.383</c:v>
                </c:pt>
                <c:pt idx="167">
                  <c:v>1.333</c:v>
                </c:pt>
                <c:pt idx="168">
                  <c:v>1.355</c:v>
                </c:pt>
                <c:pt idx="169">
                  <c:v>1.472</c:v>
                </c:pt>
                <c:pt idx="170">
                  <c:v>1.4729999999999999</c:v>
                </c:pt>
                <c:pt idx="171">
                  <c:v>1.494</c:v>
                </c:pt>
                <c:pt idx="172">
                  <c:v>1.4889999999999999</c:v>
                </c:pt>
                <c:pt idx="173">
                  <c:v>1.474</c:v>
                </c:pt>
                <c:pt idx="174">
                  <c:v>1.3340000000000001</c:v>
                </c:pt>
                <c:pt idx="175">
                  <c:v>1.3109999999999999</c:v>
                </c:pt>
                <c:pt idx="176">
                  <c:v>1.22</c:v>
                </c:pt>
                <c:pt idx="177">
                  <c:v>1.302</c:v>
                </c:pt>
                <c:pt idx="178">
                  <c:v>1.2610000000000001</c:v>
                </c:pt>
                <c:pt idx="179">
                  <c:v>1.327</c:v>
                </c:pt>
                <c:pt idx="180">
                  <c:v>1.462</c:v>
                </c:pt>
                <c:pt idx="181">
                  <c:v>1.4729999999999999</c:v>
                </c:pt>
                <c:pt idx="182">
                  <c:v>1.5640000000000001</c:v>
                </c:pt>
                <c:pt idx="183">
                  <c:v>1.65</c:v>
                </c:pt>
                <c:pt idx="184">
                  <c:v>1.5550000000000002</c:v>
                </c:pt>
                <c:pt idx="185">
                  <c:v>1.415</c:v>
                </c:pt>
                <c:pt idx="186">
                  <c:v>1.5739999999999998</c:v>
                </c:pt>
                <c:pt idx="187">
                  <c:v>1.5659999999999998</c:v>
                </c:pt>
                <c:pt idx="188">
                  <c:v>1.528</c:v>
                </c:pt>
                <c:pt idx="189">
                  <c:v>1.5960000000000001</c:v>
                </c:pt>
                <c:pt idx="190">
                  <c:v>1.681</c:v>
                </c:pt>
                <c:pt idx="191">
                  <c:v>1.5720000000000001</c:v>
                </c:pt>
                <c:pt idx="192">
                  <c:v>1.5390000000000001</c:v>
                </c:pt>
                <c:pt idx="193">
                  <c:v>1.6539999999999999</c:v>
                </c:pt>
                <c:pt idx="194">
                  <c:v>1.4039999999999999</c:v>
                </c:pt>
                <c:pt idx="195">
                  <c:v>1.496</c:v>
                </c:pt>
                <c:pt idx="196">
                  <c:v>1.5640000000000001</c:v>
                </c:pt>
                <c:pt idx="197">
                  <c:v>1.7890000000000001</c:v>
                </c:pt>
                <c:pt idx="198">
                  <c:v>1.4809999999999999</c:v>
                </c:pt>
                <c:pt idx="199">
                  <c:v>1.4990000000000001</c:v>
                </c:pt>
                <c:pt idx="200">
                  <c:v>1.6040000000000001</c:v>
                </c:pt>
                <c:pt idx="201">
                  <c:v>1.694</c:v>
                </c:pt>
                <c:pt idx="202">
                  <c:v>1.6320000000000001</c:v>
                </c:pt>
                <c:pt idx="203">
                  <c:v>1.7949999999999999</c:v>
                </c:pt>
                <c:pt idx="204">
                  <c:v>1.7629999999999999</c:v>
                </c:pt>
                <c:pt idx="205">
                  <c:v>1.8340000000000001</c:v>
                </c:pt>
                <c:pt idx="206">
                  <c:v>1.8780000000000001</c:v>
                </c:pt>
                <c:pt idx="207">
                  <c:v>1.919</c:v>
                </c:pt>
                <c:pt idx="208">
                  <c:v>1.859</c:v>
                </c:pt>
                <c:pt idx="209">
                  <c:v>1.8140000000000001</c:v>
                </c:pt>
                <c:pt idx="210">
                  <c:v>1.833</c:v>
                </c:pt>
                <c:pt idx="211">
                  <c:v>1.772</c:v>
                </c:pt>
                <c:pt idx="212">
                  <c:v>1.8679999999999999</c:v>
                </c:pt>
                <c:pt idx="213">
                  <c:v>1.92</c:v>
                </c:pt>
                <c:pt idx="214">
                  <c:v>2.1339999999999999</c:v>
                </c:pt>
                <c:pt idx="215">
                  <c:v>2.2480000000000002</c:v>
                </c:pt>
                <c:pt idx="216">
                  <c:v>2.15</c:v>
                </c:pt>
                <c:pt idx="217">
                  <c:v>2.2810000000000001</c:v>
                </c:pt>
                <c:pt idx="218">
                  <c:v>2.214</c:v>
                </c:pt>
                <c:pt idx="219">
                  <c:v>2.242</c:v>
                </c:pt>
                <c:pt idx="220">
                  <c:v>1.8479999999999999</c:v>
                </c:pt>
                <c:pt idx="221">
                  <c:v>1.857</c:v>
                </c:pt>
                <c:pt idx="222">
                  <c:v>1.7709999999999999</c:v>
                </c:pt>
                <c:pt idx="223">
                  <c:v>1.6760000000000002</c:v>
                </c:pt>
                <c:pt idx="224">
                  <c:v>1.496</c:v>
                </c:pt>
                <c:pt idx="225">
                  <c:v>1.4430000000000001</c:v>
                </c:pt>
                <c:pt idx="226">
                  <c:v>1.478</c:v>
                </c:pt>
                <c:pt idx="227">
                  <c:v>1.266</c:v>
                </c:pt>
                <c:pt idx="228">
                  <c:v>1.3009999999999999</c:v>
                </c:pt>
                <c:pt idx="229">
                  <c:v>1.3540000000000001</c:v>
                </c:pt>
                <c:pt idx="230">
                  <c:v>1.204</c:v>
                </c:pt>
                <c:pt idx="231">
                  <c:v>1.149</c:v>
                </c:pt>
                <c:pt idx="232">
                  <c:v>1.3169999999999999</c:v>
                </c:pt>
                <c:pt idx="233">
                  <c:v>1.331</c:v>
                </c:pt>
                <c:pt idx="234">
                  <c:v>1.577</c:v>
                </c:pt>
                <c:pt idx="235">
                  <c:v>1.607</c:v>
                </c:pt>
                <c:pt idx="236">
                  <c:v>1.5779999999999998</c:v>
                </c:pt>
                <c:pt idx="237">
                  <c:v>1.5939999999999999</c:v>
                </c:pt>
                <c:pt idx="238">
                  <c:v>1.5270000000000001</c:v>
                </c:pt>
                <c:pt idx="239">
                  <c:v>1.6579999999999999</c:v>
                </c:pt>
                <c:pt idx="240">
                  <c:v>1.879</c:v>
                </c:pt>
                <c:pt idx="241">
                  <c:v>1.742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8+9'!$I$10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8+9'!$K$10:$IR$10</c:f>
              <c:numCache>
                <c:formatCode>0.0</c:formatCode>
                <c:ptCount val="242"/>
                <c:pt idx="0">
                  <c:v>-0.28000000000000003</c:v>
                </c:pt>
                <c:pt idx="1">
                  <c:v>-0.1</c:v>
                </c:pt>
                <c:pt idx="2">
                  <c:v>-0.08</c:v>
                </c:pt>
                <c:pt idx="3">
                  <c:v>0.02</c:v>
                </c:pt>
                <c:pt idx="4">
                  <c:v>0.05</c:v>
                </c:pt>
                <c:pt idx="5">
                  <c:v>0.16</c:v>
                </c:pt>
                <c:pt idx="6">
                  <c:v>0.06</c:v>
                </c:pt>
                <c:pt idx="7">
                  <c:v>0.17</c:v>
                </c:pt>
                <c:pt idx="8">
                  <c:v>0.23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0.37</c:v>
                </c:pt>
                <c:pt idx="12">
                  <c:v>0.48</c:v>
                </c:pt>
                <c:pt idx="13">
                  <c:v>0.44</c:v>
                </c:pt>
                <c:pt idx="14">
                  <c:v>0.48</c:v>
                </c:pt>
                <c:pt idx="15">
                  <c:v>0.55000000000000004</c:v>
                </c:pt>
                <c:pt idx="16">
                  <c:v>0.49</c:v>
                </c:pt>
                <c:pt idx="17">
                  <c:v>0.59</c:v>
                </c:pt>
                <c:pt idx="18">
                  <c:v>0.59</c:v>
                </c:pt>
                <c:pt idx="19">
                  <c:v>0.63</c:v>
                </c:pt>
                <c:pt idx="20">
                  <c:v>0.56000000000000005</c:v>
                </c:pt>
                <c:pt idx="21">
                  <c:v>0.59</c:v>
                </c:pt>
                <c:pt idx="22">
                  <c:v>0.65</c:v>
                </c:pt>
                <c:pt idx="23">
                  <c:v>0.7</c:v>
                </c:pt>
                <c:pt idx="24">
                  <c:v>0.78</c:v>
                </c:pt>
                <c:pt idx="25">
                  <c:v>0.71</c:v>
                </c:pt>
                <c:pt idx="26">
                  <c:v>0.72</c:v>
                </c:pt>
                <c:pt idx="27">
                  <c:v>0.7</c:v>
                </c:pt>
                <c:pt idx="28">
                  <c:v>0.74</c:v>
                </c:pt>
                <c:pt idx="29">
                  <c:v>0.77</c:v>
                </c:pt>
                <c:pt idx="30">
                  <c:v>0.87</c:v>
                </c:pt>
                <c:pt idx="31">
                  <c:v>0.82</c:v>
                </c:pt>
                <c:pt idx="32">
                  <c:v>0.78</c:v>
                </c:pt>
                <c:pt idx="33">
                  <c:v>0.85</c:v>
                </c:pt>
                <c:pt idx="34">
                  <c:v>0.82</c:v>
                </c:pt>
                <c:pt idx="35">
                  <c:v>0.89</c:v>
                </c:pt>
                <c:pt idx="36">
                  <c:v>0.85</c:v>
                </c:pt>
                <c:pt idx="37">
                  <c:v>0.86</c:v>
                </c:pt>
                <c:pt idx="38">
                  <c:v>0.92</c:v>
                </c:pt>
                <c:pt idx="39">
                  <c:v>0.89</c:v>
                </c:pt>
                <c:pt idx="40">
                  <c:v>0.97</c:v>
                </c:pt>
                <c:pt idx="41">
                  <c:v>0.93</c:v>
                </c:pt>
                <c:pt idx="42">
                  <c:v>0.96</c:v>
                </c:pt>
                <c:pt idx="43">
                  <c:v>1.02</c:v>
                </c:pt>
                <c:pt idx="44">
                  <c:v>1</c:v>
                </c:pt>
                <c:pt idx="45">
                  <c:v>1.05</c:v>
                </c:pt>
                <c:pt idx="46">
                  <c:v>0.93</c:v>
                </c:pt>
                <c:pt idx="47">
                  <c:v>0.94</c:v>
                </c:pt>
                <c:pt idx="48">
                  <c:v>0.86</c:v>
                </c:pt>
                <c:pt idx="49">
                  <c:v>0.89</c:v>
                </c:pt>
                <c:pt idx="50">
                  <c:v>0.81</c:v>
                </c:pt>
                <c:pt idx="51">
                  <c:v>0.83</c:v>
                </c:pt>
                <c:pt idx="52">
                  <c:v>0.89</c:v>
                </c:pt>
                <c:pt idx="53">
                  <c:v>0.82</c:v>
                </c:pt>
                <c:pt idx="54">
                  <c:v>0.92</c:v>
                </c:pt>
                <c:pt idx="55">
                  <c:v>0.85</c:v>
                </c:pt>
                <c:pt idx="56">
                  <c:v>0.89</c:v>
                </c:pt>
                <c:pt idx="57">
                  <c:v>0.85</c:v>
                </c:pt>
                <c:pt idx="58">
                  <c:v>0.86</c:v>
                </c:pt>
                <c:pt idx="59">
                  <c:v>0.88</c:v>
                </c:pt>
                <c:pt idx="60">
                  <c:v>0.9</c:v>
                </c:pt>
                <c:pt idx="61">
                  <c:v>1.01</c:v>
                </c:pt>
                <c:pt idx="62">
                  <c:v>1.01</c:v>
                </c:pt>
                <c:pt idx="63">
                  <c:v>0.97</c:v>
                </c:pt>
                <c:pt idx="64">
                  <c:v>0.96</c:v>
                </c:pt>
                <c:pt idx="65">
                  <c:v>1.03</c:v>
                </c:pt>
                <c:pt idx="66">
                  <c:v>1.04</c:v>
                </c:pt>
                <c:pt idx="67">
                  <c:v>0.98</c:v>
                </c:pt>
                <c:pt idx="68">
                  <c:v>1.04</c:v>
                </c:pt>
                <c:pt idx="69">
                  <c:v>1</c:v>
                </c:pt>
                <c:pt idx="70">
                  <c:v>0.96</c:v>
                </c:pt>
                <c:pt idx="71">
                  <c:v>0.97</c:v>
                </c:pt>
                <c:pt idx="72">
                  <c:v>1.04</c:v>
                </c:pt>
                <c:pt idx="73">
                  <c:v>1.03</c:v>
                </c:pt>
                <c:pt idx="74">
                  <c:v>1.07</c:v>
                </c:pt>
                <c:pt idx="75">
                  <c:v>1.1200000000000001</c:v>
                </c:pt>
                <c:pt idx="76">
                  <c:v>1.1299999999999999</c:v>
                </c:pt>
                <c:pt idx="77">
                  <c:v>1.1499999999999999</c:v>
                </c:pt>
                <c:pt idx="78">
                  <c:v>1.18</c:v>
                </c:pt>
                <c:pt idx="79">
                  <c:v>1.18</c:v>
                </c:pt>
                <c:pt idx="80">
                  <c:v>1.18</c:v>
                </c:pt>
                <c:pt idx="81">
                  <c:v>1.07</c:v>
                </c:pt>
                <c:pt idx="82">
                  <c:v>1.02</c:v>
                </c:pt>
                <c:pt idx="83">
                  <c:v>1.03</c:v>
                </c:pt>
                <c:pt idx="84">
                  <c:v>0.95</c:v>
                </c:pt>
                <c:pt idx="85">
                  <c:v>0.95</c:v>
                </c:pt>
                <c:pt idx="86">
                  <c:v>0.96</c:v>
                </c:pt>
                <c:pt idx="87">
                  <c:v>0.85</c:v>
                </c:pt>
                <c:pt idx="88">
                  <c:v>0.82</c:v>
                </c:pt>
                <c:pt idx="89">
                  <c:v>0.88</c:v>
                </c:pt>
                <c:pt idx="90">
                  <c:v>0.93</c:v>
                </c:pt>
                <c:pt idx="91">
                  <c:v>0.94</c:v>
                </c:pt>
                <c:pt idx="92">
                  <c:v>0.98</c:v>
                </c:pt>
                <c:pt idx="93">
                  <c:v>0.94</c:v>
                </c:pt>
                <c:pt idx="94">
                  <c:v>0.99</c:v>
                </c:pt>
                <c:pt idx="95">
                  <c:v>1.01</c:v>
                </c:pt>
                <c:pt idx="96">
                  <c:v>0.98</c:v>
                </c:pt>
                <c:pt idx="97">
                  <c:v>1.02</c:v>
                </c:pt>
                <c:pt idx="98">
                  <c:v>1.01</c:v>
                </c:pt>
                <c:pt idx="99">
                  <c:v>1.01</c:v>
                </c:pt>
                <c:pt idx="100">
                  <c:v>1.01</c:v>
                </c:pt>
                <c:pt idx="101">
                  <c:v>0.9</c:v>
                </c:pt>
                <c:pt idx="102">
                  <c:v>0.93</c:v>
                </c:pt>
                <c:pt idx="103">
                  <c:v>0.93</c:v>
                </c:pt>
                <c:pt idx="104">
                  <c:v>0.95</c:v>
                </c:pt>
                <c:pt idx="105">
                  <c:v>0.94</c:v>
                </c:pt>
                <c:pt idx="106">
                  <c:v>1.01</c:v>
                </c:pt>
                <c:pt idx="107">
                  <c:v>1.07</c:v>
                </c:pt>
                <c:pt idx="108">
                  <c:v>1.01</c:v>
                </c:pt>
                <c:pt idx="109">
                  <c:v>1.0900000000000001</c:v>
                </c:pt>
                <c:pt idx="110">
                  <c:v>1.1299999999999999</c:v>
                </c:pt>
                <c:pt idx="111">
                  <c:v>1.05</c:v>
                </c:pt>
                <c:pt idx="112">
                  <c:v>0.88</c:v>
                </c:pt>
                <c:pt idx="113">
                  <c:v>0.92</c:v>
                </c:pt>
                <c:pt idx="114">
                  <c:v>0.9</c:v>
                </c:pt>
                <c:pt idx="115">
                  <c:v>0.93</c:v>
                </c:pt>
                <c:pt idx="116">
                  <c:v>0.95</c:v>
                </c:pt>
                <c:pt idx="117">
                  <c:v>1.01</c:v>
                </c:pt>
                <c:pt idx="118">
                  <c:v>1.03</c:v>
                </c:pt>
                <c:pt idx="119">
                  <c:v>1.06</c:v>
                </c:pt>
                <c:pt idx="120">
                  <c:v>1.01</c:v>
                </c:pt>
                <c:pt idx="121">
                  <c:v>1</c:v>
                </c:pt>
                <c:pt idx="122">
                  <c:v>0.93</c:v>
                </c:pt>
                <c:pt idx="123">
                  <c:v>0.96</c:v>
                </c:pt>
                <c:pt idx="124">
                  <c:v>1.03</c:v>
                </c:pt>
                <c:pt idx="125">
                  <c:v>1.1000000000000001</c:v>
                </c:pt>
                <c:pt idx="126">
                  <c:v>1.1200000000000001</c:v>
                </c:pt>
                <c:pt idx="127">
                  <c:v>1.18</c:v>
                </c:pt>
                <c:pt idx="128">
                  <c:v>1.08</c:v>
                </c:pt>
                <c:pt idx="129">
                  <c:v>0.95</c:v>
                </c:pt>
                <c:pt idx="130">
                  <c:v>1.03</c:v>
                </c:pt>
                <c:pt idx="131">
                  <c:v>1</c:v>
                </c:pt>
                <c:pt idx="132">
                  <c:v>1.03</c:v>
                </c:pt>
                <c:pt idx="133">
                  <c:v>1.04</c:v>
                </c:pt>
                <c:pt idx="134">
                  <c:v>1.01</c:v>
                </c:pt>
                <c:pt idx="135">
                  <c:v>0.92</c:v>
                </c:pt>
                <c:pt idx="136">
                  <c:v>0.92</c:v>
                </c:pt>
                <c:pt idx="137">
                  <c:v>0.81</c:v>
                </c:pt>
                <c:pt idx="138">
                  <c:v>0.84</c:v>
                </c:pt>
                <c:pt idx="139">
                  <c:v>0.92</c:v>
                </c:pt>
                <c:pt idx="140">
                  <c:v>0.94</c:v>
                </c:pt>
                <c:pt idx="141">
                  <c:v>0.87</c:v>
                </c:pt>
                <c:pt idx="142">
                  <c:v>0.82</c:v>
                </c:pt>
                <c:pt idx="143">
                  <c:v>0.76</c:v>
                </c:pt>
                <c:pt idx="144">
                  <c:v>0.7</c:v>
                </c:pt>
                <c:pt idx="145">
                  <c:v>0.51</c:v>
                </c:pt>
                <c:pt idx="146">
                  <c:v>0.5</c:v>
                </c:pt>
                <c:pt idx="147">
                  <c:v>0.39</c:v>
                </c:pt>
                <c:pt idx="148">
                  <c:v>0.41</c:v>
                </c:pt>
                <c:pt idx="149">
                  <c:v>0.37</c:v>
                </c:pt>
                <c:pt idx="150">
                  <c:v>0.24</c:v>
                </c:pt>
                <c:pt idx="151">
                  <c:v>0.28000000000000003</c:v>
                </c:pt>
                <c:pt idx="152">
                  <c:v>0.33</c:v>
                </c:pt>
                <c:pt idx="153">
                  <c:v>0.3</c:v>
                </c:pt>
                <c:pt idx="154">
                  <c:v>0.28000000000000003</c:v>
                </c:pt>
                <c:pt idx="155">
                  <c:v>0.26</c:v>
                </c:pt>
                <c:pt idx="156">
                  <c:v>0.28999999999999998</c:v>
                </c:pt>
                <c:pt idx="157">
                  <c:v>0.25</c:v>
                </c:pt>
                <c:pt idx="158">
                  <c:v>0.3</c:v>
                </c:pt>
                <c:pt idx="159">
                  <c:v>0.3</c:v>
                </c:pt>
                <c:pt idx="160">
                  <c:v>0.42</c:v>
                </c:pt>
                <c:pt idx="161">
                  <c:v>0.43</c:v>
                </c:pt>
                <c:pt idx="162">
                  <c:v>0.37</c:v>
                </c:pt>
                <c:pt idx="163">
                  <c:v>0.47</c:v>
                </c:pt>
                <c:pt idx="164">
                  <c:v>0.63</c:v>
                </c:pt>
                <c:pt idx="165">
                  <c:v>0.59</c:v>
                </c:pt>
                <c:pt idx="166">
                  <c:v>0.6</c:v>
                </c:pt>
                <c:pt idx="167">
                  <c:v>0.64</c:v>
                </c:pt>
                <c:pt idx="168">
                  <c:v>0.7</c:v>
                </c:pt>
                <c:pt idx="169">
                  <c:v>0.72</c:v>
                </c:pt>
                <c:pt idx="170">
                  <c:v>0.69</c:v>
                </c:pt>
                <c:pt idx="171">
                  <c:v>0.66</c:v>
                </c:pt>
                <c:pt idx="172">
                  <c:v>0.74</c:v>
                </c:pt>
                <c:pt idx="173">
                  <c:v>0.67</c:v>
                </c:pt>
                <c:pt idx="174">
                  <c:v>0.59</c:v>
                </c:pt>
                <c:pt idx="175">
                  <c:v>0.56000000000000005</c:v>
                </c:pt>
                <c:pt idx="176">
                  <c:v>0.59</c:v>
                </c:pt>
                <c:pt idx="177">
                  <c:v>0.61</c:v>
                </c:pt>
                <c:pt idx="178">
                  <c:v>0.57999999999999996</c:v>
                </c:pt>
                <c:pt idx="179">
                  <c:v>0.63</c:v>
                </c:pt>
                <c:pt idx="180">
                  <c:v>0.61</c:v>
                </c:pt>
                <c:pt idx="181">
                  <c:v>0.57999999999999996</c:v>
                </c:pt>
                <c:pt idx="182">
                  <c:v>0.62</c:v>
                </c:pt>
                <c:pt idx="183">
                  <c:v>0.69</c:v>
                </c:pt>
                <c:pt idx="184">
                  <c:v>0.74</c:v>
                </c:pt>
                <c:pt idx="185">
                  <c:v>0.78</c:v>
                </c:pt>
                <c:pt idx="186">
                  <c:v>0.91</c:v>
                </c:pt>
                <c:pt idx="187">
                  <c:v>0.92</c:v>
                </c:pt>
                <c:pt idx="188">
                  <c:v>0.83</c:v>
                </c:pt>
                <c:pt idx="189">
                  <c:v>0.94</c:v>
                </c:pt>
                <c:pt idx="191">
                  <c:v>0.81</c:v>
                </c:pt>
                <c:pt idx="192">
                  <c:v>0.8</c:v>
                </c:pt>
                <c:pt idx="193">
                  <c:v>0.89</c:v>
                </c:pt>
                <c:pt idx="194">
                  <c:v>0.77</c:v>
                </c:pt>
                <c:pt idx="195">
                  <c:v>0.81</c:v>
                </c:pt>
                <c:pt idx="196">
                  <c:v>0.89</c:v>
                </c:pt>
                <c:pt idx="197">
                  <c:v>0.91</c:v>
                </c:pt>
                <c:pt idx="198">
                  <c:v>0.86</c:v>
                </c:pt>
                <c:pt idx="199">
                  <c:v>0.84</c:v>
                </c:pt>
                <c:pt idx="200">
                  <c:v>0.87</c:v>
                </c:pt>
                <c:pt idx="201">
                  <c:v>0.92</c:v>
                </c:pt>
                <c:pt idx="202">
                  <c:v>0.89</c:v>
                </c:pt>
                <c:pt idx="203">
                  <c:v>0.96</c:v>
                </c:pt>
                <c:pt idx="204">
                  <c:v>0.97</c:v>
                </c:pt>
                <c:pt idx="205">
                  <c:v>0.97</c:v>
                </c:pt>
                <c:pt idx="206">
                  <c:v>0.99</c:v>
                </c:pt>
                <c:pt idx="207">
                  <c:v>1.03</c:v>
                </c:pt>
                <c:pt idx="208">
                  <c:v>0.93</c:v>
                </c:pt>
                <c:pt idx="209">
                  <c:v>0.96</c:v>
                </c:pt>
                <c:pt idx="210">
                  <c:v>1.01</c:v>
                </c:pt>
                <c:pt idx="211">
                  <c:v>1.01</c:v>
                </c:pt>
                <c:pt idx="212">
                  <c:v>1.0900000000000001</c:v>
                </c:pt>
                <c:pt idx="213">
                  <c:v>1.21</c:v>
                </c:pt>
                <c:pt idx="214">
                  <c:v>1.37</c:v>
                </c:pt>
                <c:pt idx="215">
                  <c:v>1.4</c:v>
                </c:pt>
                <c:pt idx="216">
                  <c:v>1.48</c:v>
                </c:pt>
                <c:pt idx="217">
                  <c:v>1.44</c:v>
                </c:pt>
                <c:pt idx="218">
                  <c:v>1.4</c:v>
                </c:pt>
                <c:pt idx="219">
                  <c:v>1.17</c:v>
                </c:pt>
                <c:pt idx="220">
                  <c:v>0.85</c:v>
                </c:pt>
                <c:pt idx="221">
                  <c:v>0.91</c:v>
                </c:pt>
                <c:pt idx="222">
                  <c:v>0.9</c:v>
                </c:pt>
                <c:pt idx="225">
                  <c:v>0.44</c:v>
                </c:pt>
                <c:pt idx="226">
                  <c:v>0.41</c:v>
                </c:pt>
                <c:pt idx="227">
                  <c:v>0.5</c:v>
                </c:pt>
                <c:pt idx="229">
                  <c:v>0.52</c:v>
                </c:pt>
                <c:pt idx="230">
                  <c:v>0.52</c:v>
                </c:pt>
                <c:pt idx="231">
                  <c:v>0.54</c:v>
                </c:pt>
                <c:pt idx="232">
                  <c:v>0.75</c:v>
                </c:pt>
                <c:pt idx="233">
                  <c:v>0.77</c:v>
                </c:pt>
                <c:pt idx="234">
                  <c:v>0.94</c:v>
                </c:pt>
                <c:pt idx="235">
                  <c:v>0.93</c:v>
                </c:pt>
                <c:pt idx="236">
                  <c:v>0.83</c:v>
                </c:pt>
                <c:pt idx="237">
                  <c:v>0.79</c:v>
                </c:pt>
                <c:pt idx="238">
                  <c:v>0.95</c:v>
                </c:pt>
                <c:pt idx="239">
                  <c:v>0.93</c:v>
                </c:pt>
                <c:pt idx="240">
                  <c:v>1.35</c:v>
                </c:pt>
                <c:pt idx="241">
                  <c:v>1.42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8+9'!$I$11</c:f>
              <c:strCache>
                <c:ptCount val="1"/>
                <c:pt idx="0">
                  <c:v>Česko</c:v>
                </c:pt>
              </c:strCache>
            </c:strRef>
          </c:tx>
          <c:spPr>
            <a:ln w="19050">
              <a:solidFill>
                <a:srgbClr val="D3BEDE"/>
              </a:solidFill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8+9'!$K$11:$IR$11</c:f>
              <c:numCache>
                <c:formatCode>0.0</c:formatCode>
                <c:ptCount val="242"/>
                <c:pt idx="0">
                  <c:v>0.93200000000000005</c:v>
                </c:pt>
                <c:pt idx="1">
                  <c:v>0.96</c:v>
                </c:pt>
                <c:pt idx="2">
                  <c:v>1.1120000000000001</c:v>
                </c:pt>
                <c:pt idx="3">
                  <c:v>1.3559999999999999</c:v>
                </c:pt>
                <c:pt idx="4">
                  <c:v>1.49</c:v>
                </c:pt>
                <c:pt idx="5">
                  <c:v>1.4689999999999999</c:v>
                </c:pt>
                <c:pt idx="6">
                  <c:v>1.452</c:v>
                </c:pt>
                <c:pt idx="7">
                  <c:v>1.512</c:v>
                </c:pt>
                <c:pt idx="8">
                  <c:v>1.5529999999999999</c:v>
                </c:pt>
                <c:pt idx="9">
                  <c:v>1.625</c:v>
                </c:pt>
                <c:pt idx="10">
                  <c:v>1.659</c:v>
                </c:pt>
                <c:pt idx="11">
                  <c:v>1.704</c:v>
                </c:pt>
                <c:pt idx="12">
                  <c:v>1.821</c:v>
                </c:pt>
                <c:pt idx="13">
                  <c:v>1.8580000000000001</c:v>
                </c:pt>
                <c:pt idx="14">
                  <c:v>2.0030000000000001</c:v>
                </c:pt>
                <c:pt idx="15">
                  <c:v>2.0099999999999998</c:v>
                </c:pt>
                <c:pt idx="16">
                  <c:v>1.9359999999999999</c:v>
                </c:pt>
                <c:pt idx="17">
                  <c:v>1.9569999999999999</c:v>
                </c:pt>
                <c:pt idx="18">
                  <c:v>1.954</c:v>
                </c:pt>
                <c:pt idx="19">
                  <c:v>1.96</c:v>
                </c:pt>
                <c:pt idx="20">
                  <c:v>1.9180000000000001</c:v>
                </c:pt>
                <c:pt idx="21">
                  <c:v>1.9409999999999998</c:v>
                </c:pt>
                <c:pt idx="22">
                  <c:v>1.927</c:v>
                </c:pt>
                <c:pt idx="23">
                  <c:v>1.8980000000000001</c:v>
                </c:pt>
                <c:pt idx="24">
                  <c:v>1.97</c:v>
                </c:pt>
                <c:pt idx="25">
                  <c:v>1.9300000000000002</c:v>
                </c:pt>
                <c:pt idx="26">
                  <c:v>1.974</c:v>
                </c:pt>
                <c:pt idx="27">
                  <c:v>1.8399999999999999</c:v>
                </c:pt>
                <c:pt idx="28">
                  <c:v>1.7909999999999999</c:v>
                </c:pt>
                <c:pt idx="29">
                  <c:v>1.841</c:v>
                </c:pt>
                <c:pt idx="30">
                  <c:v>1.8620000000000001</c:v>
                </c:pt>
                <c:pt idx="31">
                  <c:v>1.855</c:v>
                </c:pt>
                <c:pt idx="32">
                  <c:v>1.7829999999999999</c:v>
                </c:pt>
                <c:pt idx="33">
                  <c:v>1.9430000000000001</c:v>
                </c:pt>
                <c:pt idx="34">
                  <c:v>1.98</c:v>
                </c:pt>
                <c:pt idx="35">
                  <c:v>2.0049999999999999</c:v>
                </c:pt>
                <c:pt idx="36">
                  <c:v>2.0219999999999998</c:v>
                </c:pt>
                <c:pt idx="37">
                  <c:v>2.0609999999999999</c:v>
                </c:pt>
                <c:pt idx="38">
                  <c:v>2.0910000000000002</c:v>
                </c:pt>
                <c:pt idx="39">
                  <c:v>2.0819999999999999</c:v>
                </c:pt>
                <c:pt idx="40">
                  <c:v>2.109</c:v>
                </c:pt>
                <c:pt idx="41">
                  <c:v>2.1310000000000002</c:v>
                </c:pt>
                <c:pt idx="42">
                  <c:v>2.1619999999999999</c:v>
                </c:pt>
                <c:pt idx="43">
                  <c:v>2.17</c:v>
                </c:pt>
                <c:pt idx="44">
                  <c:v>2.1549999999999998</c:v>
                </c:pt>
                <c:pt idx="45">
                  <c:v>2.1480000000000001</c:v>
                </c:pt>
                <c:pt idx="46">
                  <c:v>2.1869999999999998</c:v>
                </c:pt>
                <c:pt idx="47">
                  <c:v>2.2010000000000001</c:v>
                </c:pt>
                <c:pt idx="48">
                  <c:v>2.1640000000000001</c:v>
                </c:pt>
                <c:pt idx="49">
                  <c:v>2.1179999999999999</c:v>
                </c:pt>
                <c:pt idx="50">
                  <c:v>2.1160000000000001</c:v>
                </c:pt>
                <c:pt idx="51">
                  <c:v>2.133</c:v>
                </c:pt>
                <c:pt idx="52">
                  <c:v>2.1890000000000001</c:v>
                </c:pt>
                <c:pt idx="53">
                  <c:v>2.206</c:v>
                </c:pt>
                <c:pt idx="54">
                  <c:v>2.198</c:v>
                </c:pt>
                <c:pt idx="55">
                  <c:v>2.1640000000000001</c:v>
                </c:pt>
                <c:pt idx="56">
                  <c:v>2.09</c:v>
                </c:pt>
                <c:pt idx="57">
                  <c:v>2.1619999999999999</c:v>
                </c:pt>
                <c:pt idx="58">
                  <c:v>2.1749999999999998</c:v>
                </c:pt>
                <c:pt idx="59">
                  <c:v>2.1880000000000002</c:v>
                </c:pt>
                <c:pt idx="60">
                  <c:v>2.214</c:v>
                </c:pt>
                <c:pt idx="61">
                  <c:v>2.11</c:v>
                </c:pt>
                <c:pt idx="62">
                  <c:v>2.0609999999999999</c:v>
                </c:pt>
                <c:pt idx="63">
                  <c:v>1.946</c:v>
                </c:pt>
                <c:pt idx="64">
                  <c:v>1.9750000000000001</c:v>
                </c:pt>
                <c:pt idx="65">
                  <c:v>1.877</c:v>
                </c:pt>
                <c:pt idx="66">
                  <c:v>1.857</c:v>
                </c:pt>
                <c:pt idx="67">
                  <c:v>1.7290000000000001</c:v>
                </c:pt>
                <c:pt idx="68">
                  <c:v>1.746</c:v>
                </c:pt>
                <c:pt idx="69">
                  <c:v>1.7429999999999999</c:v>
                </c:pt>
                <c:pt idx="70">
                  <c:v>1.786</c:v>
                </c:pt>
                <c:pt idx="71">
                  <c:v>1.8380000000000001</c:v>
                </c:pt>
                <c:pt idx="72">
                  <c:v>1.8759999999999999</c:v>
                </c:pt>
                <c:pt idx="73">
                  <c:v>1.931</c:v>
                </c:pt>
                <c:pt idx="74">
                  <c:v>1.9319999999999999</c:v>
                </c:pt>
                <c:pt idx="75">
                  <c:v>1.9470000000000001</c:v>
                </c:pt>
                <c:pt idx="76">
                  <c:v>1.9060000000000001</c:v>
                </c:pt>
                <c:pt idx="77">
                  <c:v>1.895</c:v>
                </c:pt>
                <c:pt idx="78">
                  <c:v>1.9039999999999999</c:v>
                </c:pt>
                <c:pt idx="79">
                  <c:v>1.9020000000000001</c:v>
                </c:pt>
                <c:pt idx="80">
                  <c:v>1.9529999999999998</c:v>
                </c:pt>
                <c:pt idx="81">
                  <c:v>1.956</c:v>
                </c:pt>
                <c:pt idx="82">
                  <c:v>1.9159999999999999</c:v>
                </c:pt>
                <c:pt idx="83">
                  <c:v>1.9020000000000001</c:v>
                </c:pt>
                <c:pt idx="84">
                  <c:v>1.8380000000000001</c:v>
                </c:pt>
                <c:pt idx="85">
                  <c:v>1.7210000000000001</c:v>
                </c:pt>
                <c:pt idx="86">
                  <c:v>1.6659999999999999</c:v>
                </c:pt>
                <c:pt idx="87">
                  <c:v>1.665</c:v>
                </c:pt>
                <c:pt idx="88">
                  <c:v>1.629</c:v>
                </c:pt>
                <c:pt idx="89">
                  <c:v>1.673</c:v>
                </c:pt>
                <c:pt idx="90">
                  <c:v>1.917</c:v>
                </c:pt>
                <c:pt idx="91">
                  <c:v>1.891</c:v>
                </c:pt>
                <c:pt idx="92">
                  <c:v>1.8260000000000001</c:v>
                </c:pt>
                <c:pt idx="93">
                  <c:v>1.647</c:v>
                </c:pt>
                <c:pt idx="94">
                  <c:v>1.7210000000000001</c:v>
                </c:pt>
                <c:pt idx="95">
                  <c:v>1.6520000000000001</c:v>
                </c:pt>
                <c:pt idx="96">
                  <c:v>1.446</c:v>
                </c:pt>
                <c:pt idx="97">
                  <c:v>1.4550000000000001</c:v>
                </c:pt>
                <c:pt idx="98">
                  <c:v>1.341</c:v>
                </c:pt>
                <c:pt idx="99">
                  <c:v>1.214</c:v>
                </c:pt>
                <c:pt idx="100">
                  <c:v>1.133</c:v>
                </c:pt>
                <c:pt idx="101">
                  <c:v>1.014</c:v>
                </c:pt>
                <c:pt idx="102">
                  <c:v>1.012</c:v>
                </c:pt>
                <c:pt idx="103">
                  <c:v>0.98899999999999999</c:v>
                </c:pt>
                <c:pt idx="104">
                  <c:v>0.98799999999999999</c:v>
                </c:pt>
                <c:pt idx="105">
                  <c:v>1.01</c:v>
                </c:pt>
                <c:pt idx="106">
                  <c:v>1.073</c:v>
                </c:pt>
                <c:pt idx="107">
                  <c:v>1.024</c:v>
                </c:pt>
                <c:pt idx="108">
                  <c:v>1.0109999999999999</c:v>
                </c:pt>
                <c:pt idx="109">
                  <c:v>1.008</c:v>
                </c:pt>
                <c:pt idx="110">
                  <c:v>1.244</c:v>
                </c:pt>
                <c:pt idx="111">
                  <c:v>1.0880000000000001</c:v>
                </c:pt>
                <c:pt idx="112">
                  <c:v>0.98099999999999998</c:v>
                </c:pt>
                <c:pt idx="113">
                  <c:v>0.95799999999999996</c:v>
                </c:pt>
                <c:pt idx="114">
                  <c:v>0.85299999999999998</c:v>
                </c:pt>
                <c:pt idx="115">
                  <c:v>0.81</c:v>
                </c:pt>
                <c:pt idx="116">
                  <c:v>0.86</c:v>
                </c:pt>
                <c:pt idx="117">
                  <c:v>0.95799999999999996</c:v>
                </c:pt>
                <c:pt idx="118">
                  <c:v>0.91200000000000003</c:v>
                </c:pt>
                <c:pt idx="119">
                  <c:v>0.63100000000000001</c:v>
                </c:pt>
                <c:pt idx="120">
                  <c:v>0.79</c:v>
                </c:pt>
                <c:pt idx="121">
                  <c:v>0.89900000000000002</c:v>
                </c:pt>
                <c:pt idx="122">
                  <c:v>0.93100000000000005</c:v>
                </c:pt>
                <c:pt idx="123">
                  <c:v>0.95299999999999996</c:v>
                </c:pt>
                <c:pt idx="124">
                  <c:v>0.89700000000000002</c:v>
                </c:pt>
                <c:pt idx="125">
                  <c:v>0.96399999999999997</c:v>
                </c:pt>
                <c:pt idx="126">
                  <c:v>0.93300000000000005</c:v>
                </c:pt>
                <c:pt idx="127">
                  <c:v>0.73099999999999998</c:v>
                </c:pt>
                <c:pt idx="128">
                  <c:v>0.625</c:v>
                </c:pt>
                <c:pt idx="129">
                  <c:v>0.6</c:v>
                </c:pt>
                <c:pt idx="130">
                  <c:v>0.623</c:v>
                </c:pt>
                <c:pt idx="131">
                  <c:v>0.504</c:v>
                </c:pt>
                <c:pt idx="132">
                  <c:v>0.45</c:v>
                </c:pt>
                <c:pt idx="133">
                  <c:v>0.44700000000000001</c:v>
                </c:pt>
                <c:pt idx="134">
                  <c:v>0.41699999999999998</c:v>
                </c:pt>
                <c:pt idx="135">
                  <c:v>0.35099999999999998</c:v>
                </c:pt>
                <c:pt idx="136">
                  <c:v>0.503</c:v>
                </c:pt>
                <c:pt idx="137">
                  <c:v>0.434</c:v>
                </c:pt>
                <c:pt idx="138">
                  <c:v>0.45300000000000001</c:v>
                </c:pt>
                <c:pt idx="139">
                  <c:v>0.501</c:v>
                </c:pt>
                <c:pt idx="140">
                  <c:v>0.53900000000000003</c:v>
                </c:pt>
                <c:pt idx="141">
                  <c:v>0.55000000000000004</c:v>
                </c:pt>
                <c:pt idx="142">
                  <c:v>0.55700000000000005</c:v>
                </c:pt>
                <c:pt idx="143">
                  <c:v>0.58399999999999996</c:v>
                </c:pt>
                <c:pt idx="144">
                  <c:v>0.58199999999999996</c:v>
                </c:pt>
                <c:pt idx="145">
                  <c:v>0.49199999999999999</c:v>
                </c:pt>
                <c:pt idx="146">
                  <c:v>0.48299999999999998</c:v>
                </c:pt>
                <c:pt idx="147">
                  <c:v>0.42599999999999999</c:v>
                </c:pt>
                <c:pt idx="148">
                  <c:v>0.34</c:v>
                </c:pt>
                <c:pt idx="149">
                  <c:v>0.34200000000000003</c:v>
                </c:pt>
                <c:pt idx="150">
                  <c:v>0.26400000000000001</c:v>
                </c:pt>
                <c:pt idx="151">
                  <c:v>0.27100000000000002</c:v>
                </c:pt>
                <c:pt idx="152">
                  <c:v>0.30599999999999999</c:v>
                </c:pt>
                <c:pt idx="153">
                  <c:v>0.27</c:v>
                </c:pt>
                <c:pt idx="154">
                  <c:v>0.27900000000000003</c:v>
                </c:pt>
                <c:pt idx="155">
                  <c:v>0.26600000000000001</c:v>
                </c:pt>
                <c:pt idx="156">
                  <c:v>0.318</c:v>
                </c:pt>
                <c:pt idx="157">
                  <c:v>0.318</c:v>
                </c:pt>
                <c:pt idx="158">
                  <c:v>0.34300000000000003</c:v>
                </c:pt>
                <c:pt idx="159">
                  <c:v>0.35299999999999998</c:v>
                </c:pt>
                <c:pt idx="160">
                  <c:v>0.39800000000000002</c:v>
                </c:pt>
                <c:pt idx="161">
                  <c:v>0.42199999999999999</c:v>
                </c:pt>
                <c:pt idx="162">
                  <c:v>0.39400000000000002</c:v>
                </c:pt>
                <c:pt idx="163">
                  <c:v>0.438</c:v>
                </c:pt>
                <c:pt idx="164">
                  <c:v>0.47799999999999998</c:v>
                </c:pt>
                <c:pt idx="165">
                  <c:v>0.44500000000000001</c:v>
                </c:pt>
                <c:pt idx="166">
                  <c:v>0.47799999999999998</c:v>
                </c:pt>
                <c:pt idx="167">
                  <c:v>0.50900000000000001</c:v>
                </c:pt>
                <c:pt idx="168">
                  <c:v>0.52600000000000002</c:v>
                </c:pt>
                <c:pt idx="169">
                  <c:v>0.53</c:v>
                </c:pt>
                <c:pt idx="170">
                  <c:v>0.47599999999999998</c:v>
                </c:pt>
                <c:pt idx="171">
                  <c:v>0.47199999999999998</c:v>
                </c:pt>
                <c:pt idx="172">
                  <c:v>0.48899999999999999</c:v>
                </c:pt>
                <c:pt idx="173">
                  <c:v>0.47899999999999998</c:v>
                </c:pt>
                <c:pt idx="174">
                  <c:v>0.46200000000000002</c:v>
                </c:pt>
                <c:pt idx="175">
                  <c:v>0.41299999999999998</c:v>
                </c:pt>
                <c:pt idx="176">
                  <c:v>0.39700000000000002</c:v>
                </c:pt>
                <c:pt idx="177">
                  <c:v>0.40899999999999997</c:v>
                </c:pt>
                <c:pt idx="178">
                  <c:v>0.36699999999999999</c:v>
                </c:pt>
                <c:pt idx="179">
                  <c:v>0.32</c:v>
                </c:pt>
                <c:pt idx="180">
                  <c:v>0.35599999999999998</c:v>
                </c:pt>
                <c:pt idx="181">
                  <c:v>0.39600000000000002</c:v>
                </c:pt>
                <c:pt idx="182">
                  <c:v>0.40500000000000003</c:v>
                </c:pt>
                <c:pt idx="183">
                  <c:v>0.504</c:v>
                </c:pt>
                <c:pt idx="184">
                  <c:v>0.52400000000000002</c:v>
                </c:pt>
                <c:pt idx="185">
                  <c:v>0.61199999999999999</c:v>
                </c:pt>
                <c:pt idx="186">
                  <c:v>0.65500000000000003</c:v>
                </c:pt>
                <c:pt idx="187">
                  <c:v>0.65600000000000003</c:v>
                </c:pt>
                <c:pt idx="188">
                  <c:v>0.63600000000000001</c:v>
                </c:pt>
                <c:pt idx="189">
                  <c:v>0.52900000000000003</c:v>
                </c:pt>
                <c:pt idx="190">
                  <c:v>0.52</c:v>
                </c:pt>
                <c:pt idx="191">
                  <c:v>0.48099999999999998</c:v>
                </c:pt>
                <c:pt idx="192">
                  <c:v>0.47299999999999998</c:v>
                </c:pt>
                <c:pt idx="193">
                  <c:v>0.48299999999999998</c:v>
                </c:pt>
                <c:pt idx="194">
                  <c:v>0.45400000000000001</c:v>
                </c:pt>
                <c:pt idx="195">
                  <c:v>0.48799999999999999</c:v>
                </c:pt>
                <c:pt idx="196">
                  <c:v>0.52700000000000002</c:v>
                </c:pt>
                <c:pt idx="197">
                  <c:v>0.54600000000000004</c:v>
                </c:pt>
                <c:pt idx="198">
                  <c:v>0.501</c:v>
                </c:pt>
                <c:pt idx="199">
                  <c:v>0.54300000000000004</c:v>
                </c:pt>
                <c:pt idx="200">
                  <c:v>0.58199999999999996</c:v>
                </c:pt>
                <c:pt idx="201">
                  <c:v>0.63700000000000001</c:v>
                </c:pt>
                <c:pt idx="202">
                  <c:v>0.59399999999999997</c:v>
                </c:pt>
                <c:pt idx="203">
                  <c:v>0.71399999999999997</c:v>
                </c:pt>
                <c:pt idx="204">
                  <c:v>0.73899999999999999</c:v>
                </c:pt>
                <c:pt idx="205">
                  <c:v>0.73099999999999998</c:v>
                </c:pt>
                <c:pt idx="206">
                  <c:v>0.80900000000000005</c:v>
                </c:pt>
                <c:pt idx="207">
                  <c:v>0.88800000000000001</c:v>
                </c:pt>
                <c:pt idx="208">
                  <c:v>0.84499999999999997</c:v>
                </c:pt>
                <c:pt idx="209">
                  <c:v>0.878</c:v>
                </c:pt>
                <c:pt idx="210">
                  <c:v>0.91800000000000004</c:v>
                </c:pt>
                <c:pt idx="211">
                  <c:v>0.90100000000000002</c:v>
                </c:pt>
                <c:pt idx="212">
                  <c:v>0.98499999999999999</c:v>
                </c:pt>
                <c:pt idx="213">
                  <c:v>1.1890000000000001</c:v>
                </c:pt>
                <c:pt idx="214">
                  <c:v>1.1919999999999999</c:v>
                </c:pt>
                <c:pt idx="215">
                  <c:v>1.248</c:v>
                </c:pt>
                <c:pt idx="216">
                  <c:v>1.2629999999999999</c:v>
                </c:pt>
                <c:pt idx="217">
                  <c:v>1.151</c:v>
                </c:pt>
                <c:pt idx="218">
                  <c:v>1.18</c:v>
                </c:pt>
                <c:pt idx="219">
                  <c:v>1.113</c:v>
                </c:pt>
                <c:pt idx="220">
                  <c:v>0.82</c:v>
                </c:pt>
                <c:pt idx="221">
                  <c:v>0.82399999999999995</c:v>
                </c:pt>
                <c:pt idx="222">
                  <c:v>0.81899999999999995</c:v>
                </c:pt>
                <c:pt idx="223">
                  <c:v>0.65700000000000003</c:v>
                </c:pt>
                <c:pt idx="224">
                  <c:v>0.55900000000000005</c:v>
                </c:pt>
                <c:pt idx="225">
                  <c:v>0.438</c:v>
                </c:pt>
                <c:pt idx="226">
                  <c:v>0.35899999999999999</c:v>
                </c:pt>
                <c:pt idx="227">
                  <c:v>0.435</c:v>
                </c:pt>
                <c:pt idx="228">
                  <c:v>0.45</c:v>
                </c:pt>
                <c:pt idx="229">
                  <c:v>0.45100000000000001</c:v>
                </c:pt>
                <c:pt idx="230">
                  <c:v>0.46600000000000003</c:v>
                </c:pt>
                <c:pt idx="231">
                  <c:v>0.52</c:v>
                </c:pt>
                <c:pt idx="232">
                  <c:v>0.61</c:v>
                </c:pt>
                <c:pt idx="233">
                  <c:v>0.629</c:v>
                </c:pt>
                <c:pt idx="234">
                  <c:v>0.71</c:v>
                </c:pt>
                <c:pt idx="235">
                  <c:v>0.56499999999999995</c:v>
                </c:pt>
                <c:pt idx="236">
                  <c:v>0.441</c:v>
                </c:pt>
                <c:pt idx="237">
                  <c:v>0.377</c:v>
                </c:pt>
                <c:pt idx="238">
                  <c:v>0.41499999999999998</c:v>
                </c:pt>
                <c:pt idx="239">
                  <c:v>0.49299999999999999</c:v>
                </c:pt>
                <c:pt idx="240">
                  <c:v>0.59</c:v>
                </c:pt>
                <c:pt idx="241">
                  <c:v>0.71399999999999997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'Graf 8+9'!$I$12</c:f>
              <c:strCache>
                <c:ptCount val="1"/>
                <c:pt idx="0">
                  <c:v>Poľsko</c:v>
                </c:pt>
              </c:strCache>
            </c:strRef>
          </c:tx>
          <c:spPr>
            <a:ln w="19050"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8+9'!$K$12:$IR$12</c:f>
              <c:numCache>
                <c:formatCode>0.0</c:formatCode>
                <c:ptCount val="242"/>
                <c:pt idx="0">
                  <c:v>1.7330000000000001</c:v>
                </c:pt>
                <c:pt idx="1">
                  <c:v>1.9470000000000001</c:v>
                </c:pt>
                <c:pt idx="2">
                  <c:v>2.097</c:v>
                </c:pt>
                <c:pt idx="3">
                  <c:v>2.1110000000000002</c:v>
                </c:pt>
                <c:pt idx="4">
                  <c:v>2.177</c:v>
                </c:pt>
                <c:pt idx="5">
                  <c:v>2.3069999999999999</c:v>
                </c:pt>
                <c:pt idx="6">
                  <c:v>2.2829999999999999</c:v>
                </c:pt>
                <c:pt idx="7">
                  <c:v>2.39</c:v>
                </c:pt>
                <c:pt idx="8">
                  <c:v>2.383</c:v>
                </c:pt>
                <c:pt idx="9">
                  <c:v>2.395</c:v>
                </c:pt>
                <c:pt idx="10">
                  <c:v>2.4649999999999999</c:v>
                </c:pt>
                <c:pt idx="11">
                  <c:v>2.6440000000000001</c:v>
                </c:pt>
                <c:pt idx="12">
                  <c:v>2.831</c:v>
                </c:pt>
                <c:pt idx="13">
                  <c:v>2.8860000000000001</c:v>
                </c:pt>
                <c:pt idx="14">
                  <c:v>2.903</c:v>
                </c:pt>
                <c:pt idx="15">
                  <c:v>3.0379999999999998</c:v>
                </c:pt>
                <c:pt idx="16">
                  <c:v>2.9130000000000003</c:v>
                </c:pt>
                <c:pt idx="17">
                  <c:v>2.883</c:v>
                </c:pt>
                <c:pt idx="18">
                  <c:v>2.9119999999999999</c:v>
                </c:pt>
                <c:pt idx="19">
                  <c:v>2.931</c:v>
                </c:pt>
                <c:pt idx="20">
                  <c:v>2.839</c:v>
                </c:pt>
                <c:pt idx="21">
                  <c:v>2.8529999999999998</c:v>
                </c:pt>
                <c:pt idx="22">
                  <c:v>2.9009999999999998</c:v>
                </c:pt>
                <c:pt idx="23">
                  <c:v>2.8769999999999998</c:v>
                </c:pt>
                <c:pt idx="24">
                  <c:v>2.98</c:v>
                </c:pt>
                <c:pt idx="25">
                  <c:v>2.7679999999999998</c:v>
                </c:pt>
                <c:pt idx="26">
                  <c:v>2.6879999999999997</c:v>
                </c:pt>
                <c:pt idx="27">
                  <c:v>2.726</c:v>
                </c:pt>
                <c:pt idx="28">
                  <c:v>2.7560000000000002</c:v>
                </c:pt>
                <c:pt idx="29">
                  <c:v>2.8209999999999997</c:v>
                </c:pt>
                <c:pt idx="30">
                  <c:v>2.855</c:v>
                </c:pt>
                <c:pt idx="31">
                  <c:v>2.7709999999999999</c:v>
                </c:pt>
                <c:pt idx="32">
                  <c:v>2.8120000000000003</c:v>
                </c:pt>
                <c:pt idx="33">
                  <c:v>2.8250000000000002</c:v>
                </c:pt>
                <c:pt idx="34">
                  <c:v>2.8220000000000001</c:v>
                </c:pt>
                <c:pt idx="35">
                  <c:v>2.9379999999999997</c:v>
                </c:pt>
                <c:pt idx="36">
                  <c:v>3.0550000000000002</c:v>
                </c:pt>
                <c:pt idx="37">
                  <c:v>3.052</c:v>
                </c:pt>
                <c:pt idx="38">
                  <c:v>3.1760000000000002</c:v>
                </c:pt>
                <c:pt idx="39">
                  <c:v>3.2879999999999998</c:v>
                </c:pt>
                <c:pt idx="40">
                  <c:v>3.2280000000000002</c:v>
                </c:pt>
                <c:pt idx="41">
                  <c:v>3.2240000000000002</c:v>
                </c:pt>
                <c:pt idx="42">
                  <c:v>3.1390000000000002</c:v>
                </c:pt>
                <c:pt idx="43">
                  <c:v>3.262</c:v>
                </c:pt>
                <c:pt idx="44">
                  <c:v>3.2410000000000001</c:v>
                </c:pt>
                <c:pt idx="45">
                  <c:v>3.3170000000000002</c:v>
                </c:pt>
                <c:pt idx="46">
                  <c:v>3.2439999999999998</c:v>
                </c:pt>
                <c:pt idx="47">
                  <c:v>3.2359999999999998</c:v>
                </c:pt>
                <c:pt idx="48">
                  <c:v>3.2320000000000002</c:v>
                </c:pt>
                <c:pt idx="49">
                  <c:v>3.2869999999999999</c:v>
                </c:pt>
                <c:pt idx="50">
                  <c:v>3.1890000000000001</c:v>
                </c:pt>
                <c:pt idx="51">
                  <c:v>3.173</c:v>
                </c:pt>
                <c:pt idx="52">
                  <c:v>3.1549999999999998</c:v>
                </c:pt>
                <c:pt idx="53">
                  <c:v>3.1520000000000001</c:v>
                </c:pt>
                <c:pt idx="54">
                  <c:v>3.1230000000000002</c:v>
                </c:pt>
                <c:pt idx="55">
                  <c:v>3.1640000000000001</c:v>
                </c:pt>
                <c:pt idx="56">
                  <c:v>3.1829999999999998</c:v>
                </c:pt>
                <c:pt idx="57">
                  <c:v>3.1789999999999998</c:v>
                </c:pt>
                <c:pt idx="58">
                  <c:v>3.1850000000000001</c:v>
                </c:pt>
                <c:pt idx="59">
                  <c:v>3.2229999999999999</c:v>
                </c:pt>
                <c:pt idx="60">
                  <c:v>3.1739999999999999</c:v>
                </c:pt>
                <c:pt idx="61">
                  <c:v>3.2480000000000002</c:v>
                </c:pt>
                <c:pt idx="62">
                  <c:v>3.31</c:v>
                </c:pt>
                <c:pt idx="63">
                  <c:v>3.2330000000000001</c:v>
                </c:pt>
                <c:pt idx="64">
                  <c:v>3.2080000000000002</c:v>
                </c:pt>
                <c:pt idx="65">
                  <c:v>3.3359999999999999</c:v>
                </c:pt>
                <c:pt idx="66">
                  <c:v>3.2290000000000001</c:v>
                </c:pt>
                <c:pt idx="67">
                  <c:v>3.1669999999999998</c:v>
                </c:pt>
                <c:pt idx="68">
                  <c:v>3.0430000000000001</c:v>
                </c:pt>
                <c:pt idx="69">
                  <c:v>3.1139999999999999</c:v>
                </c:pt>
                <c:pt idx="70">
                  <c:v>3.0289999999999999</c:v>
                </c:pt>
                <c:pt idx="71">
                  <c:v>3.07</c:v>
                </c:pt>
                <c:pt idx="72">
                  <c:v>3.1749999999999998</c:v>
                </c:pt>
                <c:pt idx="73">
                  <c:v>3.2589999999999999</c:v>
                </c:pt>
                <c:pt idx="74">
                  <c:v>3.2549999999999999</c:v>
                </c:pt>
                <c:pt idx="75">
                  <c:v>3.3119999999999998</c:v>
                </c:pt>
                <c:pt idx="76">
                  <c:v>3.2879999999999998</c:v>
                </c:pt>
                <c:pt idx="77">
                  <c:v>3.4390000000000001</c:v>
                </c:pt>
                <c:pt idx="78">
                  <c:v>3.4729999999999999</c:v>
                </c:pt>
                <c:pt idx="79">
                  <c:v>3.5880000000000001</c:v>
                </c:pt>
                <c:pt idx="80">
                  <c:v>3.5830000000000002</c:v>
                </c:pt>
                <c:pt idx="81">
                  <c:v>3.5390000000000001</c:v>
                </c:pt>
                <c:pt idx="82">
                  <c:v>3.32</c:v>
                </c:pt>
                <c:pt idx="83">
                  <c:v>3.32</c:v>
                </c:pt>
                <c:pt idx="84">
                  <c:v>3.2229999999999999</c:v>
                </c:pt>
                <c:pt idx="85">
                  <c:v>3.3029999999999999</c:v>
                </c:pt>
                <c:pt idx="86">
                  <c:v>3.319</c:v>
                </c:pt>
                <c:pt idx="87">
                  <c:v>3.2309999999999999</c:v>
                </c:pt>
                <c:pt idx="88">
                  <c:v>3.254</c:v>
                </c:pt>
                <c:pt idx="89">
                  <c:v>3.34</c:v>
                </c:pt>
                <c:pt idx="90">
                  <c:v>3.3370000000000002</c:v>
                </c:pt>
                <c:pt idx="91">
                  <c:v>3.4129999999999998</c:v>
                </c:pt>
                <c:pt idx="92">
                  <c:v>3.3740000000000001</c:v>
                </c:pt>
                <c:pt idx="93">
                  <c:v>3.4630000000000001</c:v>
                </c:pt>
                <c:pt idx="94">
                  <c:v>3.4289999999999998</c:v>
                </c:pt>
                <c:pt idx="95">
                  <c:v>3.3820000000000001</c:v>
                </c:pt>
                <c:pt idx="96">
                  <c:v>3.3069999999999999</c:v>
                </c:pt>
                <c:pt idx="97">
                  <c:v>3.4950000000000001</c:v>
                </c:pt>
                <c:pt idx="98">
                  <c:v>3.3719999999999999</c:v>
                </c:pt>
                <c:pt idx="99">
                  <c:v>3.3359999999999999</c:v>
                </c:pt>
                <c:pt idx="100">
                  <c:v>3.234</c:v>
                </c:pt>
                <c:pt idx="101">
                  <c:v>3.1579999999999999</c:v>
                </c:pt>
                <c:pt idx="102">
                  <c:v>3.3109999999999999</c:v>
                </c:pt>
                <c:pt idx="103">
                  <c:v>3.2909999999999999</c:v>
                </c:pt>
                <c:pt idx="104">
                  <c:v>3.323</c:v>
                </c:pt>
                <c:pt idx="105">
                  <c:v>3.4369999999999998</c:v>
                </c:pt>
                <c:pt idx="106">
                  <c:v>3.3559999999999999</c:v>
                </c:pt>
                <c:pt idx="107">
                  <c:v>3.3319999999999999</c:v>
                </c:pt>
                <c:pt idx="108">
                  <c:v>3.294</c:v>
                </c:pt>
                <c:pt idx="109">
                  <c:v>3.323</c:v>
                </c:pt>
                <c:pt idx="110">
                  <c:v>3.37</c:v>
                </c:pt>
                <c:pt idx="111">
                  <c:v>3.3220000000000001</c:v>
                </c:pt>
                <c:pt idx="112">
                  <c:v>3.2389999999999999</c:v>
                </c:pt>
                <c:pt idx="113">
                  <c:v>3.15</c:v>
                </c:pt>
                <c:pt idx="114">
                  <c:v>3.169</c:v>
                </c:pt>
                <c:pt idx="115">
                  <c:v>3.17</c:v>
                </c:pt>
                <c:pt idx="116">
                  <c:v>3.2810000000000001</c:v>
                </c:pt>
                <c:pt idx="117">
                  <c:v>3.3460000000000001</c:v>
                </c:pt>
                <c:pt idx="118">
                  <c:v>3.3159999999999998</c:v>
                </c:pt>
                <c:pt idx="119">
                  <c:v>3.472</c:v>
                </c:pt>
                <c:pt idx="120">
                  <c:v>3.4359999999999999</c:v>
                </c:pt>
                <c:pt idx="121">
                  <c:v>3.4180000000000001</c:v>
                </c:pt>
                <c:pt idx="122">
                  <c:v>3.4089999999999998</c:v>
                </c:pt>
                <c:pt idx="123">
                  <c:v>3.4620000000000002</c:v>
                </c:pt>
                <c:pt idx="124">
                  <c:v>3.49</c:v>
                </c:pt>
                <c:pt idx="125">
                  <c:v>3.5640000000000001</c:v>
                </c:pt>
                <c:pt idx="126">
                  <c:v>3.7370000000000001</c:v>
                </c:pt>
                <c:pt idx="127">
                  <c:v>3.7509999999999999</c:v>
                </c:pt>
                <c:pt idx="128">
                  <c:v>3.7320000000000002</c:v>
                </c:pt>
                <c:pt idx="129">
                  <c:v>3.8180000000000001</c:v>
                </c:pt>
                <c:pt idx="130">
                  <c:v>3.8289999999999997</c:v>
                </c:pt>
                <c:pt idx="131">
                  <c:v>3.8380000000000001</c:v>
                </c:pt>
                <c:pt idx="132">
                  <c:v>3.7669999999999999</c:v>
                </c:pt>
                <c:pt idx="133">
                  <c:v>3.9009999999999998</c:v>
                </c:pt>
                <c:pt idx="134">
                  <c:v>3.7410000000000001</c:v>
                </c:pt>
                <c:pt idx="135">
                  <c:v>3.657</c:v>
                </c:pt>
                <c:pt idx="136">
                  <c:v>3.669</c:v>
                </c:pt>
                <c:pt idx="137">
                  <c:v>3.633</c:v>
                </c:pt>
                <c:pt idx="138">
                  <c:v>3.4289999999999998</c:v>
                </c:pt>
                <c:pt idx="139">
                  <c:v>3.4790000000000001</c:v>
                </c:pt>
                <c:pt idx="140">
                  <c:v>3.61</c:v>
                </c:pt>
                <c:pt idx="141">
                  <c:v>3.819</c:v>
                </c:pt>
                <c:pt idx="142">
                  <c:v>3.5540000000000003</c:v>
                </c:pt>
                <c:pt idx="143">
                  <c:v>3.7010000000000001</c:v>
                </c:pt>
                <c:pt idx="144">
                  <c:v>3.34</c:v>
                </c:pt>
                <c:pt idx="145">
                  <c:v>3.0470000000000002</c:v>
                </c:pt>
                <c:pt idx="146">
                  <c:v>3.121</c:v>
                </c:pt>
                <c:pt idx="147">
                  <c:v>2.9550000000000001</c:v>
                </c:pt>
                <c:pt idx="148">
                  <c:v>3.0419999999999998</c:v>
                </c:pt>
                <c:pt idx="149">
                  <c:v>3.0390000000000001</c:v>
                </c:pt>
                <c:pt idx="150">
                  <c:v>2.919</c:v>
                </c:pt>
                <c:pt idx="151">
                  <c:v>2.7949999999999999</c:v>
                </c:pt>
                <c:pt idx="152">
                  <c:v>2.94</c:v>
                </c:pt>
                <c:pt idx="153">
                  <c:v>2.8970000000000002</c:v>
                </c:pt>
                <c:pt idx="154">
                  <c:v>2.8849999999999998</c:v>
                </c:pt>
                <c:pt idx="155">
                  <c:v>2.6739999999999999</c:v>
                </c:pt>
                <c:pt idx="156">
                  <c:v>2.67</c:v>
                </c:pt>
                <c:pt idx="157">
                  <c:v>2.6150000000000002</c:v>
                </c:pt>
                <c:pt idx="158">
                  <c:v>2.7610000000000001</c:v>
                </c:pt>
                <c:pt idx="159">
                  <c:v>2.8759999999999999</c:v>
                </c:pt>
                <c:pt idx="160">
                  <c:v>2.911</c:v>
                </c:pt>
                <c:pt idx="161">
                  <c:v>2.944</c:v>
                </c:pt>
                <c:pt idx="162">
                  <c:v>2.8820000000000001</c:v>
                </c:pt>
                <c:pt idx="163">
                  <c:v>2.883</c:v>
                </c:pt>
                <c:pt idx="164">
                  <c:v>3.1789999999999998</c:v>
                </c:pt>
                <c:pt idx="165">
                  <c:v>3.1539999999999999</c:v>
                </c:pt>
                <c:pt idx="166">
                  <c:v>3.109</c:v>
                </c:pt>
                <c:pt idx="167">
                  <c:v>3.133</c:v>
                </c:pt>
                <c:pt idx="168">
                  <c:v>3.0550000000000002</c:v>
                </c:pt>
                <c:pt idx="169">
                  <c:v>3.0750000000000002</c:v>
                </c:pt>
                <c:pt idx="170">
                  <c:v>3.01</c:v>
                </c:pt>
                <c:pt idx="171">
                  <c:v>3.085</c:v>
                </c:pt>
                <c:pt idx="172">
                  <c:v>3.093</c:v>
                </c:pt>
                <c:pt idx="173">
                  <c:v>3.05</c:v>
                </c:pt>
                <c:pt idx="174">
                  <c:v>2.968</c:v>
                </c:pt>
                <c:pt idx="175">
                  <c:v>2.9159999999999999</c:v>
                </c:pt>
                <c:pt idx="176">
                  <c:v>2.8250000000000002</c:v>
                </c:pt>
                <c:pt idx="177">
                  <c:v>2.883</c:v>
                </c:pt>
                <c:pt idx="178">
                  <c:v>2.8120000000000003</c:v>
                </c:pt>
                <c:pt idx="179">
                  <c:v>2.8780000000000001</c:v>
                </c:pt>
                <c:pt idx="180">
                  <c:v>2.9859999999999998</c:v>
                </c:pt>
                <c:pt idx="181">
                  <c:v>2.952</c:v>
                </c:pt>
                <c:pt idx="182">
                  <c:v>2.95</c:v>
                </c:pt>
                <c:pt idx="183">
                  <c:v>3.0659999999999998</c:v>
                </c:pt>
                <c:pt idx="184">
                  <c:v>3.121</c:v>
                </c:pt>
                <c:pt idx="185">
                  <c:v>3.1440000000000001</c:v>
                </c:pt>
                <c:pt idx="186">
                  <c:v>3.1</c:v>
                </c:pt>
                <c:pt idx="187">
                  <c:v>2.984</c:v>
                </c:pt>
                <c:pt idx="188">
                  <c:v>2.9319999999999999</c:v>
                </c:pt>
                <c:pt idx="189">
                  <c:v>2.9430000000000001</c:v>
                </c:pt>
                <c:pt idx="190">
                  <c:v>3.137</c:v>
                </c:pt>
                <c:pt idx="191">
                  <c:v>2.9130000000000003</c:v>
                </c:pt>
                <c:pt idx="192">
                  <c:v>3.117</c:v>
                </c:pt>
                <c:pt idx="193">
                  <c:v>2.8959999999999999</c:v>
                </c:pt>
                <c:pt idx="194">
                  <c:v>2.62</c:v>
                </c:pt>
                <c:pt idx="195">
                  <c:v>2.7119999999999997</c:v>
                </c:pt>
                <c:pt idx="196">
                  <c:v>2.6840000000000002</c:v>
                </c:pt>
                <c:pt idx="197">
                  <c:v>2.9119999999999999</c:v>
                </c:pt>
                <c:pt idx="198">
                  <c:v>2.661</c:v>
                </c:pt>
                <c:pt idx="199">
                  <c:v>2.6080000000000001</c:v>
                </c:pt>
                <c:pt idx="200">
                  <c:v>2.6760000000000002</c:v>
                </c:pt>
                <c:pt idx="201">
                  <c:v>2.6680000000000001</c:v>
                </c:pt>
                <c:pt idx="202">
                  <c:v>2.6539999999999999</c:v>
                </c:pt>
                <c:pt idx="203">
                  <c:v>2.835</c:v>
                </c:pt>
                <c:pt idx="204">
                  <c:v>2.8959999999999999</c:v>
                </c:pt>
                <c:pt idx="205">
                  <c:v>2.9820000000000002</c:v>
                </c:pt>
                <c:pt idx="206">
                  <c:v>2.9239999999999999</c:v>
                </c:pt>
                <c:pt idx="207">
                  <c:v>2.9060000000000001</c:v>
                </c:pt>
                <c:pt idx="208">
                  <c:v>2.7229999999999999</c:v>
                </c:pt>
                <c:pt idx="209">
                  <c:v>2.7829999999999999</c:v>
                </c:pt>
                <c:pt idx="210">
                  <c:v>3.0350000000000001</c:v>
                </c:pt>
                <c:pt idx="211">
                  <c:v>2.9340000000000002</c:v>
                </c:pt>
                <c:pt idx="212">
                  <c:v>2.8719999999999999</c:v>
                </c:pt>
                <c:pt idx="213">
                  <c:v>2.8919999999999999</c:v>
                </c:pt>
                <c:pt idx="214">
                  <c:v>3.048</c:v>
                </c:pt>
                <c:pt idx="215">
                  <c:v>3.1920000000000002</c:v>
                </c:pt>
                <c:pt idx="216">
                  <c:v>3.2330000000000001</c:v>
                </c:pt>
                <c:pt idx="217">
                  <c:v>3.262</c:v>
                </c:pt>
                <c:pt idx="218">
                  <c:v>3.2050000000000001</c:v>
                </c:pt>
                <c:pt idx="219">
                  <c:v>3.1589999999999998</c:v>
                </c:pt>
                <c:pt idx="220">
                  <c:v>2.9319999999999999</c:v>
                </c:pt>
                <c:pt idx="221">
                  <c:v>2.8079999999999998</c:v>
                </c:pt>
                <c:pt idx="222">
                  <c:v>2.8369999999999997</c:v>
                </c:pt>
                <c:pt idx="223">
                  <c:v>2.6989999999999998</c:v>
                </c:pt>
                <c:pt idx="224">
                  <c:v>2.6320000000000001</c:v>
                </c:pt>
                <c:pt idx="225">
                  <c:v>2.4569999999999999</c:v>
                </c:pt>
                <c:pt idx="226">
                  <c:v>2.3010000000000002</c:v>
                </c:pt>
                <c:pt idx="227">
                  <c:v>2.294</c:v>
                </c:pt>
                <c:pt idx="228">
                  <c:v>2.3050000000000002</c:v>
                </c:pt>
                <c:pt idx="229">
                  <c:v>2.31</c:v>
                </c:pt>
                <c:pt idx="230">
                  <c:v>2.2589999999999999</c:v>
                </c:pt>
                <c:pt idx="231">
                  <c:v>2.4569999999999999</c:v>
                </c:pt>
                <c:pt idx="232">
                  <c:v>2.46</c:v>
                </c:pt>
                <c:pt idx="233">
                  <c:v>2.157</c:v>
                </c:pt>
                <c:pt idx="234">
                  <c:v>2.331</c:v>
                </c:pt>
                <c:pt idx="235">
                  <c:v>2.181</c:v>
                </c:pt>
                <c:pt idx="236">
                  <c:v>2.2109999999999999</c:v>
                </c:pt>
                <c:pt idx="237">
                  <c:v>1.98</c:v>
                </c:pt>
                <c:pt idx="238">
                  <c:v>2.085</c:v>
                </c:pt>
                <c:pt idx="239">
                  <c:v>2.278</c:v>
                </c:pt>
                <c:pt idx="240">
                  <c:v>2.3290000000000002</c:v>
                </c:pt>
                <c:pt idx="241">
                  <c:v>2.456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002664"/>
        <c:axId val="489003448"/>
      </c:lineChart>
      <c:dateAx>
        <c:axId val="489002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489003448"/>
        <c:crosses val="autoZero"/>
        <c:auto val="1"/>
        <c:lblOffset val="100"/>
        <c:baseTimeUnit val="days"/>
        <c:majorUnit val="12"/>
        <c:majorTimeUnit val="months"/>
      </c:dateAx>
      <c:valAx>
        <c:axId val="489003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sk-SK"/>
          </a:p>
        </c:txPr>
        <c:crossAx val="48900266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212301587301588"/>
          <c:y val="4.4335976347265153E-2"/>
          <c:w val="0.6800194444444444"/>
          <c:h val="0.13826457017425975"/>
        </c:manualLayout>
      </c:layout>
      <c:overlay val="1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barChart>
        <c:barDir val="col"/>
        <c:grouping val="clustered"/>
        <c:varyColors val="0"/>
        <c:ser>
          <c:idx val="3"/>
          <c:order val="4"/>
          <c:tx>
            <c:strRef>
              <c:f>'Graf 8+9'!$K$17</c:f>
              <c:strCache>
                <c:ptCount val="1"/>
                <c:pt idx="0">
                  <c:v>Reálny rast HDP eurozóny (qoq, vľavo)</c:v>
                </c:pt>
              </c:strCache>
            </c:strRef>
          </c:tx>
          <c:spPr>
            <a:solidFill>
              <a:srgbClr val="2C9ADC"/>
            </a:solidFill>
            <a:ln w="31750">
              <a:solidFill>
                <a:srgbClr val="2C9ADC"/>
              </a:solidFill>
            </a:ln>
          </c:spPr>
          <c:invertIfNegative val="0"/>
          <c:dPt>
            <c:idx val="114"/>
            <c:invertIfNegative val="0"/>
            <c:bubble3D val="0"/>
            <c:spPr>
              <a:solidFill>
                <a:srgbClr val="C00000"/>
              </a:solidFill>
              <a:ln w="31750">
                <a:solidFill>
                  <a:srgbClr val="C00000"/>
                </a:solidFill>
              </a:ln>
            </c:spPr>
          </c:dPt>
          <c:dLbls>
            <c:dLbl>
              <c:idx val="114"/>
              <c:layout>
                <c:manualLayout>
                  <c:x val="-1.3125650443766996E-2"/>
                  <c:y val="-8.84322580645161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C00000"/>
                        </a:solidFill>
                      </a:rPr>
                      <a:t>F </a:t>
                    </a:r>
                    <a:fld id="{F963D125-492A-49D8-846E-5F3D509F9DC0}" type="VALUE">
                      <a:rPr lang="en-US" b="1">
                        <a:solidFill>
                          <a:srgbClr val="C00000"/>
                        </a:solidFill>
                      </a:rPr>
                      <a:pPr/>
                      <a:t>[HODNOTA]</a:t>
                    </a:fld>
                    <a:endParaRPr lang="en-US" b="1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8+9'!$K$19:$K$137</c:f>
              <c:numCache>
                <c:formatCode>0.00</c:formatCode>
                <c:ptCount val="119"/>
                <c:pt idx="0">
                  <c:v>0.38971822812214896</c:v>
                </c:pt>
                <c:pt idx="3">
                  <c:v>0.92037030816438659</c:v>
                </c:pt>
                <c:pt idx="6">
                  <c:v>0.46329588990046133</c:v>
                </c:pt>
                <c:pt idx="9">
                  <c:v>0.62708164488158857</c:v>
                </c:pt>
                <c:pt idx="12">
                  <c:v>0.7544619451327117</c:v>
                </c:pt>
                <c:pt idx="15">
                  <c:v>1.3940656035704713E-2</c:v>
                </c:pt>
                <c:pt idx="18">
                  <c:v>-4.2177578336799471E-3</c:v>
                </c:pt>
                <c:pt idx="21">
                  <c:v>-0.28531404872561561</c:v>
                </c:pt>
                <c:pt idx="24">
                  <c:v>-0.1435378507183227</c:v>
                </c:pt>
                <c:pt idx="27">
                  <c:v>-0.37743913988981248</c:v>
                </c:pt>
                <c:pt idx="30">
                  <c:v>-0.11962274603912748</c:v>
                </c:pt>
                <c:pt idx="33">
                  <c:v>-0.41338403867600126</c:v>
                </c:pt>
                <c:pt idx="36">
                  <c:v>-0.36597124488734201</c:v>
                </c:pt>
                <c:pt idx="39">
                  <c:v>0.50127709520839669</c:v>
                </c:pt>
                <c:pt idx="42">
                  <c:v>0.37571257350499376</c:v>
                </c:pt>
                <c:pt idx="45">
                  <c:v>0.24324481139208487</c:v>
                </c:pt>
                <c:pt idx="48">
                  <c:v>0.46310086549892215</c:v>
                </c:pt>
                <c:pt idx="51">
                  <c:v>0.15869017879639458</c:v>
                </c:pt>
                <c:pt idx="54">
                  <c:v>0.42681283156367211</c:v>
                </c:pt>
                <c:pt idx="57">
                  <c:v>0.47675968833826854</c:v>
                </c:pt>
                <c:pt idx="60">
                  <c:v>0.75200142332580988</c:v>
                </c:pt>
                <c:pt idx="63">
                  <c:v>0.37419208007751781</c:v>
                </c:pt>
                <c:pt idx="66">
                  <c:v>0.43207255969051062</c:v>
                </c:pt>
                <c:pt idx="69">
                  <c:v>0.44834247209624145</c:v>
                </c:pt>
                <c:pt idx="72">
                  <c:v>0.63006996665653237</c:v>
                </c:pt>
                <c:pt idx="75">
                  <c:v>0.27896608945798818</c:v>
                </c:pt>
                <c:pt idx="78">
                  <c:v>0.37839732046658359</c:v>
                </c:pt>
                <c:pt idx="81">
                  <c:v>0.78353724279651704</c:v>
                </c:pt>
                <c:pt idx="84">
                  <c:v>0.66827955227313218</c:v>
                </c:pt>
                <c:pt idx="87">
                  <c:v>0.6742829183645549</c:v>
                </c:pt>
                <c:pt idx="90">
                  <c:v>0.6866773472827159</c:v>
                </c:pt>
                <c:pt idx="93">
                  <c:v>0.72609505889524861</c:v>
                </c:pt>
                <c:pt idx="96">
                  <c:v>0.40074381353514266</c:v>
                </c:pt>
                <c:pt idx="99">
                  <c:v>0.38122216320963798</c:v>
                </c:pt>
                <c:pt idx="102">
                  <c:v>0.17122946333505418</c:v>
                </c:pt>
                <c:pt idx="105">
                  <c:v>0.23747177089143978</c:v>
                </c:pt>
                <c:pt idx="108">
                  <c:v>0.44916524986529094</c:v>
                </c:pt>
                <c:pt idx="111">
                  <c:v>0.19342692697619235</c:v>
                </c:pt>
                <c:pt idx="11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12584"/>
        <c:axId val="488312976"/>
      </c:barChart>
      <c:lineChart>
        <c:grouping val="standard"/>
        <c:varyColors val="0"/>
        <c:ser>
          <c:idx val="5"/>
          <c:order val="0"/>
          <c:tx>
            <c:strRef>
              <c:f>'Graf 8+9'!$L$17</c:f>
              <c:strCache>
                <c:ptCount val="1"/>
                <c:pt idx="0">
                  <c:v>Kompozitný PMI indikátor (vpravo)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8+9'!$L$19:$L$136</c:f>
              <c:numCache>
                <c:formatCode>0.0</c:formatCode>
                <c:ptCount val="118"/>
                <c:pt idx="0">
                  <c:v>53.7</c:v>
                </c:pt>
                <c:pt idx="1">
                  <c:v>55.9</c:v>
                </c:pt>
                <c:pt idx="2">
                  <c:v>57.3</c:v>
                </c:pt>
                <c:pt idx="3">
                  <c:v>56.4</c:v>
                </c:pt>
                <c:pt idx="4">
                  <c:v>56</c:v>
                </c:pt>
                <c:pt idx="5">
                  <c:v>56.7</c:v>
                </c:pt>
                <c:pt idx="6">
                  <c:v>56.2</c:v>
                </c:pt>
                <c:pt idx="7">
                  <c:v>54.1</c:v>
                </c:pt>
                <c:pt idx="8">
                  <c:v>53.8</c:v>
                </c:pt>
                <c:pt idx="9">
                  <c:v>55.5</c:v>
                </c:pt>
                <c:pt idx="10">
                  <c:v>55.5</c:v>
                </c:pt>
                <c:pt idx="11">
                  <c:v>57</c:v>
                </c:pt>
                <c:pt idx="12">
                  <c:v>58.2</c:v>
                </c:pt>
                <c:pt idx="13">
                  <c:v>57.6</c:v>
                </c:pt>
                <c:pt idx="14">
                  <c:v>57.8</c:v>
                </c:pt>
                <c:pt idx="15">
                  <c:v>55.8</c:v>
                </c:pt>
                <c:pt idx="16">
                  <c:v>53.3</c:v>
                </c:pt>
                <c:pt idx="17">
                  <c:v>51.1</c:v>
                </c:pt>
                <c:pt idx="18">
                  <c:v>50.7</c:v>
                </c:pt>
                <c:pt idx="19">
                  <c:v>49.1</c:v>
                </c:pt>
                <c:pt idx="20">
                  <c:v>46.5</c:v>
                </c:pt>
                <c:pt idx="21">
                  <c:v>47</c:v>
                </c:pt>
                <c:pt idx="22">
                  <c:v>48.3</c:v>
                </c:pt>
                <c:pt idx="23">
                  <c:v>50.4</c:v>
                </c:pt>
                <c:pt idx="24">
                  <c:v>49.3</c:v>
                </c:pt>
                <c:pt idx="25">
                  <c:v>49.1</c:v>
                </c:pt>
                <c:pt idx="26">
                  <c:v>46.7</c:v>
                </c:pt>
                <c:pt idx="27">
                  <c:v>46</c:v>
                </c:pt>
                <c:pt idx="28">
                  <c:v>46.4</c:v>
                </c:pt>
                <c:pt idx="29">
                  <c:v>46.5</c:v>
                </c:pt>
                <c:pt idx="30">
                  <c:v>46.3</c:v>
                </c:pt>
                <c:pt idx="31">
                  <c:v>46.1</c:v>
                </c:pt>
                <c:pt idx="32">
                  <c:v>45.7</c:v>
                </c:pt>
                <c:pt idx="33">
                  <c:v>46.5</c:v>
                </c:pt>
                <c:pt idx="34">
                  <c:v>47.2</c:v>
                </c:pt>
                <c:pt idx="35">
                  <c:v>48.6</c:v>
                </c:pt>
                <c:pt idx="36">
                  <c:v>47.9</c:v>
                </c:pt>
                <c:pt idx="37">
                  <c:v>46.5</c:v>
                </c:pt>
                <c:pt idx="38">
                  <c:v>46.9</c:v>
                </c:pt>
                <c:pt idx="39">
                  <c:v>47.7</c:v>
                </c:pt>
                <c:pt idx="40">
                  <c:v>48.7</c:v>
                </c:pt>
                <c:pt idx="41">
                  <c:v>50.5</c:v>
                </c:pt>
                <c:pt idx="42">
                  <c:v>51.5</c:v>
                </c:pt>
                <c:pt idx="43">
                  <c:v>52.2</c:v>
                </c:pt>
                <c:pt idx="44">
                  <c:v>51.9</c:v>
                </c:pt>
                <c:pt idx="45">
                  <c:v>51.7</c:v>
                </c:pt>
                <c:pt idx="46">
                  <c:v>52.1</c:v>
                </c:pt>
                <c:pt idx="47">
                  <c:v>52.9</c:v>
                </c:pt>
                <c:pt idx="48">
                  <c:v>53.3</c:v>
                </c:pt>
                <c:pt idx="49">
                  <c:v>53.1</c:v>
                </c:pt>
                <c:pt idx="50">
                  <c:v>54</c:v>
                </c:pt>
                <c:pt idx="51">
                  <c:v>53.5</c:v>
                </c:pt>
                <c:pt idx="52">
                  <c:v>52.8</c:v>
                </c:pt>
                <c:pt idx="53">
                  <c:v>53.8</c:v>
                </c:pt>
                <c:pt idx="54">
                  <c:v>52.5</c:v>
                </c:pt>
                <c:pt idx="55">
                  <c:v>52</c:v>
                </c:pt>
                <c:pt idx="56">
                  <c:v>52.1</c:v>
                </c:pt>
                <c:pt idx="57">
                  <c:v>51.1</c:v>
                </c:pt>
                <c:pt idx="58">
                  <c:v>51.4</c:v>
                </c:pt>
                <c:pt idx="59">
                  <c:v>52.6</c:v>
                </c:pt>
                <c:pt idx="60">
                  <c:v>53.3</c:v>
                </c:pt>
                <c:pt idx="61">
                  <c:v>54</c:v>
                </c:pt>
                <c:pt idx="62">
                  <c:v>53.9</c:v>
                </c:pt>
                <c:pt idx="63">
                  <c:v>53.6</c:v>
                </c:pt>
                <c:pt idx="64">
                  <c:v>54.2</c:v>
                </c:pt>
                <c:pt idx="65">
                  <c:v>53.7</c:v>
                </c:pt>
                <c:pt idx="66">
                  <c:v>54.3</c:v>
                </c:pt>
                <c:pt idx="67">
                  <c:v>53.6</c:v>
                </c:pt>
                <c:pt idx="68">
                  <c:v>53.9</c:v>
                </c:pt>
                <c:pt idx="69">
                  <c:v>54.2</c:v>
                </c:pt>
                <c:pt idx="70">
                  <c:v>54.3</c:v>
                </c:pt>
                <c:pt idx="71">
                  <c:v>53.6</c:v>
                </c:pt>
                <c:pt idx="72">
                  <c:v>53</c:v>
                </c:pt>
                <c:pt idx="73">
                  <c:v>53.1</c:v>
                </c:pt>
                <c:pt idx="74">
                  <c:v>53</c:v>
                </c:pt>
                <c:pt idx="75">
                  <c:v>53.1</c:v>
                </c:pt>
                <c:pt idx="76">
                  <c:v>53.1</c:v>
                </c:pt>
                <c:pt idx="77">
                  <c:v>53.2</c:v>
                </c:pt>
                <c:pt idx="78">
                  <c:v>52.9</c:v>
                </c:pt>
                <c:pt idx="79">
                  <c:v>52.6</c:v>
                </c:pt>
                <c:pt idx="80">
                  <c:v>53.3</c:v>
                </c:pt>
                <c:pt idx="81">
                  <c:v>53.9</c:v>
                </c:pt>
                <c:pt idx="82">
                  <c:v>54.4</c:v>
                </c:pt>
                <c:pt idx="83">
                  <c:v>54.4</c:v>
                </c:pt>
                <c:pt idx="84">
                  <c:v>56</c:v>
                </c:pt>
                <c:pt idx="85">
                  <c:v>56.4</c:v>
                </c:pt>
                <c:pt idx="86">
                  <c:v>56.8</c:v>
                </c:pt>
                <c:pt idx="87">
                  <c:v>56.8</c:v>
                </c:pt>
                <c:pt idx="88">
                  <c:v>56.3</c:v>
                </c:pt>
                <c:pt idx="89">
                  <c:v>55.7</c:v>
                </c:pt>
                <c:pt idx="90">
                  <c:v>55.7</c:v>
                </c:pt>
                <c:pt idx="91">
                  <c:v>56.7</c:v>
                </c:pt>
                <c:pt idx="92">
                  <c:v>56</c:v>
                </c:pt>
                <c:pt idx="93">
                  <c:v>57.5</c:v>
                </c:pt>
                <c:pt idx="94">
                  <c:v>58.1</c:v>
                </c:pt>
                <c:pt idx="95">
                  <c:v>58.8</c:v>
                </c:pt>
                <c:pt idx="96">
                  <c:v>57.1</c:v>
                </c:pt>
                <c:pt idx="97">
                  <c:v>55.2</c:v>
                </c:pt>
                <c:pt idx="98">
                  <c:v>55.1</c:v>
                </c:pt>
                <c:pt idx="99">
                  <c:v>54.1</c:v>
                </c:pt>
                <c:pt idx="100">
                  <c:v>54.9</c:v>
                </c:pt>
                <c:pt idx="101">
                  <c:v>54.3</c:v>
                </c:pt>
                <c:pt idx="102">
                  <c:v>54.5</c:v>
                </c:pt>
                <c:pt idx="103">
                  <c:v>54.1</c:v>
                </c:pt>
                <c:pt idx="104">
                  <c:v>53.1</c:v>
                </c:pt>
                <c:pt idx="105">
                  <c:v>52.7</c:v>
                </c:pt>
                <c:pt idx="106">
                  <c:v>51.1</c:v>
                </c:pt>
                <c:pt idx="107">
                  <c:v>51</c:v>
                </c:pt>
                <c:pt idx="108">
                  <c:v>51.9</c:v>
                </c:pt>
                <c:pt idx="109">
                  <c:v>51.6</c:v>
                </c:pt>
                <c:pt idx="110">
                  <c:v>51.5</c:v>
                </c:pt>
                <c:pt idx="111">
                  <c:v>51.8</c:v>
                </c:pt>
                <c:pt idx="112">
                  <c:v>52.2</c:v>
                </c:pt>
                <c:pt idx="113">
                  <c:v>51.5</c:v>
                </c:pt>
                <c:pt idx="114">
                  <c:v>51.9</c:v>
                </c:pt>
                <c:pt idx="115">
                  <c:v>50.4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8+9'!$M$17</c:f>
              <c:strCache>
                <c:ptCount val="1"/>
                <c:pt idx="0">
                  <c:v>PMI priemysel (vpravo)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8+9'!$M$19:$M$136</c:f>
              <c:numCache>
                <c:formatCode>0.0</c:formatCode>
                <c:ptCount val="118"/>
                <c:pt idx="0">
                  <c:v>56.951000000000001</c:v>
                </c:pt>
                <c:pt idx="1">
                  <c:v>59.83</c:v>
                </c:pt>
                <c:pt idx="2">
                  <c:v>61.216000000000001</c:v>
                </c:pt>
                <c:pt idx="3">
                  <c:v>56.776000000000003</c:v>
                </c:pt>
                <c:pt idx="4">
                  <c:v>57.223999999999997</c:v>
                </c:pt>
                <c:pt idx="5">
                  <c:v>58.726999999999997</c:v>
                </c:pt>
                <c:pt idx="6">
                  <c:v>57.07</c:v>
                </c:pt>
                <c:pt idx="7">
                  <c:v>53.991</c:v>
                </c:pt>
                <c:pt idx="8">
                  <c:v>54.674999999999997</c:v>
                </c:pt>
                <c:pt idx="9">
                  <c:v>55.787999999999997</c:v>
                </c:pt>
                <c:pt idx="10">
                  <c:v>58.408999999999999</c:v>
                </c:pt>
                <c:pt idx="11">
                  <c:v>59.354999999999997</c:v>
                </c:pt>
                <c:pt idx="12">
                  <c:v>61.404000000000003</c:v>
                </c:pt>
                <c:pt idx="13">
                  <c:v>58.462000000000003</c:v>
                </c:pt>
                <c:pt idx="14">
                  <c:v>60.162999999999997</c:v>
                </c:pt>
                <c:pt idx="15">
                  <c:v>55.225999999999999</c:v>
                </c:pt>
                <c:pt idx="16">
                  <c:v>52.494999999999997</c:v>
                </c:pt>
                <c:pt idx="17">
                  <c:v>50.2</c:v>
                </c:pt>
                <c:pt idx="18">
                  <c:v>48.868000000000002</c:v>
                </c:pt>
                <c:pt idx="19">
                  <c:v>49.63</c:v>
                </c:pt>
                <c:pt idx="20">
                  <c:v>46.564999999999998</c:v>
                </c:pt>
                <c:pt idx="21">
                  <c:v>45.685000000000002</c:v>
                </c:pt>
                <c:pt idx="22">
                  <c:v>47.109000000000002</c:v>
                </c:pt>
                <c:pt idx="23">
                  <c:v>50.421999999999997</c:v>
                </c:pt>
                <c:pt idx="24">
                  <c:v>50.331000000000003</c:v>
                </c:pt>
                <c:pt idx="25">
                  <c:v>48.728999999999999</c:v>
                </c:pt>
                <c:pt idx="26">
                  <c:v>46.14</c:v>
                </c:pt>
                <c:pt idx="27">
                  <c:v>44.600999999999999</c:v>
                </c:pt>
                <c:pt idx="28">
                  <c:v>44.746000000000002</c:v>
                </c:pt>
                <c:pt idx="29">
                  <c:v>43.44</c:v>
                </c:pt>
                <c:pt idx="30">
                  <c:v>44.384</c:v>
                </c:pt>
                <c:pt idx="31">
                  <c:v>45.878</c:v>
                </c:pt>
                <c:pt idx="32">
                  <c:v>45.008000000000003</c:v>
                </c:pt>
                <c:pt idx="33">
                  <c:v>46.124000000000002</c:v>
                </c:pt>
                <c:pt idx="34">
                  <c:v>45.981000000000002</c:v>
                </c:pt>
                <c:pt idx="35">
                  <c:v>48.712000000000003</c:v>
                </c:pt>
                <c:pt idx="36">
                  <c:v>47.801000000000002</c:v>
                </c:pt>
                <c:pt idx="37">
                  <c:v>46.713000000000001</c:v>
                </c:pt>
                <c:pt idx="38">
                  <c:v>46.545000000000002</c:v>
                </c:pt>
                <c:pt idx="39">
                  <c:v>48.79</c:v>
                </c:pt>
                <c:pt idx="40">
                  <c:v>49.838000000000001</c:v>
                </c:pt>
                <c:pt idx="41">
                  <c:v>52.301000000000002</c:v>
                </c:pt>
                <c:pt idx="42">
                  <c:v>53.383000000000003</c:v>
                </c:pt>
                <c:pt idx="43">
                  <c:v>52.210999999999999</c:v>
                </c:pt>
                <c:pt idx="44">
                  <c:v>52.878999999999998</c:v>
                </c:pt>
                <c:pt idx="45">
                  <c:v>53.064999999999998</c:v>
                </c:pt>
                <c:pt idx="46">
                  <c:v>54.850999999999999</c:v>
                </c:pt>
                <c:pt idx="47">
                  <c:v>56.703000000000003</c:v>
                </c:pt>
                <c:pt idx="48">
                  <c:v>55.304000000000002</c:v>
                </c:pt>
                <c:pt idx="49">
                  <c:v>55.594999999999999</c:v>
                </c:pt>
                <c:pt idx="50">
                  <c:v>56.521000000000001</c:v>
                </c:pt>
                <c:pt idx="51">
                  <c:v>54.265000000000001</c:v>
                </c:pt>
                <c:pt idx="52">
                  <c:v>52.805</c:v>
                </c:pt>
                <c:pt idx="53">
                  <c:v>52.662999999999997</c:v>
                </c:pt>
                <c:pt idx="54">
                  <c:v>50.973999999999997</c:v>
                </c:pt>
                <c:pt idx="55">
                  <c:v>51.027999999999999</c:v>
                </c:pt>
                <c:pt idx="56">
                  <c:v>51.539000000000001</c:v>
                </c:pt>
                <c:pt idx="57">
                  <c:v>51.201999999999998</c:v>
                </c:pt>
                <c:pt idx="58">
                  <c:v>50.859000000000002</c:v>
                </c:pt>
                <c:pt idx="59">
                  <c:v>52.107999999999997</c:v>
                </c:pt>
                <c:pt idx="60">
                  <c:v>52.08</c:v>
                </c:pt>
                <c:pt idx="61">
                  <c:v>53.618000000000002</c:v>
                </c:pt>
                <c:pt idx="62">
                  <c:v>53.372</c:v>
                </c:pt>
                <c:pt idx="63">
                  <c:v>53.276000000000003</c:v>
                </c:pt>
                <c:pt idx="64">
                  <c:v>53.555999999999997</c:v>
                </c:pt>
                <c:pt idx="65">
                  <c:v>53.646999999999998</c:v>
                </c:pt>
                <c:pt idx="66">
                  <c:v>53.860999999999997</c:v>
                </c:pt>
                <c:pt idx="78">
                  <c:v>51.7</c:v>
                </c:pt>
                <c:pt idx="79">
                  <c:v>52.6</c:v>
                </c:pt>
                <c:pt idx="80">
                  <c:v>53.5</c:v>
                </c:pt>
                <c:pt idx="81">
                  <c:v>53.7</c:v>
                </c:pt>
                <c:pt idx="82">
                  <c:v>54.9</c:v>
                </c:pt>
                <c:pt idx="83">
                  <c:v>55.2</c:v>
                </c:pt>
                <c:pt idx="84">
                  <c:v>55.4</c:v>
                </c:pt>
                <c:pt idx="85">
                  <c:v>56.2</c:v>
                </c:pt>
                <c:pt idx="86">
                  <c:v>56.7</c:v>
                </c:pt>
                <c:pt idx="87">
                  <c:v>57</c:v>
                </c:pt>
                <c:pt idx="88">
                  <c:v>57.4</c:v>
                </c:pt>
                <c:pt idx="89">
                  <c:v>56.6</c:v>
                </c:pt>
                <c:pt idx="90">
                  <c:v>57.4</c:v>
                </c:pt>
                <c:pt idx="91">
                  <c:v>58.1</c:v>
                </c:pt>
                <c:pt idx="92">
                  <c:v>58.5</c:v>
                </c:pt>
                <c:pt idx="93">
                  <c:v>60.1</c:v>
                </c:pt>
                <c:pt idx="94">
                  <c:v>60.6</c:v>
                </c:pt>
                <c:pt idx="95">
                  <c:v>59.6</c:v>
                </c:pt>
                <c:pt idx="96">
                  <c:v>58.6</c:v>
                </c:pt>
                <c:pt idx="97">
                  <c:v>56.6</c:v>
                </c:pt>
                <c:pt idx="98">
                  <c:v>56.2</c:v>
                </c:pt>
                <c:pt idx="99">
                  <c:v>55.5</c:v>
                </c:pt>
                <c:pt idx="100">
                  <c:v>54.9</c:v>
                </c:pt>
                <c:pt idx="101">
                  <c:v>55.1</c:v>
                </c:pt>
                <c:pt idx="102">
                  <c:v>54.6</c:v>
                </c:pt>
                <c:pt idx="103">
                  <c:v>53.2</c:v>
                </c:pt>
                <c:pt idx="104">
                  <c:v>52</c:v>
                </c:pt>
                <c:pt idx="105">
                  <c:v>51.8</c:v>
                </c:pt>
                <c:pt idx="106">
                  <c:v>51.4</c:v>
                </c:pt>
                <c:pt idx="107">
                  <c:v>50.5</c:v>
                </c:pt>
                <c:pt idx="108">
                  <c:v>49.3</c:v>
                </c:pt>
                <c:pt idx="109">
                  <c:v>47.5</c:v>
                </c:pt>
                <c:pt idx="110">
                  <c:v>47.9</c:v>
                </c:pt>
                <c:pt idx="111">
                  <c:v>47.7</c:v>
                </c:pt>
                <c:pt idx="112">
                  <c:v>47.6</c:v>
                </c:pt>
                <c:pt idx="113">
                  <c:v>46.5</c:v>
                </c:pt>
                <c:pt idx="114">
                  <c:v>47</c:v>
                </c:pt>
                <c:pt idx="115">
                  <c:v>45.6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8+9'!$N$17</c:f>
              <c:strCache>
                <c:ptCount val="1"/>
                <c:pt idx="0">
                  <c:v>PMI služby (vpravo)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8+9'!$N$19:$N$136</c:f>
              <c:numCache>
                <c:formatCode>0.0</c:formatCode>
                <c:ptCount val="118"/>
                <c:pt idx="0">
                  <c:v>51.81</c:v>
                </c:pt>
                <c:pt idx="1">
                  <c:v>54.08</c:v>
                </c:pt>
                <c:pt idx="2">
                  <c:v>55.595999999999997</c:v>
                </c:pt>
                <c:pt idx="3">
                  <c:v>56.167999999999999</c:v>
                </c:pt>
                <c:pt idx="4">
                  <c:v>55.506999999999998</c:v>
                </c:pt>
                <c:pt idx="5">
                  <c:v>55.783000000000001</c:v>
                </c:pt>
                <c:pt idx="6">
                  <c:v>55.875</c:v>
                </c:pt>
                <c:pt idx="7">
                  <c:v>54.085999999999999</c:v>
                </c:pt>
                <c:pt idx="8">
                  <c:v>53.347999999999999</c:v>
                </c:pt>
                <c:pt idx="9">
                  <c:v>55.42</c:v>
                </c:pt>
                <c:pt idx="10">
                  <c:v>54.22</c:v>
                </c:pt>
                <c:pt idx="11">
                  <c:v>55.936</c:v>
                </c:pt>
                <c:pt idx="12">
                  <c:v>56.753999999999998</c:v>
                </c:pt>
                <c:pt idx="13">
                  <c:v>57.158999999999999</c:v>
                </c:pt>
                <c:pt idx="14">
                  <c:v>56.732999999999997</c:v>
                </c:pt>
                <c:pt idx="15">
                  <c:v>55.991</c:v>
                </c:pt>
                <c:pt idx="16">
                  <c:v>53.710999999999999</c:v>
                </c:pt>
                <c:pt idx="17">
                  <c:v>51.578000000000003</c:v>
                </c:pt>
                <c:pt idx="18">
                  <c:v>51.484000000000002</c:v>
                </c:pt>
                <c:pt idx="19">
                  <c:v>48.843000000000004</c:v>
                </c:pt>
                <c:pt idx="20">
                  <c:v>46.402999999999999</c:v>
                </c:pt>
                <c:pt idx="21">
                  <c:v>47.533000000000001</c:v>
                </c:pt>
                <c:pt idx="22">
                  <c:v>48.802</c:v>
                </c:pt>
                <c:pt idx="23">
                  <c:v>50.445999999999998</c:v>
                </c:pt>
                <c:pt idx="24">
                  <c:v>48.847999999999999</c:v>
                </c:pt>
                <c:pt idx="25">
                  <c:v>49.197000000000003</c:v>
                </c:pt>
                <c:pt idx="26">
                  <c:v>46.881999999999998</c:v>
                </c:pt>
                <c:pt idx="27">
                  <c:v>46.668999999999997</c:v>
                </c:pt>
                <c:pt idx="28">
                  <c:v>47.131999999999998</c:v>
                </c:pt>
                <c:pt idx="29">
                  <c:v>47.9</c:v>
                </c:pt>
                <c:pt idx="30">
                  <c:v>47.23</c:v>
                </c:pt>
                <c:pt idx="31">
                  <c:v>46.149000000000001</c:v>
                </c:pt>
                <c:pt idx="32">
                  <c:v>46.042999999999999</c:v>
                </c:pt>
                <c:pt idx="33">
                  <c:v>46.741</c:v>
                </c:pt>
                <c:pt idx="34">
                  <c:v>47.823999999999998</c:v>
                </c:pt>
                <c:pt idx="35">
                  <c:v>48.618000000000002</c:v>
                </c:pt>
                <c:pt idx="36">
                  <c:v>47.871000000000002</c:v>
                </c:pt>
                <c:pt idx="37">
                  <c:v>46.353999999999999</c:v>
                </c:pt>
                <c:pt idx="38">
                  <c:v>47.012</c:v>
                </c:pt>
                <c:pt idx="39">
                  <c:v>47.235999999999997</c:v>
                </c:pt>
                <c:pt idx="40">
                  <c:v>48.26</c:v>
                </c:pt>
                <c:pt idx="41">
                  <c:v>49.765999999999998</c:v>
                </c:pt>
                <c:pt idx="42">
                  <c:v>50.694000000000003</c:v>
                </c:pt>
                <c:pt idx="43">
                  <c:v>52.182000000000002</c:v>
                </c:pt>
                <c:pt idx="44">
                  <c:v>51.551000000000002</c:v>
                </c:pt>
                <c:pt idx="45">
                  <c:v>51.180999999999997</c:v>
                </c:pt>
                <c:pt idx="46">
                  <c:v>50.959000000000003</c:v>
                </c:pt>
                <c:pt idx="47">
                  <c:v>51.569000000000003</c:v>
                </c:pt>
                <c:pt idx="48">
                  <c:v>52.573</c:v>
                </c:pt>
                <c:pt idx="49">
                  <c:v>52.158999999999999</c:v>
                </c:pt>
                <c:pt idx="50">
                  <c:v>53.121000000000002</c:v>
                </c:pt>
                <c:pt idx="51">
                  <c:v>53.225000000000001</c:v>
                </c:pt>
                <c:pt idx="52">
                  <c:v>52.820999999999998</c:v>
                </c:pt>
                <c:pt idx="53">
                  <c:v>54.162999999999997</c:v>
                </c:pt>
                <c:pt idx="54">
                  <c:v>53.104999999999997</c:v>
                </c:pt>
                <c:pt idx="55">
                  <c:v>52.354999999999997</c:v>
                </c:pt>
                <c:pt idx="56">
                  <c:v>52.281999999999996</c:v>
                </c:pt>
                <c:pt idx="57">
                  <c:v>51.121000000000002</c:v>
                </c:pt>
                <c:pt idx="58">
                  <c:v>51.600999999999999</c:v>
                </c:pt>
                <c:pt idx="59">
                  <c:v>52.725999999999999</c:v>
                </c:pt>
                <c:pt idx="60">
                  <c:v>53.747</c:v>
                </c:pt>
                <c:pt idx="61">
                  <c:v>54.183</c:v>
                </c:pt>
                <c:pt idx="62">
                  <c:v>54.087000000000003</c:v>
                </c:pt>
                <c:pt idx="63">
                  <c:v>53.762999999999998</c:v>
                </c:pt>
                <c:pt idx="64">
                  <c:v>54.372999999999998</c:v>
                </c:pt>
                <c:pt idx="65">
                  <c:v>53.951999999999998</c:v>
                </c:pt>
                <c:pt idx="66">
                  <c:v>54.430999999999997</c:v>
                </c:pt>
                <c:pt idx="78">
                  <c:v>52.8</c:v>
                </c:pt>
                <c:pt idx="79">
                  <c:v>52.2</c:v>
                </c:pt>
                <c:pt idx="80">
                  <c:v>52.8</c:v>
                </c:pt>
                <c:pt idx="81">
                  <c:v>53.8</c:v>
                </c:pt>
                <c:pt idx="82">
                  <c:v>53.7</c:v>
                </c:pt>
                <c:pt idx="83">
                  <c:v>53.7</c:v>
                </c:pt>
                <c:pt idx="84">
                  <c:v>55.5</c:v>
                </c:pt>
                <c:pt idx="85">
                  <c:v>56</c:v>
                </c:pt>
                <c:pt idx="86">
                  <c:v>56.4</c:v>
                </c:pt>
                <c:pt idx="87">
                  <c:v>56.3</c:v>
                </c:pt>
                <c:pt idx="88">
                  <c:v>55.4</c:v>
                </c:pt>
                <c:pt idx="89">
                  <c:v>55.4</c:v>
                </c:pt>
                <c:pt idx="90">
                  <c:v>54.7</c:v>
                </c:pt>
                <c:pt idx="91">
                  <c:v>55.8</c:v>
                </c:pt>
                <c:pt idx="92">
                  <c:v>55</c:v>
                </c:pt>
                <c:pt idx="93">
                  <c:v>56.2</c:v>
                </c:pt>
                <c:pt idx="94">
                  <c:v>56.6</c:v>
                </c:pt>
                <c:pt idx="95">
                  <c:v>58</c:v>
                </c:pt>
                <c:pt idx="96">
                  <c:v>56.2</c:v>
                </c:pt>
                <c:pt idx="97">
                  <c:v>54.9</c:v>
                </c:pt>
                <c:pt idx="98">
                  <c:v>54.7</c:v>
                </c:pt>
                <c:pt idx="99">
                  <c:v>53.8</c:v>
                </c:pt>
                <c:pt idx="100">
                  <c:v>55.2</c:v>
                </c:pt>
                <c:pt idx="101">
                  <c:v>54.2</c:v>
                </c:pt>
                <c:pt idx="102">
                  <c:v>54.4</c:v>
                </c:pt>
                <c:pt idx="103">
                  <c:v>54.7</c:v>
                </c:pt>
                <c:pt idx="104">
                  <c:v>53.7</c:v>
                </c:pt>
                <c:pt idx="105">
                  <c:v>53.4</c:v>
                </c:pt>
                <c:pt idx="106">
                  <c:v>51.2</c:v>
                </c:pt>
                <c:pt idx="107">
                  <c:v>51.2</c:v>
                </c:pt>
                <c:pt idx="108">
                  <c:v>52.8</c:v>
                </c:pt>
                <c:pt idx="109">
                  <c:v>53.3</c:v>
                </c:pt>
                <c:pt idx="110">
                  <c:v>52.8</c:v>
                </c:pt>
                <c:pt idx="111">
                  <c:v>52.9</c:v>
                </c:pt>
                <c:pt idx="112">
                  <c:v>53.6</c:v>
                </c:pt>
                <c:pt idx="113">
                  <c:v>53.2</c:v>
                </c:pt>
                <c:pt idx="114">
                  <c:v>53.5</c:v>
                </c:pt>
                <c:pt idx="115">
                  <c:v>52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'Graf 8+9'!$O$17</c:f>
              <c:strCache>
                <c:ptCount val="1"/>
                <c:pt idx="0">
                  <c:v>PMI hranica rastu/poklesu ekonomiky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8+9'!$O$19:$O$136</c:f>
              <c:numCache>
                <c:formatCode>General</c:formatCode>
                <c:ptCount val="1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13760"/>
        <c:axId val="488313368"/>
      </c:lineChart>
      <c:catAx>
        <c:axId val="488312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488312976"/>
        <c:crosses val="autoZero"/>
        <c:auto val="1"/>
        <c:lblAlgn val="ctr"/>
        <c:lblOffset val="100"/>
        <c:noMultiLvlLbl val="0"/>
      </c:catAx>
      <c:valAx>
        <c:axId val="488312976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sk-SK"/>
          </a:p>
        </c:txPr>
        <c:crossAx val="488312584"/>
        <c:crosses val="autoZero"/>
        <c:crossBetween val="between"/>
      </c:valAx>
      <c:valAx>
        <c:axId val="488313368"/>
        <c:scaling>
          <c:orientation val="minMax"/>
          <c:max val="70"/>
          <c:min val="30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k-SK"/>
          </a:p>
        </c:txPr>
        <c:crossAx val="488313760"/>
        <c:crosses val="max"/>
        <c:crossBetween val="between"/>
      </c:valAx>
      <c:catAx>
        <c:axId val="48831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31336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36200005867760243"/>
          <c:y val="0.55156815883444454"/>
          <c:w val="0.51195416666666671"/>
          <c:h val="0.33266148155174047"/>
        </c:manualLayout>
      </c:layout>
      <c:overlay val="1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barChart>
        <c:barDir val="col"/>
        <c:grouping val="clustered"/>
        <c:varyColors val="0"/>
        <c:ser>
          <c:idx val="3"/>
          <c:order val="4"/>
          <c:tx>
            <c:strRef>
              <c:f>'Graf 8+9'!$K$18</c:f>
              <c:strCache>
                <c:ptCount val="1"/>
                <c:pt idx="0">
                  <c:v>Real growth of EA</c:v>
                </c:pt>
              </c:strCache>
            </c:strRef>
          </c:tx>
          <c:spPr>
            <a:solidFill>
              <a:srgbClr val="2C9ADC"/>
            </a:solidFill>
            <a:ln w="31750">
              <a:solidFill>
                <a:srgbClr val="2C9ADC"/>
              </a:solidFill>
            </a:ln>
          </c:spPr>
          <c:invertIfNegative val="0"/>
          <c:dPt>
            <c:idx val="114"/>
            <c:invertIfNegative val="0"/>
            <c:bubble3D val="0"/>
            <c:spPr>
              <a:solidFill>
                <a:srgbClr val="C00000"/>
              </a:solidFill>
              <a:ln w="31750">
                <a:solidFill>
                  <a:srgbClr val="C00000"/>
                </a:solidFill>
              </a:ln>
            </c:spPr>
          </c:dPt>
          <c:dLbls>
            <c:dLbl>
              <c:idx val="114"/>
              <c:layout>
                <c:manualLayout>
                  <c:x val="-1.3125650443766996E-2"/>
                  <c:y val="-8.84322580645161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C00000"/>
                        </a:solidFill>
                      </a:rPr>
                      <a:t>F </a:t>
                    </a:r>
                    <a:fld id="{F963D125-492A-49D8-846E-5F3D509F9DC0}" type="VALUE">
                      <a:rPr lang="en-US" b="1">
                        <a:solidFill>
                          <a:srgbClr val="C00000"/>
                        </a:solidFill>
                      </a:rPr>
                      <a:pPr/>
                      <a:t>[HODNOTA]</a:t>
                    </a:fld>
                    <a:endParaRPr lang="en-US" b="1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8+9'!$K$19:$K$137</c:f>
              <c:numCache>
                <c:formatCode>0.00</c:formatCode>
                <c:ptCount val="119"/>
                <c:pt idx="0">
                  <c:v>0.38971822812214896</c:v>
                </c:pt>
                <c:pt idx="3">
                  <c:v>0.92037030816438659</c:v>
                </c:pt>
                <c:pt idx="6">
                  <c:v>0.46329588990046133</c:v>
                </c:pt>
                <c:pt idx="9">
                  <c:v>0.62708164488158857</c:v>
                </c:pt>
                <c:pt idx="12">
                  <c:v>0.7544619451327117</c:v>
                </c:pt>
                <c:pt idx="15">
                  <c:v>1.3940656035704713E-2</c:v>
                </c:pt>
                <c:pt idx="18">
                  <c:v>-4.2177578336799471E-3</c:v>
                </c:pt>
                <c:pt idx="21">
                  <c:v>-0.28531404872561561</c:v>
                </c:pt>
                <c:pt idx="24">
                  <c:v>-0.1435378507183227</c:v>
                </c:pt>
                <c:pt idx="27">
                  <c:v>-0.37743913988981248</c:v>
                </c:pt>
                <c:pt idx="30">
                  <c:v>-0.11962274603912748</c:v>
                </c:pt>
                <c:pt idx="33">
                  <c:v>-0.41338403867600126</c:v>
                </c:pt>
                <c:pt idx="36">
                  <c:v>-0.36597124488734201</c:v>
                </c:pt>
                <c:pt idx="39">
                  <c:v>0.50127709520839669</c:v>
                </c:pt>
                <c:pt idx="42">
                  <c:v>0.37571257350499376</c:v>
                </c:pt>
                <c:pt idx="45">
                  <c:v>0.24324481139208487</c:v>
                </c:pt>
                <c:pt idx="48">
                  <c:v>0.46310086549892215</c:v>
                </c:pt>
                <c:pt idx="51">
                  <c:v>0.15869017879639458</c:v>
                </c:pt>
                <c:pt idx="54">
                  <c:v>0.42681283156367211</c:v>
                </c:pt>
                <c:pt idx="57">
                  <c:v>0.47675968833826854</c:v>
                </c:pt>
                <c:pt idx="60">
                  <c:v>0.75200142332580988</c:v>
                </c:pt>
                <c:pt idx="63">
                  <c:v>0.37419208007751781</c:v>
                </c:pt>
                <c:pt idx="66">
                  <c:v>0.43207255969051062</c:v>
                </c:pt>
                <c:pt idx="69">
                  <c:v>0.44834247209624145</c:v>
                </c:pt>
                <c:pt idx="72">
                  <c:v>0.63006996665653237</c:v>
                </c:pt>
                <c:pt idx="75">
                  <c:v>0.27896608945798818</c:v>
                </c:pt>
                <c:pt idx="78">
                  <c:v>0.37839732046658359</c:v>
                </c:pt>
                <c:pt idx="81">
                  <c:v>0.78353724279651704</c:v>
                </c:pt>
                <c:pt idx="84">
                  <c:v>0.66827955227313218</c:v>
                </c:pt>
                <c:pt idx="87">
                  <c:v>0.6742829183645549</c:v>
                </c:pt>
                <c:pt idx="90">
                  <c:v>0.6866773472827159</c:v>
                </c:pt>
                <c:pt idx="93">
                  <c:v>0.72609505889524861</c:v>
                </c:pt>
                <c:pt idx="96">
                  <c:v>0.40074381353514266</c:v>
                </c:pt>
                <c:pt idx="99">
                  <c:v>0.38122216320963798</c:v>
                </c:pt>
                <c:pt idx="102">
                  <c:v>0.17122946333505418</c:v>
                </c:pt>
                <c:pt idx="105">
                  <c:v>0.23747177089143978</c:v>
                </c:pt>
                <c:pt idx="108">
                  <c:v>0.44916524986529094</c:v>
                </c:pt>
                <c:pt idx="111">
                  <c:v>0.19342692697619235</c:v>
                </c:pt>
                <c:pt idx="11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14544"/>
        <c:axId val="488314936"/>
      </c:barChart>
      <c:lineChart>
        <c:grouping val="standard"/>
        <c:varyColors val="0"/>
        <c:ser>
          <c:idx val="5"/>
          <c:order val="0"/>
          <c:tx>
            <c:strRef>
              <c:f>'Graf 8+9'!$L$18</c:f>
              <c:strCache>
                <c:ptCount val="1"/>
                <c:pt idx="0">
                  <c:v>PMI (right)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8+9'!$L$19:$L$136</c:f>
              <c:numCache>
                <c:formatCode>0.0</c:formatCode>
                <c:ptCount val="118"/>
                <c:pt idx="0">
                  <c:v>53.7</c:v>
                </c:pt>
                <c:pt idx="1">
                  <c:v>55.9</c:v>
                </c:pt>
                <c:pt idx="2">
                  <c:v>57.3</c:v>
                </c:pt>
                <c:pt idx="3">
                  <c:v>56.4</c:v>
                </c:pt>
                <c:pt idx="4">
                  <c:v>56</c:v>
                </c:pt>
                <c:pt idx="5">
                  <c:v>56.7</c:v>
                </c:pt>
                <c:pt idx="6">
                  <c:v>56.2</c:v>
                </c:pt>
                <c:pt idx="7">
                  <c:v>54.1</c:v>
                </c:pt>
                <c:pt idx="8">
                  <c:v>53.8</c:v>
                </c:pt>
                <c:pt idx="9">
                  <c:v>55.5</c:v>
                </c:pt>
                <c:pt idx="10">
                  <c:v>55.5</c:v>
                </c:pt>
                <c:pt idx="11">
                  <c:v>57</c:v>
                </c:pt>
                <c:pt idx="12">
                  <c:v>58.2</c:v>
                </c:pt>
                <c:pt idx="13">
                  <c:v>57.6</c:v>
                </c:pt>
                <c:pt idx="14">
                  <c:v>57.8</c:v>
                </c:pt>
                <c:pt idx="15">
                  <c:v>55.8</c:v>
                </c:pt>
                <c:pt idx="16">
                  <c:v>53.3</c:v>
                </c:pt>
                <c:pt idx="17">
                  <c:v>51.1</c:v>
                </c:pt>
                <c:pt idx="18">
                  <c:v>50.7</c:v>
                </c:pt>
                <c:pt idx="19">
                  <c:v>49.1</c:v>
                </c:pt>
                <c:pt idx="20">
                  <c:v>46.5</c:v>
                </c:pt>
                <c:pt idx="21">
                  <c:v>47</c:v>
                </c:pt>
                <c:pt idx="22">
                  <c:v>48.3</c:v>
                </c:pt>
                <c:pt idx="23">
                  <c:v>50.4</c:v>
                </c:pt>
                <c:pt idx="24">
                  <c:v>49.3</c:v>
                </c:pt>
                <c:pt idx="25">
                  <c:v>49.1</c:v>
                </c:pt>
                <c:pt idx="26">
                  <c:v>46.7</c:v>
                </c:pt>
                <c:pt idx="27">
                  <c:v>46</c:v>
                </c:pt>
                <c:pt idx="28">
                  <c:v>46.4</c:v>
                </c:pt>
                <c:pt idx="29">
                  <c:v>46.5</c:v>
                </c:pt>
                <c:pt idx="30">
                  <c:v>46.3</c:v>
                </c:pt>
                <c:pt idx="31">
                  <c:v>46.1</c:v>
                </c:pt>
                <c:pt idx="32">
                  <c:v>45.7</c:v>
                </c:pt>
                <c:pt idx="33">
                  <c:v>46.5</c:v>
                </c:pt>
                <c:pt idx="34">
                  <c:v>47.2</c:v>
                </c:pt>
                <c:pt idx="35">
                  <c:v>48.6</c:v>
                </c:pt>
                <c:pt idx="36">
                  <c:v>47.9</c:v>
                </c:pt>
                <c:pt idx="37">
                  <c:v>46.5</c:v>
                </c:pt>
                <c:pt idx="38">
                  <c:v>46.9</c:v>
                </c:pt>
                <c:pt idx="39">
                  <c:v>47.7</c:v>
                </c:pt>
                <c:pt idx="40">
                  <c:v>48.7</c:v>
                </c:pt>
                <c:pt idx="41">
                  <c:v>50.5</c:v>
                </c:pt>
                <c:pt idx="42">
                  <c:v>51.5</c:v>
                </c:pt>
                <c:pt idx="43">
                  <c:v>52.2</c:v>
                </c:pt>
                <c:pt idx="44">
                  <c:v>51.9</c:v>
                </c:pt>
                <c:pt idx="45">
                  <c:v>51.7</c:v>
                </c:pt>
                <c:pt idx="46">
                  <c:v>52.1</c:v>
                </c:pt>
                <c:pt idx="47">
                  <c:v>52.9</c:v>
                </c:pt>
                <c:pt idx="48">
                  <c:v>53.3</c:v>
                </c:pt>
                <c:pt idx="49">
                  <c:v>53.1</c:v>
                </c:pt>
                <c:pt idx="50">
                  <c:v>54</c:v>
                </c:pt>
                <c:pt idx="51">
                  <c:v>53.5</c:v>
                </c:pt>
                <c:pt idx="52">
                  <c:v>52.8</c:v>
                </c:pt>
                <c:pt idx="53">
                  <c:v>53.8</c:v>
                </c:pt>
                <c:pt idx="54">
                  <c:v>52.5</c:v>
                </c:pt>
                <c:pt idx="55">
                  <c:v>52</c:v>
                </c:pt>
                <c:pt idx="56">
                  <c:v>52.1</c:v>
                </c:pt>
                <c:pt idx="57">
                  <c:v>51.1</c:v>
                </c:pt>
                <c:pt idx="58">
                  <c:v>51.4</c:v>
                </c:pt>
                <c:pt idx="59">
                  <c:v>52.6</c:v>
                </c:pt>
                <c:pt idx="60">
                  <c:v>53.3</c:v>
                </c:pt>
                <c:pt idx="61">
                  <c:v>54</c:v>
                </c:pt>
                <c:pt idx="62">
                  <c:v>53.9</c:v>
                </c:pt>
                <c:pt idx="63">
                  <c:v>53.6</c:v>
                </c:pt>
                <c:pt idx="64">
                  <c:v>54.2</c:v>
                </c:pt>
                <c:pt idx="65">
                  <c:v>53.7</c:v>
                </c:pt>
                <c:pt idx="66">
                  <c:v>54.3</c:v>
                </c:pt>
                <c:pt idx="67">
                  <c:v>53.6</c:v>
                </c:pt>
                <c:pt idx="68">
                  <c:v>53.9</c:v>
                </c:pt>
                <c:pt idx="69">
                  <c:v>54.2</c:v>
                </c:pt>
                <c:pt idx="70">
                  <c:v>54.3</c:v>
                </c:pt>
                <c:pt idx="71">
                  <c:v>53.6</c:v>
                </c:pt>
                <c:pt idx="72">
                  <c:v>53</c:v>
                </c:pt>
                <c:pt idx="73">
                  <c:v>53.1</c:v>
                </c:pt>
                <c:pt idx="74">
                  <c:v>53</c:v>
                </c:pt>
                <c:pt idx="75">
                  <c:v>53.1</c:v>
                </c:pt>
                <c:pt idx="76">
                  <c:v>53.1</c:v>
                </c:pt>
                <c:pt idx="77">
                  <c:v>53.2</c:v>
                </c:pt>
                <c:pt idx="78">
                  <c:v>52.9</c:v>
                </c:pt>
                <c:pt idx="79">
                  <c:v>52.6</c:v>
                </c:pt>
                <c:pt idx="80">
                  <c:v>53.3</c:v>
                </c:pt>
                <c:pt idx="81">
                  <c:v>53.9</c:v>
                </c:pt>
                <c:pt idx="82">
                  <c:v>54.4</c:v>
                </c:pt>
                <c:pt idx="83">
                  <c:v>54.4</c:v>
                </c:pt>
                <c:pt idx="84">
                  <c:v>56</c:v>
                </c:pt>
                <c:pt idx="85">
                  <c:v>56.4</c:v>
                </c:pt>
                <c:pt idx="86">
                  <c:v>56.8</c:v>
                </c:pt>
                <c:pt idx="87">
                  <c:v>56.8</c:v>
                </c:pt>
                <c:pt idx="88">
                  <c:v>56.3</c:v>
                </c:pt>
                <c:pt idx="89">
                  <c:v>55.7</c:v>
                </c:pt>
                <c:pt idx="90">
                  <c:v>55.7</c:v>
                </c:pt>
                <c:pt idx="91">
                  <c:v>56.7</c:v>
                </c:pt>
                <c:pt idx="92">
                  <c:v>56</c:v>
                </c:pt>
                <c:pt idx="93">
                  <c:v>57.5</c:v>
                </c:pt>
                <c:pt idx="94">
                  <c:v>58.1</c:v>
                </c:pt>
                <c:pt idx="95">
                  <c:v>58.8</c:v>
                </c:pt>
                <c:pt idx="96">
                  <c:v>57.1</c:v>
                </c:pt>
                <c:pt idx="97">
                  <c:v>55.2</c:v>
                </c:pt>
                <c:pt idx="98">
                  <c:v>55.1</c:v>
                </c:pt>
                <c:pt idx="99">
                  <c:v>54.1</c:v>
                </c:pt>
                <c:pt idx="100">
                  <c:v>54.9</c:v>
                </c:pt>
                <c:pt idx="101">
                  <c:v>54.3</c:v>
                </c:pt>
                <c:pt idx="102">
                  <c:v>54.5</c:v>
                </c:pt>
                <c:pt idx="103">
                  <c:v>54.1</c:v>
                </c:pt>
                <c:pt idx="104">
                  <c:v>53.1</c:v>
                </c:pt>
                <c:pt idx="105">
                  <c:v>52.7</c:v>
                </c:pt>
                <c:pt idx="106">
                  <c:v>51.1</c:v>
                </c:pt>
                <c:pt idx="107">
                  <c:v>51</c:v>
                </c:pt>
                <c:pt idx="108">
                  <c:v>51.9</c:v>
                </c:pt>
                <c:pt idx="109">
                  <c:v>51.6</c:v>
                </c:pt>
                <c:pt idx="110">
                  <c:v>51.5</c:v>
                </c:pt>
                <c:pt idx="111">
                  <c:v>51.8</c:v>
                </c:pt>
                <c:pt idx="112">
                  <c:v>52.2</c:v>
                </c:pt>
                <c:pt idx="113">
                  <c:v>51.5</c:v>
                </c:pt>
                <c:pt idx="114">
                  <c:v>51.9</c:v>
                </c:pt>
                <c:pt idx="115">
                  <c:v>50.4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8+9'!$M$18</c:f>
              <c:strCache>
                <c:ptCount val="1"/>
                <c:pt idx="0">
                  <c:v>PMI industry (right)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8+9'!$M$19:$M$136</c:f>
              <c:numCache>
                <c:formatCode>0.0</c:formatCode>
                <c:ptCount val="118"/>
                <c:pt idx="0">
                  <c:v>56.951000000000001</c:v>
                </c:pt>
                <c:pt idx="1">
                  <c:v>59.83</c:v>
                </c:pt>
                <c:pt idx="2">
                  <c:v>61.216000000000001</c:v>
                </c:pt>
                <c:pt idx="3">
                  <c:v>56.776000000000003</c:v>
                </c:pt>
                <c:pt idx="4">
                  <c:v>57.223999999999997</c:v>
                </c:pt>
                <c:pt idx="5">
                  <c:v>58.726999999999997</c:v>
                </c:pt>
                <c:pt idx="6">
                  <c:v>57.07</c:v>
                </c:pt>
                <c:pt idx="7">
                  <c:v>53.991</c:v>
                </c:pt>
                <c:pt idx="8">
                  <c:v>54.674999999999997</c:v>
                </c:pt>
                <c:pt idx="9">
                  <c:v>55.787999999999997</c:v>
                </c:pt>
                <c:pt idx="10">
                  <c:v>58.408999999999999</c:v>
                </c:pt>
                <c:pt idx="11">
                  <c:v>59.354999999999997</c:v>
                </c:pt>
                <c:pt idx="12">
                  <c:v>61.404000000000003</c:v>
                </c:pt>
                <c:pt idx="13">
                  <c:v>58.462000000000003</c:v>
                </c:pt>
                <c:pt idx="14">
                  <c:v>60.162999999999997</c:v>
                </c:pt>
                <c:pt idx="15">
                  <c:v>55.225999999999999</c:v>
                </c:pt>
                <c:pt idx="16">
                  <c:v>52.494999999999997</c:v>
                </c:pt>
                <c:pt idx="17">
                  <c:v>50.2</c:v>
                </c:pt>
                <c:pt idx="18">
                  <c:v>48.868000000000002</c:v>
                </c:pt>
                <c:pt idx="19">
                  <c:v>49.63</c:v>
                </c:pt>
                <c:pt idx="20">
                  <c:v>46.564999999999998</c:v>
                </c:pt>
                <c:pt idx="21">
                  <c:v>45.685000000000002</c:v>
                </c:pt>
                <c:pt idx="22">
                  <c:v>47.109000000000002</c:v>
                </c:pt>
                <c:pt idx="23">
                  <c:v>50.421999999999997</c:v>
                </c:pt>
                <c:pt idx="24">
                  <c:v>50.331000000000003</c:v>
                </c:pt>
                <c:pt idx="25">
                  <c:v>48.728999999999999</c:v>
                </c:pt>
                <c:pt idx="26">
                  <c:v>46.14</c:v>
                </c:pt>
                <c:pt idx="27">
                  <c:v>44.600999999999999</c:v>
                </c:pt>
                <c:pt idx="28">
                  <c:v>44.746000000000002</c:v>
                </c:pt>
                <c:pt idx="29">
                  <c:v>43.44</c:v>
                </c:pt>
                <c:pt idx="30">
                  <c:v>44.384</c:v>
                </c:pt>
                <c:pt idx="31">
                  <c:v>45.878</c:v>
                </c:pt>
                <c:pt idx="32">
                  <c:v>45.008000000000003</c:v>
                </c:pt>
                <c:pt idx="33">
                  <c:v>46.124000000000002</c:v>
                </c:pt>
                <c:pt idx="34">
                  <c:v>45.981000000000002</c:v>
                </c:pt>
                <c:pt idx="35">
                  <c:v>48.712000000000003</c:v>
                </c:pt>
                <c:pt idx="36">
                  <c:v>47.801000000000002</c:v>
                </c:pt>
                <c:pt idx="37">
                  <c:v>46.713000000000001</c:v>
                </c:pt>
                <c:pt idx="38">
                  <c:v>46.545000000000002</c:v>
                </c:pt>
                <c:pt idx="39">
                  <c:v>48.79</c:v>
                </c:pt>
                <c:pt idx="40">
                  <c:v>49.838000000000001</c:v>
                </c:pt>
                <c:pt idx="41">
                  <c:v>52.301000000000002</c:v>
                </c:pt>
                <c:pt idx="42">
                  <c:v>53.383000000000003</c:v>
                </c:pt>
                <c:pt idx="43">
                  <c:v>52.210999999999999</c:v>
                </c:pt>
                <c:pt idx="44">
                  <c:v>52.878999999999998</c:v>
                </c:pt>
                <c:pt idx="45">
                  <c:v>53.064999999999998</c:v>
                </c:pt>
                <c:pt idx="46">
                  <c:v>54.850999999999999</c:v>
                </c:pt>
                <c:pt idx="47">
                  <c:v>56.703000000000003</c:v>
                </c:pt>
                <c:pt idx="48">
                  <c:v>55.304000000000002</c:v>
                </c:pt>
                <c:pt idx="49">
                  <c:v>55.594999999999999</c:v>
                </c:pt>
                <c:pt idx="50">
                  <c:v>56.521000000000001</c:v>
                </c:pt>
                <c:pt idx="51">
                  <c:v>54.265000000000001</c:v>
                </c:pt>
                <c:pt idx="52">
                  <c:v>52.805</c:v>
                </c:pt>
                <c:pt idx="53">
                  <c:v>52.662999999999997</c:v>
                </c:pt>
                <c:pt idx="54">
                  <c:v>50.973999999999997</c:v>
                </c:pt>
                <c:pt idx="55">
                  <c:v>51.027999999999999</c:v>
                </c:pt>
                <c:pt idx="56">
                  <c:v>51.539000000000001</c:v>
                </c:pt>
                <c:pt idx="57">
                  <c:v>51.201999999999998</c:v>
                </c:pt>
                <c:pt idx="58">
                  <c:v>50.859000000000002</c:v>
                </c:pt>
                <c:pt idx="59">
                  <c:v>52.107999999999997</c:v>
                </c:pt>
                <c:pt idx="60">
                  <c:v>52.08</c:v>
                </c:pt>
                <c:pt idx="61">
                  <c:v>53.618000000000002</c:v>
                </c:pt>
                <c:pt idx="62">
                  <c:v>53.372</c:v>
                </c:pt>
                <c:pt idx="63">
                  <c:v>53.276000000000003</c:v>
                </c:pt>
                <c:pt idx="64">
                  <c:v>53.555999999999997</c:v>
                </c:pt>
                <c:pt idx="65">
                  <c:v>53.646999999999998</c:v>
                </c:pt>
                <c:pt idx="66">
                  <c:v>53.860999999999997</c:v>
                </c:pt>
                <c:pt idx="78">
                  <c:v>51.7</c:v>
                </c:pt>
                <c:pt idx="79">
                  <c:v>52.6</c:v>
                </c:pt>
                <c:pt idx="80">
                  <c:v>53.5</c:v>
                </c:pt>
                <c:pt idx="81">
                  <c:v>53.7</c:v>
                </c:pt>
                <c:pt idx="82">
                  <c:v>54.9</c:v>
                </c:pt>
                <c:pt idx="83">
                  <c:v>55.2</c:v>
                </c:pt>
                <c:pt idx="84">
                  <c:v>55.4</c:v>
                </c:pt>
                <c:pt idx="85">
                  <c:v>56.2</c:v>
                </c:pt>
                <c:pt idx="86">
                  <c:v>56.7</c:v>
                </c:pt>
                <c:pt idx="87">
                  <c:v>57</c:v>
                </c:pt>
                <c:pt idx="88">
                  <c:v>57.4</c:v>
                </c:pt>
                <c:pt idx="89">
                  <c:v>56.6</c:v>
                </c:pt>
                <c:pt idx="90">
                  <c:v>57.4</c:v>
                </c:pt>
                <c:pt idx="91">
                  <c:v>58.1</c:v>
                </c:pt>
                <c:pt idx="92">
                  <c:v>58.5</c:v>
                </c:pt>
                <c:pt idx="93">
                  <c:v>60.1</c:v>
                </c:pt>
                <c:pt idx="94">
                  <c:v>60.6</c:v>
                </c:pt>
                <c:pt idx="95">
                  <c:v>59.6</c:v>
                </c:pt>
                <c:pt idx="96">
                  <c:v>58.6</c:v>
                </c:pt>
                <c:pt idx="97">
                  <c:v>56.6</c:v>
                </c:pt>
                <c:pt idx="98">
                  <c:v>56.2</c:v>
                </c:pt>
                <c:pt idx="99">
                  <c:v>55.5</c:v>
                </c:pt>
                <c:pt idx="100">
                  <c:v>54.9</c:v>
                </c:pt>
                <c:pt idx="101">
                  <c:v>55.1</c:v>
                </c:pt>
                <c:pt idx="102">
                  <c:v>54.6</c:v>
                </c:pt>
                <c:pt idx="103">
                  <c:v>53.2</c:v>
                </c:pt>
                <c:pt idx="104">
                  <c:v>52</c:v>
                </c:pt>
                <c:pt idx="105">
                  <c:v>51.8</c:v>
                </c:pt>
                <c:pt idx="106">
                  <c:v>51.4</c:v>
                </c:pt>
                <c:pt idx="107">
                  <c:v>50.5</c:v>
                </c:pt>
                <c:pt idx="108">
                  <c:v>49.3</c:v>
                </c:pt>
                <c:pt idx="109">
                  <c:v>47.5</c:v>
                </c:pt>
                <c:pt idx="110">
                  <c:v>47.9</c:v>
                </c:pt>
                <c:pt idx="111">
                  <c:v>47.7</c:v>
                </c:pt>
                <c:pt idx="112">
                  <c:v>47.6</c:v>
                </c:pt>
                <c:pt idx="113">
                  <c:v>46.5</c:v>
                </c:pt>
                <c:pt idx="114">
                  <c:v>47</c:v>
                </c:pt>
                <c:pt idx="115">
                  <c:v>45.6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8+9'!$N$18</c:f>
              <c:strCache>
                <c:ptCount val="1"/>
                <c:pt idx="0">
                  <c:v>PMI services (right)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8+9'!$N$19:$N$136</c:f>
              <c:numCache>
                <c:formatCode>0.0</c:formatCode>
                <c:ptCount val="118"/>
                <c:pt idx="0">
                  <c:v>51.81</c:v>
                </c:pt>
                <c:pt idx="1">
                  <c:v>54.08</c:v>
                </c:pt>
                <c:pt idx="2">
                  <c:v>55.595999999999997</c:v>
                </c:pt>
                <c:pt idx="3">
                  <c:v>56.167999999999999</c:v>
                </c:pt>
                <c:pt idx="4">
                  <c:v>55.506999999999998</c:v>
                </c:pt>
                <c:pt idx="5">
                  <c:v>55.783000000000001</c:v>
                </c:pt>
                <c:pt idx="6">
                  <c:v>55.875</c:v>
                </c:pt>
                <c:pt idx="7">
                  <c:v>54.085999999999999</c:v>
                </c:pt>
                <c:pt idx="8">
                  <c:v>53.347999999999999</c:v>
                </c:pt>
                <c:pt idx="9">
                  <c:v>55.42</c:v>
                </c:pt>
                <c:pt idx="10">
                  <c:v>54.22</c:v>
                </c:pt>
                <c:pt idx="11">
                  <c:v>55.936</c:v>
                </c:pt>
                <c:pt idx="12">
                  <c:v>56.753999999999998</c:v>
                </c:pt>
                <c:pt idx="13">
                  <c:v>57.158999999999999</c:v>
                </c:pt>
                <c:pt idx="14">
                  <c:v>56.732999999999997</c:v>
                </c:pt>
                <c:pt idx="15">
                  <c:v>55.991</c:v>
                </c:pt>
                <c:pt idx="16">
                  <c:v>53.710999999999999</c:v>
                </c:pt>
                <c:pt idx="17">
                  <c:v>51.578000000000003</c:v>
                </c:pt>
                <c:pt idx="18">
                  <c:v>51.484000000000002</c:v>
                </c:pt>
                <c:pt idx="19">
                  <c:v>48.843000000000004</c:v>
                </c:pt>
                <c:pt idx="20">
                  <c:v>46.402999999999999</c:v>
                </c:pt>
                <c:pt idx="21">
                  <c:v>47.533000000000001</c:v>
                </c:pt>
                <c:pt idx="22">
                  <c:v>48.802</c:v>
                </c:pt>
                <c:pt idx="23">
                  <c:v>50.445999999999998</c:v>
                </c:pt>
                <c:pt idx="24">
                  <c:v>48.847999999999999</c:v>
                </c:pt>
                <c:pt idx="25">
                  <c:v>49.197000000000003</c:v>
                </c:pt>
                <c:pt idx="26">
                  <c:v>46.881999999999998</c:v>
                </c:pt>
                <c:pt idx="27">
                  <c:v>46.668999999999997</c:v>
                </c:pt>
                <c:pt idx="28">
                  <c:v>47.131999999999998</c:v>
                </c:pt>
                <c:pt idx="29">
                  <c:v>47.9</c:v>
                </c:pt>
                <c:pt idx="30">
                  <c:v>47.23</c:v>
                </c:pt>
                <c:pt idx="31">
                  <c:v>46.149000000000001</c:v>
                </c:pt>
                <c:pt idx="32">
                  <c:v>46.042999999999999</c:v>
                </c:pt>
                <c:pt idx="33">
                  <c:v>46.741</c:v>
                </c:pt>
                <c:pt idx="34">
                  <c:v>47.823999999999998</c:v>
                </c:pt>
                <c:pt idx="35">
                  <c:v>48.618000000000002</c:v>
                </c:pt>
                <c:pt idx="36">
                  <c:v>47.871000000000002</c:v>
                </c:pt>
                <c:pt idx="37">
                  <c:v>46.353999999999999</c:v>
                </c:pt>
                <c:pt idx="38">
                  <c:v>47.012</c:v>
                </c:pt>
                <c:pt idx="39">
                  <c:v>47.235999999999997</c:v>
                </c:pt>
                <c:pt idx="40">
                  <c:v>48.26</c:v>
                </c:pt>
                <c:pt idx="41">
                  <c:v>49.765999999999998</c:v>
                </c:pt>
                <c:pt idx="42">
                  <c:v>50.694000000000003</c:v>
                </c:pt>
                <c:pt idx="43">
                  <c:v>52.182000000000002</c:v>
                </c:pt>
                <c:pt idx="44">
                  <c:v>51.551000000000002</c:v>
                </c:pt>
                <c:pt idx="45">
                  <c:v>51.180999999999997</c:v>
                </c:pt>
                <c:pt idx="46">
                  <c:v>50.959000000000003</c:v>
                </c:pt>
                <c:pt idx="47">
                  <c:v>51.569000000000003</c:v>
                </c:pt>
                <c:pt idx="48">
                  <c:v>52.573</c:v>
                </c:pt>
                <c:pt idx="49">
                  <c:v>52.158999999999999</c:v>
                </c:pt>
                <c:pt idx="50">
                  <c:v>53.121000000000002</c:v>
                </c:pt>
                <c:pt idx="51">
                  <c:v>53.225000000000001</c:v>
                </c:pt>
                <c:pt idx="52">
                  <c:v>52.820999999999998</c:v>
                </c:pt>
                <c:pt idx="53">
                  <c:v>54.162999999999997</c:v>
                </c:pt>
                <c:pt idx="54">
                  <c:v>53.104999999999997</c:v>
                </c:pt>
                <c:pt idx="55">
                  <c:v>52.354999999999997</c:v>
                </c:pt>
                <c:pt idx="56">
                  <c:v>52.281999999999996</c:v>
                </c:pt>
                <c:pt idx="57">
                  <c:v>51.121000000000002</c:v>
                </c:pt>
                <c:pt idx="58">
                  <c:v>51.600999999999999</c:v>
                </c:pt>
                <c:pt idx="59">
                  <c:v>52.725999999999999</c:v>
                </c:pt>
                <c:pt idx="60">
                  <c:v>53.747</c:v>
                </c:pt>
                <c:pt idx="61">
                  <c:v>54.183</c:v>
                </c:pt>
                <c:pt idx="62">
                  <c:v>54.087000000000003</c:v>
                </c:pt>
                <c:pt idx="63">
                  <c:v>53.762999999999998</c:v>
                </c:pt>
                <c:pt idx="64">
                  <c:v>54.372999999999998</c:v>
                </c:pt>
                <c:pt idx="65">
                  <c:v>53.951999999999998</c:v>
                </c:pt>
                <c:pt idx="66">
                  <c:v>54.430999999999997</c:v>
                </c:pt>
                <c:pt idx="78">
                  <c:v>52.8</c:v>
                </c:pt>
                <c:pt idx="79">
                  <c:v>52.2</c:v>
                </c:pt>
                <c:pt idx="80">
                  <c:v>52.8</c:v>
                </c:pt>
                <c:pt idx="81">
                  <c:v>53.8</c:v>
                </c:pt>
                <c:pt idx="82">
                  <c:v>53.7</c:v>
                </c:pt>
                <c:pt idx="83">
                  <c:v>53.7</c:v>
                </c:pt>
                <c:pt idx="84">
                  <c:v>55.5</c:v>
                </c:pt>
                <c:pt idx="85">
                  <c:v>56</c:v>
                </c:pt>
                <c:pt idx="86">
                  <c:v>56.4</c:v>
                </c:pt>
                <c:pt idx="87">
                  <c:v>56.3</c:v>
                </c:pt>
                <c:pt idx="88">
                  <c:v>55.4</c:v>
                </c:pt>
                <c:pt idx="89">
                  <c:v>55.4</c:v>
                </c:pt>
                <c:pt idx="90">
                  <c:v>54.7</c:v>
                </c:pt>
                <c:pt idx="91">
                  <c:v>55.8</c:v>
                </c:pt>
                <c:pt idx="92">
                  <c:v>55</c:v>
                </c:pt>
                <c:pt idx="93">
                  <c:v>56.2</c:v>
                </c:pt>
                <c:pt idx="94">
                  <c:v>56.6</c:v>
                </c:pt>
                <c:pt idx="95">
                  <c:v>58</c:v>
                </c:pt>
                <c:pt idx="96">
                  <c:v>56.2</c:v>
                </c:pt>
                <c:pt idx="97">
                  <c:v>54.9</c:v>
                </c:pt>
                <c:pt idx="98">
                  <c:v>54.7</c:v>
                </c:pt>
                <c:pt idx="99">
                  <c:v>53.8</c:v>
                </c:pt>
                <c:pt idx="100">
                  <c:v>55.2</c:v>
                </c:pt>
                <c:pt idx="101">
                  <c:v>54.2</c:v>
                </c:pt>
                <c:pt idx="102">
                  <c:v>54.4</c:v>
                </c:pt>
                <c:pt idx="103">
                  <c:v>54.7</c:v>
                </c:pt>
                <c:pt idx="104">
                  <c:v>53.7</c:v>
                </c:pt>
                <c:pt idx="105">
                  <c:v>53.4</c:v>
                </c:pt>
                <c:pt idx="106">
                  <c:v>51.2</c:v>
                </c:pt>
                <c:pt idx="107">
                  <c:v>51.2</c:v>
                </c:pt>
                <c:pt idx="108">
                  <c:v>52.8</c:v>
                </c:pt>
                <c:pt idx="109">
                  <c:v>53.3</c:v>
                </c:pt>
                <c:pt idx="110">
                  <c:v>52.8</c:v>
                </c:pt>
                <c:pt idx="111">
                  <c:v>52.9</c:v>
                </c:pt>
                <c:pt idx="112">
                  <c:v>53.6</c:v>
                </c:pt>
                <c:pt idx="113">
                  <c:v>53.2</c:v>
                </c:pt>
                <c:pt idx="114">
                  <c:v>53.5</c:v>
                </c:pt>
                <c:pt idx="115">
                  <c:v>52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'Graf 8+9'!$O$18</c:f>
              <c:strCache>
                <c:ptCount val="1"/>
                <c:pt idx="0">
                  <c:v>PMI border of growth/decline 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'Graf 8+9'!$J$19:$J$136</c:f>
              <c:strCache>
                <c:ptCount val="118"/>
                <c:pt idx="0">
                  <c:v>2010
Q1</c:v>
                </c:pt>
                <c:pt idx="3">
                  <c:v>Q2</c:v>
                </c:pt>
                <c:pt idx="6">
                  <c:v>Q3</c:v>
                </c:pt>
                <c:pt idx="9">
                  <c:v>Q4</c:v>
                </c:pt>
                <c:pt idx="12">
                  <c:v>2011
Q1</c:v>
                </c:pt>
                <c:pt idx="15">
                  <c:v>Q2</c:v>
                </c:pt>
                <c:pt idx="18">
                  <c:v>Q3</c:v>
                </c:pt>
                <c:pt idx="21">
                  <c:v>Q4</c:v>
                </c:pt>
                <c:pt idx="24">
                  <c:v>2012
Q1</c:v>
                </c:pt>
                <c:pt idx="27">
                  <c:v>Q2</c:v>
                </c:pt>
                <c:pt idx="30">
                  <c:v>Q3</c:v>
                </c:pt>
                <c:pt idx="33">
                  <c:v>Q4</c:v>
                </c:pt>
                <c:pt idx="36">
                  <c:v>2013
Q1</c:v>
                </c:pt>
                <c:pt idx="39">
                  <c:v>Q2</c:v>
                </c:pt>
                <c:pt idx="42">
                  <c:v>Q3</c:v>
                </c:pt>
                <c:pt idx="45">
                  <c:v>Q4</c:v>
                </c:pt>
                <c:pt idx="48">
                  <c:v>2014
Q1</c:v>
                </c:pt>
                <c:pt idx="51">
                  <c:v>Q2</c:v>
                </c:pt>
                <c:pt idx="54">
                  <c:v>Q3</c:v>
                </c:pt>
                <c:pt idx="57">
                  <c:v>Q4</c:v>
                </c:pt>
                <c:pt idx="60">
                  <c:v>2015
Q1</c:v>
                </c:pt>
                <c:pt idx="63">
                  <c:v>Q2</c:v>
                </c:pt>
                <c:pt idx="66">
                  <c:v>Q3</c:v>
                </c:pt>
                <c:pt idx="69">
                  <c:v>Q4</c:v>
                </c:pt>
                <c:pt idx="72">
                  <c:v>2016
Q1</c:v>
                </c:pt>
                <c:pt idx="75">
                  <c:v>Q2</c:v>
                </c:pt>
                <c:pt idx="78">
                  <c:v>Q3</c:v>
                </c:pt>
                <c:pt idx="81">
                  <c:v>Q4</c:v>
                </c:pt>
                <c:pt idx="84">
                  <c:v>2017
Q1</c:v>
                </c:pt>
                <c:pt idx="87">
                  <c:v>Q2</c:v>
                </c:pt>
                <c:pt idx="90">
                  <c:v>Q3</c:v>
                </c:pt>
                <c:pt idx="93">
                  <c:v>Q4</c:v>
                </c:pt>
                <c:pt idx="96">
                  <c:v>2018
Q1</c:v>
                </c:pt>
                <c:pt idx="99">
                  <c:v>Q2</c:v>
                </c:pt>
                <c:pt idx="102">
                  <c:v>Q3</c:v>
                </c:pt>
                <c:pt idx="105">
                  <c:v>Q4</c:v>
                </c:pt>
                <c:pt idx="108">
                  <c:v>2019
Q1</c:v>
                </c:pt>
                <c:pt idx="111">
                  <c:v>Q2</c:v>
                </c:pt>
                <c:pt idx="114">
                  <c:v>Q3</c:v>
                </c:pt>
                <c:pt idx="117">
                  <c:v>Q4</c:v>
                </c:pt>
              </c:strCache>
            </c:strRef>
          </c:cat>
          <c:val>
            <c:numRef>
              <c:f>'Graf 8+9'!$O$19:$O$136</c:f>
              <c:numCache>
                <c:formatCode>General</c:formatCode>
                <c:ptCount val="11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15720"/>
        <c:axId val="488315328"/>
      </c:lineChart>
      <c:catAx>
        <c:axId val="48831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488314936"/>
        <c:crosses val="autoZero"/>
        <c:auto val="1"/>
        <c:lblAlgn val="ctr"/>
        <c:lblOffset val="100"/>
        <c:noMultiLvlLbl val="0"/>
      </c:catAx>
      <c:valAx>
        <c:axId val="488314936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sk-SK"/>
          </a:p>
        </c:txPr>
        <c:crossAx val="488314544"/>
        <c:crosses val="autoZero"/>
        <c:crossBetween val="between"/>
      </c:valAx>
      <c:valAx>
        <c:axId val="488315328"/>
        <c:scaling>
          <c:orientation val="minMax"/>
          <c:max val="70"/>
          <c:min val="30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k-SK"/>
          </a:p>
        </c:txPr>
        <c:crossAx val="488315720"/>
        <c:crosses val="max"/>
        <c:crossBetween val="between"/>
      </c:valAx>
      <c:catAx>
        <c:axId val="488315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3153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36200005867760243"/>
          <c:y val="0.55156815883444454"/>
          <c:w val="0.51195416666666671"/>
          <c:h val="0.33266148155174047"/>
        </c:manualLayout>
      </c:layout>
      <c:overlay val="1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033382994546303E-2"/>
          <c:y val="4.5147336827487339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8+9'!$J$8</c:f>
              <c:strCache>
                <c:ptCount val="1"/>
                <c:pt idx="0">
                  <c:v>Germany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8+9'!$K$8:$IR$8</c:f>
              <c:numCache>
                <c:formatCode>0.0</c:formatCode>
                <c:ptCount val="242"/>
                <c:pt idx="0">
                  <c:v>-0.68500000000000005</c:v>
                </c:pt>
                <c:pt idx="1">
                  <c:v>-0.57599999999999996</c:v>
                </c:pt>
                <c:pt idx="2">
                  <c:v>-0.495</c:v>
                </c:pt>
                <c:pt idx="3">
                  <c:v>-0.376</c:v>
                </c:pt>
                <c:pt idx="4">
                  <c:v>-0.32400000000000001</c:v>
                </c:pt>
                <c:pt idx="5">
                  <c:v>-0.21</c:v>
                </c:pt>
                <c:pt idx="6">
                  <c:v>-0.36299999999999999</c:v>
                </c:pt>
                <c:pt idx="7">
                  <c:v>-0.32700000000000001</c:v>
                </c:pt>
                <c:pt idx="8">
                  <c:v>-0.28499999999999998</c:v>
                </c:pt>
                <c:pt idx="9">
                  <c:v>-0.255</c:v>
                </c:pt>
                <c:pt idx="10">
                  <c:v>-0.25700000000000001</c:v>
                </c:pt>
                <c:pt idx="11">
                  <c:v>-0.20200000000000001</c:v>
                </c:pt>
                <c:pt idx="12">
                  <c:v>-0.11700000000000001</c:v>
                </c:pt>
                <c:pt idx="13">
                  <c:v>-0.104</c:v>
                </c:pt>
                <c:pt idx="14">
                  <c:v>-4.4999999999999998E-2</c:v>
                </c:pt>
                <c:pt idx="15">
                  <c:v>2.5000000000000001E-2</c:v>
                </c:pt>
                <c:pt idx="16">
                  <c:v>-2.1999999999999999E-2</c:v>
                </c:pt>
                <c:pt idx="17">
                  <c:v>2.5000000000000001E-2</c:v>
                </c:pt>
                <c:pt idx="18">
                  <c:v>5.5E-2</c:v>
                </c:pt>
                <c:pt idx="19">
                  <c:v>7.0000000000000001E-3</c:v>
                </c:pt>
                <c:pt idx="20">
                  <c:v>-7.0000000000000007E-2</c:v>
                </c:pt>
                <c:pt idx="21">
                  <c:v>-1.4999999999999999E-2</c:v>
                </c:pt>
                <c:pt idx="22">
                  <c:v>8.4000000000000005E-2</c:v>
                </c:pt>
                <c:pt idx="23">
                  <c:v>6.9000000000000006E-2</c:v>
                </c:pt>
                <c:pt idx="24">
                  <c:v>0.183</c:v>
                </c:pt>
                <c:pt idx="25">
                  <c:v>9.6000000000000002E-2</c:v>
                </c:pt>
                <c:pt idx="26">
                  <c:v>0.10100000000000001</c:v>
                </c:pt>
                <c:pt idx="27">
                  <c:v>8.6999999999999994E-2</c:v>
                </c:pt>
                <c:pt idx="28">
                  <c:v>0.16600000000000001</c:v>
                </c:pt>
                <c:pt idx="29">
                  <c:v>0.193</c:v>
                </c:pt>
                <c:pt idx="30">
                  <c:v>0.26200000000000001</c:v>
                </c:pt>
                <c:pt idx="31">
                  <c:v>0.23899999999999999</c:v>
                </c:pt>
                <c:pt idx="32">
                  <c:v>0.20799999999999999</c:v>
                </c:pt>
                <c:pt idx="33">
                  <c:v>0.24199999999999999</c:v>
                </c:pt>
                <c:pt idx="34">
                  <c:v>0.25</c:v>
                </c:pt>
                <c:pt idx="35">
                  <c:v>0.252</c:v>
                </c:pt>
                <c:pt idx="36">
                  <c:v>0.249</c:v>
                </c:pt>
                <c:pt idx="37">
                  <c:v>0.313</c:v>
                </c:pt>
                <c:pt idx="38">
                  <c:v>0.34</c:v>
                </c:pt>
                <c:pt idx="39">
                  <c:v>0.36699999999999999</c:v>
                </c:pt>
                <c:pt idx="40">
                  <c:v>0.40699999999999997</c:v>
                </c:pt>
                <c:pt idx="41">
                  <c:v>0.42799999999999999</c:v>
                </c:pt>
                <c:pt idx="42">
                  <c:v>0.35199999999999998</c:v>
                </c:pt>
                <c:pt idx="43">
                  <c:v>0.46</c:v>
                </c:pt>
                <c:pt idx="44">
                  <c:v>0.498</c:v>
                </c:pt>
                <c:pt idx="45">
                  <c:v>0.57299999999999995</c:v>
                </c:pt>
                <c:pt idx="46">
                  <c:v>0.47</c:v>
                </c:pt>
                <c:pt idx="47">
                  <c:v>0.46200000000000002</c:v>
                </c:pt>
                <c:pt idx="48">
                  <c:v>0.45</c:v>
                </c:pt>
                <c:pt idx="49">
                  <c:v>0.38700000000000001</c:v>
                </c:pt>
                <c:pt idx="50">
                  <c:v>0.32600000000000001</c:v>
                </c:pt>
                <c:pt idx="51">
                  <c:v>0.34499999999999997</c:v>
                </c:pt>
                <c:pt idx="52">
                  <c:v>0.30499999999999999</c:v>
                </c:pt>
                <c:pt idx="53">
                  <c:v>0.317</c:v>
                </c:pt>
                <c:pt idx="54">
                  <c:v>0.40799999999999997</c:v>
                </c:pt>
                <c:pt idx="55">
                  <c:v>0.40300000000000002</c:v>
                </c:pt>
                <c:pt idx="56">
                  <c:v>0.37</c:v>
                </c:pt>
                <c:pt idx="57">
                  <c:v>0.34</c:v>
                </c:pt>
                <c:pt idx="58">
                  <c:v>0.29199999999999998</c:v>
                </c:pt>
                <c:pt idx="59">
                  <c:v>0.30199999999999999</c:v>
                </c:pt>
                <c:pt idx="60">
                  <c:v>0.33700000000000002</c:v>
                </c:pt>
                <c:pt idx="61">
                  <c:v>0.40300000000000002</c:v>
                </c:pt>
                <c:pt idx="62">
                  <c:v>0.44900000000000001</c:v>
                </c:pt>
                <c:pt idx="63">
                  <c:v>0.38600000000000001</c:v>
                </c:pt>
                <c:pt idx="64">
                  <c:v>0.40600000000000003</c:v>
                </c:pt>
                <c:pt idx="65">
                  <c:v>0.57899999999999996</c:v>
                </c:pt>
                <c:pt idx="66">
                  <c:v>0.55900000000000005</c:v>
                </c:pt>
                <c:pt idx="67">
                  <c:v>0.54400000000000004</c:v>
                </c:pt>
                <c:pt idx="68">
                  <c:v>0.57099999999999995</c:v>
                </c:pt>
                <c:pt idx="69">
                  <c:v>0.59</c:v>
                </c:pt>
                <c:pt idx="70">
                  <c:v>0.51100000000000001</c:v>
                </c:pt>
                <c:pt idx="71">
                  <c:v>0.497</c:v>
                </c:pt>
                <c:pt idx="72">
                  <c:v>0.497</c:v>
                </c:pt>
                <c:pt idx="73">
                  <c:v>0.52700000000000002</c:v>
                </c:pt>
                <c:pt idx="74">
                  <c:v>0.57099999999999995</c:v>
                </c:pt>
                <c:pt idx="75">
                  <c:v>0.64800000000000002</c:v>
                </c:pt>
                <c:pt idx="76">
                  <c:v>0.65100000000000002</c:v>
                </c:pt>
                <c:pt idx="77">
                  <c:v>0.65300000000000002</c:v>
                </c:pt>
                <c:pt idx="78">
                  <c:v>0.70599999999999996</c:v>
                </c:pt>
                <c:pt idx="79">
                  <c:v>0.745</c:v>
                </c:pt>
                <c:pt idx="80">
                  <c:v>0.76700000000000002</c:v>
                </c:pt>
                <c:pt idx="81">
                  <c:v>0.629</c:v>
                </c:pt>
                <c:pt idx="82">
                  <c:v>0.56799999999999995</c:v>
                </c:pt>
                <c:pt idx="83">
                  <c:v>0.58099999999999996</c:v>
                </c:pt>
                <c:pt idx="84">
                  <c:v>0.439</c:v>
                </c:pt>
                <c:pt idx="85">
                  <c:v>0.42699999999999999</c:v>
                </c:pt>
                <c:pt idx="86">
                  <c:v>0.42</c:v>
                </c:pt>
                <c:pt idx="87">
                  <c:v>0.30099999999999999</c:v>
                </c:pt>
                <c:pt idx="88">
                  <c:v>0.307</c:v>
                </c:pt>
                <c:pt idx="89">
                  <c:v>0.30499999999999999</c:v>
                </c:pt>
                <c:pt idx="90">
                  <c:v>0.36</c:v>
                </c:pt>
                <c:pt idx="91">
                  <c:v>0.36099999999999999</c:v>
                </c:pt>
                <c:pt idx="92">
                  <c:v>0.41</c:v>
                </c:pt>
                <c:pt idx="93">
                  <c:v>0.36399999999999999</c:v>
                </c:pt>
                <c:pt idx="94">
                  <c:v>0.38300000000000001</c:v>
                </c:pt>
                <c:pt idx="95">
                  <c:v>0.45200000000000001</c:v>
                </c:pt>
                <c:pt idx="96">
                  <c:v>0.40300000000000002</c:v>
                </c:pt>
                <c:pt idx="97">
                  <c:v>0.45900000000000002</c:v>
                </c:pt>
                <c:pt idx="98">
                  <c:v>0.46400000000000002</c:v>
                </c:pt>
                <c:pt idx="99">
                  <c:v>0.44700000000000001</c:v>
                </c:pt>
                <c:pt idx="100">
                  <c:v>0.433</c:v>
                </c:pt>
                <c:pt idx="101">
                  <c:v>0.312</c:v>
                </c:pt>
                <c:pt idx="102">
                  <c:v>0.379</c:v>
                </c:pt>
                <c:pt idx="103">
                  <c:v>0.38</c:v>
                </c:pt>
                <c:pt idx="104">
                  <c:v>0.41399999999999998</c:v>
                </c:pt>
                <c:pt idx="105">
                  <c:v>0.38200000000000001</c:v>
                </c:pt>
                <c:pt idx="106">
                  <c:v>0.46800000000000003</c:v>
                </c:pt>
                <c:pt idx="107">
                  <c:v>0.54200000000000004</c:v>
                </c:pt>
                <c:pt idx="108">
                  <c:v>0.50600000000000001</c:v>
                </c:pt>
                <c:pt idx="109">
                  <c:v>0.59699999999999998</c:v>
                </c:pt>
                <c:pt idx="110">
                  <c:v>0.57299999999999995</c:v>
                </c:pt>
                <c:pt idx="111">
                  <c:v>0.46600000000000003</c:v>
                </c:pt>
                <c:pt idx="112">
                  <c:v>0.255</c:v>
                </c:pt>
                <c:pt idx="113">
                  <c:v>0.27600000000000002</c:v>
                </c:pt>
                <c:pt idx="114">
                  <c:v>0.26400000000000001</c:v>
                </c:pt>
                <c:pt idx="115">
                  <c:v>0.27400000000000002</c:v>
                </c:pt>
                <c:pt idx="116">
                  <c:v>0.33100000000000002</c:v>
                </c:pt>
                <c:pt idx="117">
                  <c:v>0.36799999999999999</c:v>
                </c:pt>
                <c:pt idx="118">
                  <c:v>0.39100000000000001</c:v>
                </c:pt>
                <c:pt idx="119">
                  <c:v>0.41799999999999998</c:v>
                </c:pt>
                <c:pt idx="120">
                  <c:v>0.317</c:v>
                </c:pt>
                <c:pt idx="121">
                  <c:v>0.253</c:v>
                </c:pt>
                <c:pt idx="122">
                  <c:v>0.187</c:v>
                </c:pt>
                <c:pt idx="123">
                  <c:v>0.22800000000000001</c:v>
                </c:pt>
                <c:pt idx="124">
                  <c:v>0.32800000000000001</c:v>
                </c:pt>
                <c:pt idx="125">
                  <c:v>0.40300000000000002</c:v>
                </c:pt>
                <c:pt idx="126">
                  <c:v>0.435</c:v>
                </c:pt>
                <c:pt idx="127">
                  <c:v>0.48499999999999999</c:v>
                </c:pt>
                <c:pt idx="128">
                  <c:v>0.35599999999999998</c:v>
                </c:pt>
                <c:pt idx="129">
                  <c:v>0.186</c:v>
                </c:pt>
                <c:pt idx="130">
                  <c:v>0.30199999999999999</c:v>
                </c:pt>
                <c:pt idx="131">
                  <c:v>0.32</c:v>
                </c:pt>
                <c:pt idx="132">
                  <c:v>0.41199999999999998</c:v>
                </c:pt>
                <c:pt idx="133">
                  <c:v>0.46200000000000002</c:v>
                </c:pt>
                <c:pt idx="134">
                  <c:v>0.42099999999999999</c:v>
                </c:pt>
                <c:pt idx="135">
                  <c:v>0.33800000000000002</c:v>
                </c:pt>
                <c:pt idx="136">
                  <c:v>0.29799999999999999</c:v>
                </c:pt>
                <c:pt idx="137">
                  <c:v>0.20799999999999999</c:v>
                </c:pt>
                <c:pt idx="138">
                  <c:v>0.221</c:v>
                </c:pt>
                <c:pt idx="139">
                  <c:v>0.314</c:v>
                </c:pt>
                <c:pt idx="140">
                  <c:v>0.36499999999999999</c:v>
                </c:pt>
                <c:pt idx="141">
                  <c:v>0.28100000000000003</c:v>
                </c:pt>
                <c:pt idx="142">
                  <c:v>0.24</c:v>
                </c:pt>
                <c:pt idx="143">
                  <c:v>0.27200000000000002</c:v>
                </c:pt>
                <c:pt idx="144">
                  <c:v>0.308</c:v>
                </c:pt>
                <c:pt idx="145">
                  <c:v>0.13500000000000001</c:v>
                </c:pt>
                <c:pt idx="146">
                  <c:v>0.16700000000000001</c:v>
                </c:pt>
                <c:pt idx="147">
                  <c:v>6.0000000000000001E-3</c:v>
                </c:pt>
                <c:pt idx="148">
                  <c:v>5.8000000000000003E-2</c:v>
                </c:pt>
                <c:pt idx="149">
                  <c:v>0.02</c:v>
                </c:pt>
                <c:pt idx="150">
                  <c:v>-0.11899999999999999</c:v>
                </c:pt>
                <c:pt idx="151">
                  <c:v>-8.2000000000000003E-2</c:v>
                </c:pt>
                <c:pt idx="152">
                  <c:v>7.0000000000000001E-3</c:v>
                </c:pt>
                <c:pt idx="153">
                  <c:v>1.0999999999999999E-2</c:v>
                </c:pt>
                <c:pt idx="154">
                  <c:v>-4.2999999999999997E-2</c:v>
                </c:pt>
                <c:pt idx="155">
                  <c:v>-7.1999999999999995E-2</c:v>
                </c:pt>
                <c:pt idx="156">
                  <c:v>-3.2000000000000001E-2</c:v>
                </c:pt>
                <c:pt idx="157">
                  <c:v>-0.108</c:v>
                </c:pt>
                <c:pt idx="158">
                  <c:v>-6.7000000000000004E-2</c:v>
                </c:pt>
                <c:pt idx="159">
                  <c:v>-0.11899999999999999</c:v>
                </c:pt>
                <c:pt idx="160">
                  <c:v>-0.03</c:v>
                </c:pt>
                <c:pt idx="161">
                  <c:v>6.0000000000000001E-3</c:v>
                </c:pt>
                <c:pt idx="162">
                  <c:v>-0.189</c:v>
                </c:pt>
                <c:pt idx="163">
                  <c:v>-0.126</c:v>
                </c:pt>
                <c:pt idx="164">
                  <c:v>-4.7E-2</c:v>
                </c:pt>
                <c:pt idx="165">
                  <c:v>1.9E-2</c:v>
                </c:pt>
                <c:pt idx="166">
                  <c:v>0.02</c:v>
                </c:pt>
                <c:pt idx="167">
                  <c:v>6.8000000000000005E-2</c:v>
                </c:pt>
                <c:pt idx="168">
                  <c:v>0.13800000000000001</c:v>
                </c:pt>
                <c:pt idx="169">
                  <c:v>0.16500000000000001</c:v>
                </c:pt>
                <c:pt idx="170">
                  <c:v>0.124</c:v>
                </c:pt>
                <c:pt idx="171">
                  <c:v>0.14399999999999999</c:v>
                </c:pt>
                <c:pt idx="172">
                  <c:v>0.27100000000000002</c:v>
                </c:pt>
                <c:pt idx="173">
                  <c:v>0.23100000000000001</c:v>
                </c:pt>
                <c:pt idx="174">
                  <c:v>0.127</c:v>
                </c:pt>
                <c:pt idx="175">
                  <c:v>9.5000000000000001E-2</c:v>
                </c:pt>
                <c:pt idx="176">
                  <c:v>0.13400000000000001</c:v>
                </c:pt>
                <c:pt idx="177">
                  <c:v>0.18</c:v>
                </c:pt>
                <c:pt idx="178">
                  <c:v>0.21199999999999999</c:v>
                </c:pt>
                <c:pt idx="179">
                  <c:v>0.27100000000000002</c:v>
                </c:pt>
                <c:pt idx="180">
                  <c:v>0.23799999999999999</c:v>
                </c:pt>
                <c:pt idx="181">
                  <c:v>0.14699999999999999</c:v>
                </c:pt>
                <c:pt idx="182">
                  <c:v>0.20200000000000001</c:v>
                </c:pt>
                <c:pt idx="183">
                  <c:v>0.26100000000000001</c:v>
                </c:pt>
                <c:pt idx="184">
                  <c:v>0.29599999999999999</c:v>
                </c:pt>
                <c:pt idx="185">
                  <c:v>0.32500000000000001</c:v>
                </c:pt>
                <c:pt idx="186">
                  <c:v>0.48399999999999999</c:v>
                </c:pt>
                <c:pt idx="187">
                  <c:v>0.54</c:v>
                </c:pt>
                <c:pt idx="188">
                  <c:v>0.51400000000000001</c:v>
                </c:pt>
                <c:pt idx="189">
                  <c:v>0.629</c:v>
                </c:pt>
                <c:pt idx="190">
                  <c:v>0.64100000000000001</c:v>
                </c:pt>
                <c:pt idx="191">
                  <c:v>0.54800000000000004</c:v>
                </c:pt>
                <c:pt idx="192">
                  <c:v>0.54</c:v>
                </c:pt>
                <c:pt idx="193">
                  <c:v>0.67800000000000005</c:v>
                </c:pt>
                <c:pt idx="194">
                  <c:v>0.46</c:v>
                </c:pt>
                <c:pt idx="195">
                  <c:v>0.47899999999999998</c:v>
                </c:pt>
                <c:pt idx="196">
                  <c:v>0.55800000000000005</c:v>
                </c:pt>
                <c:pt idx="197">
                  <c:v>0.69299999999999995</c:v>
                </c:pt>
                <c:pt idx="198">
                  <c:v>0.51700000000000002</c:v>
                </c:pt>
                <c:pt idx="199">
                  <c:v>0.51200000000000001</c:v>
                </c:pt>
                <c:pt idx="200">
                  <c:v>0.54800000000000004</c:v>
                </c:pt>
                <c:pt idx="201">
                  <c:v>0.61499999999999999</c:v>
                </c:pt>
                <c:pt idx="202">
                  <c:v>0.51</c:v>
                </c:pt>
                <c:pt idx="203">
                  <c:v>0.64900000000000002</c:v>
                </c:pt>
                <c:pt idx="204">
                  <c:v>0.66300000000000003</c:v>
                </c:pt>
                <c:pt idx="205">
                  <c:v>0.65300000000000002</c:v>
                </c:pt>
                <c:pt idx="206">
                  <c:v>0.66800000000000004</c:v>
                </c:pt>
                <c:pt idx="207">
                  <c:v>0.74199999999999999</c:v>
                </c:pt>
                <c:pt idx="208">
                  <c:v>0.56399999999999995</c:v>
                </c:pt>
                <c:pt idx="209">
                  <c:v>0.66</c:v>
                </c:pt>
                <c:pt idx="210">
                  <c:v>0.66100000000000003</c:v>
                </c:pt>
                <c:pt idx="211">
                  <c:v>0.64400000000000002</c:v>
                </c:pt>
                <c:pt idx="212">
                  <c:v>0.69099999999999995</c:v>
                </c:pt>
                <c:pt idx="213">
                  <c:v>0.78800000000000003</c:v>
                </c:pt>
                <c:pt idx="214">
                  <c:v>0.89800000000000002</c:v>
                </c:pt>
                <c:pt idx="215">
                  <c:v>0.79100000000000004</c:v>
                </c:pt>
                <c:pt idx="216">
                  <c:v>0.92200000000000004</c:v>
                </c:pt>
                <c:pt idx="217">
                  <c:v>0.752</c:v>
                </c:pt>
                <c:pt idx="218">
                  <c:v>0.83399999999999996</c:v>
                </c:pt>
                <c:pt idx="219">
                  <c:v>0.84399999999999997</c:v>
                </c:pt>
                <c:pt idx="220">
                  <c:v>0.48699999999999999</c:v>
                </c:pt>
                <c:pt idx="221">
                  <c:v>0.60399999999999998</c:v>
                </c:pt>
                <c:pt idx="222">
                  <c:v>0.624</c:v>
                </c:pt>
                <c:pt idx="223">
                  <c:v>0.54700000000000004</c:v>
                </c:pt>
                <c:pt idx="224">
                  <c:v>0.373</c:v>
                </c:pt>
                <c:pt idx="225">
                  <c:v>0.155</c:v>
                </c:pt>
                <c:pt idx="226">
                  <c:v>7.8E-2</c:v>
                </c:pt>
                <c:pt idx="227">
                  <c:v>0.155</c:v>
                </c:pt>
                <c:pt idx="228">
                  <c:v>0.19400000000000001</c:v>
                </c:pt>
                <c:pt idx="229">
                  <c:v>0.20699999999999999</c:v>
                </c:pt>
                <c:pt idx="230">
                  <c:v>0.184</c:v>
                </c:pt>
                <c:pt idx="231">
                  <c:v>0.25700000000000001</c:v>
                </c:pt>
                <c:pt idx="232">
                  <c:v>0.39300000000000002</c:v>
                </c:pt>
                <c:pt idx="233">
                  <c:v>0.32800000000000001</c:v>
                </c:pt>
                <c:pt idx="234">
                  <c:v>0.36699999999999999</c:v>
                </c:pt>
                <c:pt idx="235">
                  <c:v>0.34200000000000003</c:v>
                </c:pt>
                <c:pt idx="236">
                  <c:v>0.375</c:v>
                </c:pt>
                <c:pt idx="237">
                  <c:v>0.30199999999999999</c:v>
                </c:pt>
                <c:pt idx="238">
                  <c:v>0.36199999999999999</c:v>
                </c:pt>
                <c:pt idx="239">
                  <c:v>0.45400000000000001</c:v>
                </c:pt>
                <c:pt idx="240">
                  <c:v>0.49199999999999999</c:v>
                </c:pt>
                <c:pt idx="241">
                  <c:v>0.498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8+9'!$J$9</c:f>
              <c:strCache>
                <c:ptCount val="1"/>
                <c:pt idx="0">
                  <c:v>Italy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8+9'!$K$9:$IR$9</c:f>
              <c:numCache>
                <c:formatCode>0.0</c:formatCode>
                <c:ptCount val="242"/>
                <c:pt idx="0">
                  <c:v>1.395</c:v>
                </c:pt>
                <c:pt idx="1">
                  <c:v>1.806</c:v>
                </c:pt>
                <c:pt idx="2">
                  <c:v>1.5409999999999999</c:v>
                </c:pt>
                <c:pt idx="3">
                  <c:v>1.5659999999999998</c:v>
                </c:pt>
                <c:pt idx="4">
                  <c:v>1.605</c:v>
                </c:pt>
                <c:pt idx="5">
                  <c:v>1.7389999999999999</c:v>
                </c:pt>
                <c:pt idx="6">
                  <c:v>1.746</c:v>
                </c:pt>
                <c:pt idx="7">
                  <c:v>2.1019999999999999</c:v>
                </c:pt>
                <c:pt idx="8">
                  <c:v>2.149</c:v>
                </c:pt>
                <c:pt idx="9">
                  <c:v>2.3479999999999999</c:v>
                </c:pt>
                <c:pt idx="10">
                  <c:v>2.3580000000000001</c:v>
                </c:pt>
                <c:pt idx="11">
                  <c:v>2.67</c:v>
                </c:pt>
                <c:pt idx="12">
                  <c:v>2.5529999999999999</c:v>
                </c:pt>
                <c:pt idx="13">
                  <c:v>2.66</c:v>
                </c:pt>
                <c:pt idx="14">
                  <c:v>2.6829999999999998</c:v>
                </c:pt>
                <c:pt idx="15">
                  <c:v>2.5609999999999999</c:v>
                </c:pt>
                <c:pt idx="16">
                  <c:v>2.5840000000000001</c:v>
                </c:pt>
                <c:pt idx="17">
                  <c:v>2.6019999999999999</c:v>
                </c:pt>
                <c:pt idx="18">
                  <c:v>2.5409999999999999</c:v>
                </c:pt>
                <c:pt idx="19">
                  <c:v>2.4779999999999998</c:v>
                </c:pt>
                <c:pt idx="20">
                  <c:v>2.488</c:v>
                </c:pt>
                <c:pt idx="21">
                  <c:v>2.448</c:v>
                </c:pt>
                <c:pt idx="22">
                  <c:v>2.496</c:v>
                </c:pt>
                <c:pt idx="23">
                  <c:v>2.504</c:v>
                </c:pt>
                <c:pt idx="24">
                  <c:v>2.7330000000000001</c:v>
                </c:pt>
                <c:pt idx="25">
                  <c:v>2.847</c:v>
                </c:pt>
                <c:pt idx="26">
                  <c:v>2.7989999999999999</c:v>
                </c:pt>
                <c:pt idx="27">
                  <c:v>2.9580000000000002</c:v>
                </c:pt>
                <c:pt idx="28">
                  <c:v>2.7469999999999999</c:v>
                </c:pt>
                <c:pt idx="29">
                  <c:v>2.649</c:v>
                </c:pt>
                <c:pt idx="30">
                  <c:v>2.73</c:v>
                </c:pt>
                <c:pt idx="31">
                  <c:v>2.8540000000000001</c:v>
                </c:pt>
                <c:pt idx="32">
                  <c:v>2.899</c:v>
                </c:pt>
                <c:pt idx="33">
                  <c:v>2.742</c:v>
                </c:pt>
                <c:pt idx="34">
                  <c:v>2.831</c:v>
                </c:pt>
                <c:pt idx="35">
                  <c:v>2.9390000000000001</c:v>
                </c:pt>
                <c:pt idx="36">
                  <c:v>3.1320000000000001</c:v>
                </c:pt>
                <c:pt idx="37">
                  <c:v>3.2130000000000001</c:v>
                </c:pt>
                <c:pt idx="38">
                  <c:v>3.407</c:v>
                </c:pt>
                <c:pt idx="39">
                  <c:v>3.4910000000000001</c:v>
                </c:pt>
                <c:pt idx="40">
                  <c:v>3.403</c:v>
                </c:pt>
                <c:pt idx="41">
                  <c:v>3.3210000000000002</c:v>
                </c:pt>
                <c:pt idx="42">
                  <c:v>3.4460000000000002</c:v>
                </c:pt>
                <c:pt idx="43">
                  <c:v>3.4830000000000001</c:v>
                </c:pt>
                <c:pt idx="44">
                  <c:v>3.577</c:v>
                </c:pt>
                <c:pt idx="45">
                  <c:v>3.4239999999999999</c:v>
                </c:pt>
                <c:pt idx="46">
                  <c:v>3.1469999999999998</c:v>
                </c:pt>
                <c:pt idx="47">
                  <c:v>2.83</c:v>
                </c:pt>
                <c:pt idx="48">
                  <c:v>2.9820000000000002</c:v>
                </c:pt>
                <c:pt idx="49">
                  <c:v>3.0350000000000001</c:v>
                </c:pt>
                <c:pt idx="50">
                  <c:v>3.2359999999999998</c:v>
                </c:pt>
                <c:pt idx="51">
                  <c:v>3.1520000000000001</c:v>
                </c:pt>
                <c:pt idx="52">
                  <c:v>3.121</c:v>
                </c:pt>
                <c:pt idx="53">
                  <c:v>2.9929999999999999</c:v>
                </c:pt>
                <c:pt idx="54">
                  <c:v>2.927</c:v>
                </c:pt>
                <c:pt idx="55">
                  <c:v>2.7429999999999999</c:v>
                </c:pt>
                <c:pt idx="56">
                  <c:v>2.589</c:v>
                </c:pt>
                <c:pt idx="57">
                  <c:v>2.5510000000000002</c:v>
                </c:pt>
                <c:pt idx="58">
                  <c:v>2.7149999999999999</c:v>
                </c:pt>
                <c:pt idx="59">
                  <c:v>2.68</c:v>
                </c:pt>
                <c:pt idx="60">
                  <c:v>2.694</c:v>
                </c:pt>
                <c:pt idx="61">
                  <c:v>2.609</c:v>
                </c:pt>
                <c:pt idx="62">
                  <c:v>3.1310000000000002</c:v>
                </c:pt>
                <c:pt idx="63">
                  <c:v>2.6890000000000001</c:v>
                </c:pt>
                <c:pt idx="64">
                  <c:v>2.4609999999999999</c:v>
                </c:pt>
                <c:pt idx="65">
                  <c:v>2.2290000000000001</c:v>
                </c:pt>
                <c:pt idx="66">
                  <c:v>1.8719999999999999</c:v>
                </c:pt>
                <c:pt idx="67">
                  <c:v>1.7970000000000002</c:v>
                </c:pt>
                <c:pt idx="68">
                  <c:v>1.7410000000000001</c:v>
                </c:pt>
                <c:pt idx="69">
                  <c:v>1.778</c:v>
                </c:pt>
                <c:pt idx="70">
                  <c:v>1.7970000000000002</c:v>
                </c:pt>
                <c:pt idx="71">
                  <c:v>1.786</c:v>
                </c:pt>
                <c:pt idx="72">
                  <c:v>1.786</c:v>
                </c:pt>
                <c:pt idx="73">
                  <c:v>1.877</c:v>
                </c:pt>
                <c:pt idx="74">
                  <c:v>1.9830000000000001</c:v>
                </c:pt>
                <c:pt idx="75">
                  <c:v>2.0110000000000001</c:v>
                </c:pt>
                <c:pt idx="76">
                  <c:v>1.97</c:v>
                </c:pt>
                <c:pt idx="77">
                  <c:v>2.0670000000000002</c:v>
                </c:pt>
                <c:pt idx="78">
                  <c:v>1.9849999999999999</c:v>
                </c:pt>
                <c:pt idx="79">
                  <c:v>2.0489999999999999</c:v>
                </c:pt>
                <c:pt idx="80">
                  <c:v>2.0499999999999998</c:v>
                </c:pt>
                <c:pt idx="81">
                  <c:v>2.0070000000000001</c:v>
                </c:pt>
                <c:pt idx="82">
                  <c:v>1.9630000000000001</c:v>
                </c:pt>
                <c:pt idx="83">
                  <c:v>1.9830000000000001</c:v>
                </c:pt>
                <c:pt idx="84">
                  <c:v>2.0059999999999998</c:v>
                </c:pt>
                <c:pt idx="85">
                  <c:v>2.016</c:v>
                </c:pt>
                <c:pt idx="86">
                  <c:v>1.9119999999999999</c:v>
                </c:pt>
                <c:pt idx="87">
                  <c:v>1.8120000000000001</c:v>
                </c:pt>
                <c:pt idx="88">
                  <c:v>1.651</c:v>
                </c:pt>
                <c:pt idx="89">
                  <c:v>1.716</c:v>
                </c:pt>
                <c:pt idx="90">
                  <c:v>1.8109999999999999</c:v>
                </c:pt>
                <c:pt idx="91">
                  <c:v>1.8359999999999999</c:v>
                </c:pt>
                <c:pt idx="92">
                  <c:v>1.8460000000000001</c:v>
                </c:pt>
                <c:pt idx="93">
                  <c:v>1.792</c:v>
                </c:pt>
                <c:pt idx="94">
                  <c:v>1.95</c:v>
                </c:pt>
                <c:pt idx="95">
                  <c:v>2.0430000000000001</c:v>
                </c:pt>
                <c:pt idx="96">
                  <c:v>2.0840000000000001</c:v>
                </c:pt>
                <c:pt idx="97">
                  <c:v>2.1469999999999998</c:v>
                </c:pt>
                <c:pt idx="98">
                  <c:v>2.1110000000000002</c:v>
                </c:pt>
                <c:pt idx="99">
                  <c:v>2.1070000000000002</c:v>
                </c:pt>
                <c:pt idx="100">
                  <c:v>2.0779999999999998</c:v>
                </c:pt>
                <c:pt idx="101">
                  <c:v>1.9590000000000001</c:v>
                </c:pt>
                <c:pt idx="102">
                  <c:v>2.077</c:v>
                </c:pt>
                <c:pt idx="103">
                  <c:v>2.101</c:v>
                </c:pt>
                <c:pt idx="104">
                  <c:v>2.0329999999999999</c:v>
                </c:pt>
                <c:pt idx="105">
                  <c:v>2.0310000000000001</c:v>
                </c:pt>
                <c:pt idx="106">
                  <c:v>2.0219999999999998</c:v>
                </c:pt>
                <c:pt idx="107">
                  <c:v>2.1219999999999999</c:v>
                </c:pt>
                <c:pt idx="108">
                  <c:v>2.0720000000000001</c:v>
                </c:pt>
                <c:pt idx="109">
                  <c:v>2.29</c:v>
                </c:pt>
                <c:pt idx="110">
                  <c:v>2.343</c:v>
                </c:pt>
                <c:pt idx="111">
                  <c:v>2.1579999999999999</c:v>
                </c:pt>
                <c:pt idx="112">
                  <c:v>1.9159999999999999</c:v>
                </c:pt>
                <c:pt idx="113">
                  <c:v>1.986</c:v>
                </c:pt>
                <c:pt idx="114">
                  <c:v>2.0870000000000002</c:v>
                </c:pt>
                <c:pt idx="115">
                  <c:v>2.2610000000000001</c:v>
                </c:pt>
                <c:pt idx="116">
                  <c:v>2.1</c:v>
                </c:pt>
                <c:pt idx="117">
                  <c:v>2.137</c:v>
                </c:pt>
                <c:pt idx="118">
                  <c:v>2.2519999999999998</c:v>
                </c:pt>
                <c:pt idx="119">
                  <c:v>2.165</c:v>
                </c:pt>
                <c:pt idx="120">
                  <c:v>2.282</c:v>
                </c:pt>
                <c:pt idx="121">
                  <c:v>2.262</c:v>
                </c:pt>
                <c:pt idx="122">
                  <c:v>2.3170000000000002</c:v>
                </c:pt>
                <c:pt idx="123">
                  <c:v>2.2200000000000002</c:v>
                </c:pt>
                <c:pt idx="124">
                  <c:v>2.3180000000000001</c:v>
                </c:pt>
                <c:pt idx="125">
                  <c:v>2.2240000000000002</c:v>
                </c:pt>
                <c:pt idx="126">
                  <c:v>2.3570000000000002</c:v>
                </c:pt>
                <c:pt idx="127">
                  <c:v>2.367</c:v>
                </c:pt>
                <c:pt idx="128">
                  <c:v>2.1</c:v>
                </c:pt>
                <c:pt idx="129">
                  <c:v>2.1949999999999998</c:v>
                </c:pt>
                <c:pt idx="130">
                  <c:v>2.19</c:v>
                </c:pt>
                <c:pt idx="131">
                  <c:v>2.2709999999999999</c:v>
                </c:pt>
                <c:pt idx="132">
                  <c:v>2.2650000000000001</c:v>
                </c:pt>
                <c:pt idx="133">
                  <c:v>2.2269999999999999</c:v>
                </c:pt>
                <c:pt idx="134">
                  <c:v>2.0230000000000001</c:v>
                </c:pt>
                <c:pt idx="135">
                  <c:v>1.8959999999999999</c:v>
                </c:pt>
                <c:pt idx="136">
                  <c:v>1.9609999999999999</c:v>
                </c:pt>
                <c:pt idx="137">
                  <c:v>1.8149999999999999</c:v>
                </c:pt>
                <c:pt idx="138">
                  <c:v>1.8220000000000001</c:v>
                </c:pt>
                <c:pt idx="139">
                  <c:v>1.873</c:v>
                </c:pt>
                <c:pt idx="140">
                  <c:v>2.04</c:v>
                </c:pt>
                <c:pt idx="141">
                  <c:v>1.9020000000000001</c:v>
                </c:pt>
                <c:pt idx="142">
                  <c:v>2.0880000000000001</c:v>
                </c:pt>
                <c:pt idx="143">
                  <c:v>2.093</c:v>
                </c:pt>
                <c:pt idx="144">
                  <c:v>2.02</c:v>
                </c:pt>
                <c:pt idx="145">
                  <c:v>1.754</c:v>
                </c:pt>
                <c:pt idx="146">
                  <c:v>1.585</c:v>
                </c:pt>
                <c:pt idx="147">
                  <c:v>1.3740000000000001</c:v>
                </c:pt>
                <c:pt idx="148">
                  <c:v>1.38</c:v>
                </c:pt>
                <c:pt idx="149">
                  <c:v>1.383</c:v>
                </c:pt>
                <c:pt idx="150">
                  <c:v>1.1879999999999999</c:v>
                </c:pt>
                <c:pt idx="151">
                  <c:v>1.214</c:v>
                </c:pt>
                <c:pt idx="152">
                  <c:v>1.3420000000000001</c:v>
                </c:pt>
                <c:pt idx="153">
                  <c:v>1.248</c:v>
                </c:pt>
                <c:pt idx="154">
                  <c:v>1.171</c:v>
                </c:pt>
                <c:pt idx="155">
                  <c:v>1.1339999999999999</c:v>
                </c:pt>
                <c:pt idx="156">
                  <c:v>1.1339999999999999</c:v>
                </c:pt>
                <c:pt idx="157">
                  <c:v>1.042</c:v>
                </c:pt>
                <c:pt idx="158">
                  <c:v>1.137</c:v>
                </c:pt>
                <c:pt idx="159">
                  <c:v>1.169</c:v>
                </c:pt>
                <c:pt idx="160">
                  <c:v>1.234</c:v>
                </c:pt>
                <c:pt idx="161">
                  <c:v>1.2549999999999999</c:v>
                </c:pt>
                <c:pt idx="162">
                  <c:v>1.194</c:v>
                </c:pt>
                <c:pt idx="163">
                  <c:v>1.23</c:v>
                </c:pt>
                <c:pt idx="164">
                  <c:v>1.5569999999999999</c:v>
                </c:pt>
                <c:pt idx="165">
                  <c:v>1.512</c:v>
                </c:pt>
                <c:pt idx="166">
                  <c:v>1.383</c:v>
                </c:pt>
                <c:pt idx="167">
                  <c:v>1.333</c:v>
                </c:pt>
                <c:pt idx="168">
                  <c:v>1.355</c:v>
                </c:pt>
                <c:pt idx="169">
                  <c:v>1.472</c:v>
                </c:pt>
                <c:pt idx="170">
                  <c:v>1.4729999999999999</c:v>
                </c:pt>
                <c:pt idx="171">
                  <c:v>1.494</c:v>
                </c:pt>
                <c:pt idx="172">
                  <c:v>1.4889999999999999</c:v>
                </c:pt>
                <c:pt idx="173">
                  <c:v>1.474</c:v>
                </c:pt>
                <c:pt idx="174">
                  <c:v>1.3340000000000001</c:v>
                </c:pt>
                <c:pt idx="175">
                  <c:v>1.3109999999999999</c:v>
                </c:pt>
                <c:pt idx="176">
                  <c:v>1.22</c:v>
                </c:pt>
                <c:pt idx="177">
                  <c:v>1.302</c:v>
                </c:pt>
                <c:pt idx="178">
                  <c:v>1.2610000000000001</c:v>
                </c:pt>
                <c:pt idx="179">
                  <c:v>1.327</c:v>
                </c:pt>
                <c:pt idx="180">
                  <c:v>1.462</c:v>
                </c:pt>
                <c:pt idx="181">
                  <c:v>1.4729999999999999</c:v>
                </c:pt>
                <c:pt idx="182">
                  <c:v>1.5640000000000001</c:v>
                </c:pt>
                <c:pt idx="183">
                  <c:v>1.65</c:v>
                </c:pt>
                <c:pt idx="184">
                  <c:v>1.5550000000000002</c:v>
                </c:pt>
                <c:pt idx="185">
                  <c:v>1.415</c:v>
                </c:pt>
                <c:pt idx="186">
                  <c:v>1.5739999999999998</c:v>
                </c:pt>
                <c:pt idx="187">
                  <c:v>1.5659999999999998</c:v>
                </c:pt>
                <c:pt idx="188">
                  <c:v>1.528</c:v>
                </c:pt>
                <c:pt idx="189">
                  <c:v>1.5960000000000001</c:v>
                </c:pt>
                <c:pt idx="190">
                  <c:v>1.681</c:v>
                </c:pt>
                <c:pt idx="191">
                  <c:v>1.5720000000000001</c:v>
                </c:pt>
                <c:pt idx="192">
                  <c:v>1.5390000000000001</c:v>
                </c:pt>
                <c:pt idx="193">
                  <c:v>1.6539999999999999</c:v>
                </c:pt>
                <c:pt idx="194">
                  <c:v>1.4039999999999999</c:v>
                </c:pt>
                <c:pt idx="195">
                  <c:v>1.496</c:v>
                </c:pt>
                <c:pt idx="196">
                  <c:v>1.5640000000000001</c:v>
                </c:pt>
                <c:pt idx="197">
                  <c:v>1.7890000000000001</c:v>
                </c:pt>
                <c:pt idx="198">
                  <c:v>1.4809999999999999</c:v>
                </c:pt>
                <c:pt idx="199">
                  <c:v>1.4990000000000001</c:v>
                </c:pt>
                <c:pt idx="200">
                  <c:v>1.6040000000000001</c:v>
                </c:pt>
                <c:pt idx="201">
                  <c:v>1.694</c:v>
                </c:pt>
                <c:pt idx="202">
                  <c:v>1.6320000000000001</c:v>
                </c:pt>
                <c:pt idx="203">
                  <c:v>1.7949999999999999</c:v>
                </c:pt>
                <c:pt idx="204">
                  <c:v>1.7629999999999999</c:v>
                </c:pt>
                <c:pt idx="205">
                  <c:v>1.8340000000000001</c:v>
                </c:pt>
                <c:pt idx="206">
                  <c:v>1.8780000000000001</c:v>
                </c:pt>
                <c:pt idx="207">
                  <c:v>1.919</c:v>
                </c:pt>
                <c:pt idx="208">
                  <c:v>1.859</c:v>
                </c:pt>
                <c:pt idx="209">
                  <c:v>1.8140000000000001</c:v>
                </c:pt>
                <c:pt idx="210">
                  <c:v>1.833</c:v>
                </c:pt>
                <c:pt idx="211">
                  <c:v>1.772</c:v>
                </c:pt>
                <c:pt idx="212">
                  <c:v>1.8679999999999999</c:v>
                </c:pt>
                <c:pt idx="213">
                  <c:v>1.92</c:v>
                </c:pt>
                <c:pt idx="214">
                  <c:v>2.1339999999999999</c:v>
                </c:pt>
                <c:pt idx="215">
                  <c:v>2.2480000000000002</c:v>
                </c:pt>
                <c:pt idx="216">
                  <c:v>2.15</c:v>
                </c:pt>
                <c:pt idx="217">
                  <c:v>2.2810000000000001</c:v>
                </c:pt>
                <c:pt idx="218">
                  <c:v>2.214</c:v>
                </c:pt>
                <c:pt idx="219">
                  <c:v>2.242</c:v>
                </c:pt>
                <c:pt idx="220">
                  <c:v>1.8479999999999999</c:v>
                </c:pt>
                <c:pt idx="221">
                  <c:v>1.857</c:v>
                </c:pt>
                <c:pt idx="222">
                  <c:v>1.7709999999999999</c:v>
                </c:pt>
                <c:pt idx="223">
                  <c:v>1.6760000000000002</c:v>
                </c:pt>
                <c:pt idx="224">
                  <c:v>1.496</c:v>
                </c:pt>
                <c:pt idx="225">
                  <c:v>1.4430000000000001</c:v>
                </c:pt>
                <c:pt idx="226">
                  <c:v>1.478</c:v>
                </c:pt>
                <c:pt idx="227">
                  <c:v>1.266</c:v>
                </c:pt>
                <c:pt idx="228">
                  <c:v>1.3009999999999999</c:v>
                </c:pt>
                <c:pt idx="229">
                  <c:v>1.3540000000000001</c:v>
                </c:pt>
                <c:pt idx="230">
                  <c:v>1.204</c:v>
                </c:pt>
                <c:pt idx="231">
                  <c:v>1.149</c:v>
                </c:pt>
                <c:pt idx="232">
                  <c:v>1.3169999999999999</c:v>
                </c:pt>
                <c:pt idx="233">
                  <c:v>1.331</c:v>
                </c:pt>
                <c:pt idx="234">
                  <c:v>1.577</c:v>
                </c:pt>
                <c:pt idx="235">
                  <c:v>1.607</c:v>
                </c:pt>
                <c:pt idx="236">
                  <c:v>1.5779999999999998</c:v>
                </c:pt>
                <c:pt idx="237">
                  <c:v>1.5939999999999999</c:v>
                </c:pt>
                <c:pt idx="238">
                  <c:v>1.5270000000000001</c:v>
                </c:pt>
                <c:pt idx="239">
                  <c:v>1.6579999999999999</c:v>
                </c:pt>
                <c:pt idx="240">
                  <c:v>1.879</c:v>
                </c:pt>
                <c:pt idx="241">
                  <c:v>1.742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8+9'!$J$10</c:f>
              <c:strCache>
                <c:ptCount val="1"/>
                <c:pt idx="0">
                  <c:v>Slovakia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8+9'!$K$10:$IR$10</c:f>
              <c:numCache>
                <c:formatCode>0.0</c:formatCode>
                <c:ptCount val="242"/>
                <c:pt idx="0">
                  <c:v>-0.28000000000000003</c:v>
                </c:pt>
                <c:pt idx="1">
                  <c:v>-0.1</c:v>
                </c:pt>
                <c:pt idx="2">
                  <c:v>-0.08</c:v>
                </c:pt>
                <c:pt idx="3">
                  <c:v>0.02</c:v>
                </c:pt>
                <c:pt idx="4">
                  <c:v>0.05</c:v>
                </c:pt>
                <c:pt idx="5">
                  <c:v>0.16</c:v>
                </c:pt>
                <c:pt idx="6">
                  <c:v>0.06</c:v>
                </c:pt>
                <c:pt idx="7">
                  <c:v>0.17</c:v>
                </c:pt>
                <c:pt idx="8">
                  <c:v>0.23</c:v>
                </c:pt>
                <c:pt idx="9">
                  <c:v>0.26</c:v>
                </c:pt>
                <c:pt idx="10">
                  <c:v>0.28000000000000003</c:v>
                </c:pt>
                <c:pt idx="11">
                  <c:v>0.37</c:v>
                </c:pt>
                <c:pt idx="12">
                  <c:v>0.48</c:v>
                </c:pt>
                <c:pt idx="13">
                  <c:v>0.44</c:v>
                </c:pt>
                <c:pt idx="14">
                  <c:v>0.48</c:v>
                </c:pt>
                <c:pt idx="15">
                  <c:v>0.55000000000000004</c:v>
                </c:pt>
                <c:pt idx="16">
                  <c:v>0.49</c:v>
                </c:pt>
                <c:pt idx="17">
                  <c:v>0.59</c:v>
                </c:pt>
                <c:pt idx="18">
                  <c:v>0.59</c:v>
                </c:pt>
                <c:pt idx="19">
                  <c:v>0.63</c:v>
                </c:pt>
                <c:pt idx="20">
                  <c:v>0.56000000000000005</c:v>
                </c:pt>
                <c:pt idx="21">
                  <c:v>0.59</c:v>
                </c:pt>
                <c:pt idx="22">
                  <c:v>0.65</c:v>
                </c:pt>
                <c:pt idx="23">
                  <c:v>0.7</c:v>
                </c:pt>
                <c:pt idx="24">
                  <c:v>0.78</c:v>
                </c:pt>
                <c:pt idx="25">
                  <c:v>0.71</c:v>
                </c:pt>
                <c:pt idx="26">
                  <c:v>0.72</c:v>
                </c:pt>
                <c:pt idx="27">
                  <c:v>0.7</c:v>
                </c:pt>
                <c:pt idx="28">
                  <c:v>0.74</c:v>
                </c:pt>
                <c:pt idx="29">
                  <c:v>0.77</c:v>
                </c:pt>
                <c:pt idx="30">
                  <c:v>0.87</c:v>
                </c:pt>
                <c:pt idx="31">
                  <c:v>0.82</c:v>
                </c:pt>
                <c:pt idx="32">
                  <c:v>0.78</c:v>
                </c:pt>
                <c:pt idx="33">
                  <c:v>0.85</c:v>
                </c:pt>
                <c:pt idx="34">
                  <c:v>0.82</c:v>
                </c:pt>
                <c:pt idx="35">
                  <c:v>0.89</c:v>
                </c:pt>
                <c:pt idx="36">
                  <c:v>0.85</c:v>
                </c:pt>
                <c:pt idx="37">
                  <c:v>0.86</c:v>
                </c:pt>
                <c:pt idx="38">
                  <c:v>0.92</c:v>
                </c:pt>
                <c:pt idx="39">
                  <c:v>0.89</c:v>
                </c:pt>
                <c:pt idx="40">
                  <c:v>0.97</c:v>
                </c:pt>
                <c:pt idx="41">
                  <c:v>0.93</c:v>
                </c:pt>
                <c:pt idx="42">
                  <c:v>0.96</c:v>
                </c:pt>
                <c:pt idx="43">
                  <c:v>1.02</c:v>
                </c:pt>
                <c:pt idx="44">
                  <c:v>1</c:v>
                </c:pt>
                <c:pt idx="45">
                  <c:v>1.05</c:v>
                </c:pt>
                <c:pt idx="46">
                  <c:v>0.93</c:v>
                </c:pt>
                <c:pt idx="47">
                  <c:v>0.94</c:v>
                </c:pt>
                <c:pt idx="48">
                  <c:v>0.86</c:v>
                </c:pt>
                <c:pt idx="49">
                  <c:v>0.89</c:v>
                </c:pt>
                <c:pt idx="50">
                  <c:v>0.81</c:v>
                </c:pt>
                <c:pt idx="51">
                  <c:v>0.83</c:v>
                </c:pt>
                <c:pt idx="52">
                  <c:v>0.89</c:v>
                </c:pt>
                <c:pt idx="53">
                  <c:v>0.82</c:v>
                </c:pt>
                <c:pt idx="54">
                  <c:v>0.92</c:v>
                </c:pt>
                <c:pt idx="55">
                  <c:v>0.85</c:v>
                </c:pt>
                <c:pt idx="56">
                  <c:v>0.89</c:v>
                </c:pt>
                <c:pt idx="57">
                  <c:v>0.85</c:v>
                </c:pt>
                <c:pt idx="58">
                  <c:v>0.86</c:v>
                </c:pt>
                <c:pt idx="59">
                  <c:v>0.88</c:v>
                </c:pt>
                <c:pt idx="60">
                  <c:v>0.9</c:v>
                </c:pt>
                <c:pt idx="61">
                  <c:v>1.01</c:v>
                </c:pt>
                <c:pt idx="62">
                  <c:v>1.01</c:v>
                </c:pt>
                <c:pt idx="63">
                  <c:v>0.97</c:v>
                </c:pt>
                <c:pt idx="64">
                  <c:v>0.96</c:v>
                </c:pt>
                <c:pt idx="65">
                  <c:v>1.03</c:v>
                </c:pt>
                <c:pt idx="66">
                  <c:v>1.04</c:v>
                </c:pt>
                <c:pt idx="67">
                  <c:v>0.98</c:v>
                </c:pt>
                <c:pt idx="68">
                  <c:v>1.04</c:v>
                </c:pt>
                <c:pt idx="69">
                  <c:v>1</c:v>
                </c:pt>
                <c:pt idx="70">
                  <c:v>0.96</c:v>
                </c:pt>
                <c:pt idx="71">
                  <c:v>0.97</c:v>
                </c:pt>
                <c:pt idx="72">
                  <c:v>1.04</c:v>
                </c:pt>
                <c:pt idx="73">
                  <c:v>1.03</c:v>
                </c:pt>
                <c:pt idx="74">
                  <c:v>1.07</c:v>
                </c:pt>
                <c:pt idx="75">
                  <c:v>1.1200000000000001</c:v>
                </c:pt>
                <c:pt idx="76">
                  <c:v>1.1299999999999999</c:v>
                </c:pt>
                <c:pt idx="77">
                  <c:v>1.1499999999999999</c:v>
                </c:pt>
                <c:pt idx="78">
                  <c:v>1.18</c:v>
                </c:pt>
                <c:pt idx="79">
                  <c:v>1.18</c:v>
                </c:pt>
                <c:pt idx="80">
                  <c:v>1.18</c:v>
                </c:pt>
                <c:pt idx="81">
                  <c:v>1.07</c:v>
                </c:pt>
                <c:pt idx="82">
                  <c:v>1.02</c:v>
                </c:pt>
                <c:pt idx="83">
                  <c:v>1.03</c:v>
                </c:pt>
                <c:pt idx="84">
                  <c:v>0.95</c:v>
                </c:pt>
                <c:pt idx="85">
                  <c:v>0.95</c:v>
                </c:pt>
                <c:pt idx="86">
                  <c:v>0.96</c:v>
                </c:pt>
                <c:pt idx="87">
                  <c:v>0.85</c:v>
                </c:pt>
                <c:pt idx="88">
                  <c:v>0.82</c:v>
                </c:pt>
                <c:pt idx="89">
                  <c:v>0.88</c:v>
                </c:pt>
                <c:pt idx="90">
                  <c:v>0.93</c:v>
                </c:pt>
                <c:pt idx="91">
                  <c:v>0.94</c:v>
                </c:pt>
                <c:pt idx="92">
                  <c:v>0.98</c:v>
                </c:pt>
                <c:pt idx="93">
                  <c:v>0.94</c:v>
                </c:pt>
                <c:pt idx="94">
                  <c:v>0.99</c:v>
                </c:pt>
                <c:pt idx="95">
                  <c:v>1.01</c:v>
                </c:pt>
                <c:pt idx="96">
                  <c:v>0.98</c:v>
                </c:pt>
                <c:pt idx="97">
                  <c:v>1.02</c:v>
                </c:pt>
                <c:pt idx="98">
                  <c:v>1.01</c:v>
                </c:pt>
                <c:pt idx="99">
                  <c:v>1.01</c:v>
                </c:pt>
                <c:pt idx="100">
                  <c:v>1.01</c:v>
                </c:pt>
                <c:pt idx="101">
                  <c:v>0.9</c:v>
                </c:pt>
                <c:pt idx="102">
                  <c:v>0.93</c:v>
                </c:pt>
                <c:pt idx="103">
                  <c:v>0.93</c:v>
                </c:pt>
                <c:pt idx="104">
                  <c:v>0.95</c:v>
                </c:pt>
                <c:pt idx="105">
                  <c:v>0.94</c:v>
                </c:pt>
                <c:pt idx="106">
                  <c:v>1.01</c:v>
                </c:pt>
                <c:pt idx="107">
                  <c:v>1.07</c:v>
                </c:pt>
                <c:pt idx="108">
                  <c:v>1.01</c:v>
                </c:pt>
                <c:pt idx="109">
                  <c:v>1.0900000000000001</c:v>
                </c:pt>
                <c:pt idx="110">
                  <c:v>1.1299999999999999</c:v>
                </c:pt>
                <c:pt idx="111">
                  <c:v>1.05</c:v>
                </c:pt>
                <c:pt idx="112">
                  <c:v>0.88</c:v>
                </c:pt>
                <c:pt idx="113">
                  <c:v>0.92</c:v>
                </c:pt>
                <c:pt idx="114">
                  <c:v>0.9</c:v>
                </c:pt>
                <c:pt idx="115">
                  <c:v>0.93</c:v>
                </c:pt>
                <c:pt idx="116">
                  <c:v>0.95</c:v>
                </c:pt>
                <c:pt idx="117">
                  <c:v>1.01</c:v>
                </c:pt>
                <c:pt idx="118">
                  <c:v>1.03</c:v>
                </c:pt>
                <c:pt idx="119">
                  <c:v>1.06</c:v>
                </c:pt>
                <c:pt idx="120">
                  <c:v>1.01</c:v>
                </c:pt>
                <c:pt idx="121">
                  <c:v>1</c:v>
                </c:pt>
                <c:pt idx="122">
                  <c:v>0.93</c:v>
                </c:pt>
                <c:pt idx="123">
                  <c:v>0.96</c:v>
                </c:pt>
                <c:pt idx="124">
                  <c:v>1.03</c:v>
                </c:pt>
                <c:pt idx="125">
                  <c:v>1.1000000000000001</c:v>
                </c:pt>
                <c:pt idx="126">
                  <c:v>1.1200000000000001</c:v>
                </c:pt>
                <c:pt idx="127">
                  <c:v>1.18</c:v>
                </c:pt>
                <c:pt idx="128">
                  <c:v>1.08</c:v>
                </c:pt>
                <c:pt idx="129">
                  <c:v>0.95</c:v>
                </c:pt>
                <c:pt idx="130">
                  <c:v>1.03</c:v>
                </c:pt>
                <c:pt idx="131">
                  <c:v>1</c:v>
                </c:pt>
                <c:pt idx="132">
                  <c:v>1.03</c:v>
                </c:pt>
                <c:pt idx="133">
                  <c:v>1.04</c:v>
                </c:pt>
                <c:pt idx="134">
                  <c:v>1.01</c:v>
                </c:pt>
                <c:pt idx="135">
                  <c:v>0.92</c:v>
                </c:pt>
                <c:pt idx="136">
                  <c:v>0.92</c:v>
                </c:pt>
                <c:pt idx="137">
                  <c:v>0.81</c:v>
                </c:pt>
                <c:pt idx="138">
                  <c:v>0.84</c:v>
                </c:pt>
                <c:pt idx="139">
                  <c:v>0.92</c:v>
                </c:pt>
                <c:pt idx="140">
                  <c:v>0.94</c:v>
                </c:pt>
                <c:pt idx="141">
                  <c:v>0.87</c:v>
                </c:pt>
                <c:pt idx="142">
                  <c:v>0.82</c:v>
                </c:pt>
                <c:pt idx="143">
                  <c:v>0.76</c:v>
                </c:pt>
                <c:pt idx="144">
                  <c:v>0.7</c:v>
                </c:pt>
                <c:pt idx="145">
                  <c:v>0.51</c:v>
                </c:pt>
                <c:pt idx="146">
                  <c:v>0.5</c:v>
                </c:pt>
                <c:pt idx="147">
                  <c:v>0.39</c:v>
                </c:pt>
                <c:pt idx="148">
                  <c:v>0.41</c:v>
                </c:pt>
                <c:pt idx="149">
                  <c:v>0.37</c:v>
                </c:pt>
                <c:pt idx="150">
                  <c:v>0.24</c:v>
                </c:pt>
                <c:pt idx="151">
                  <c:v>0.28000000000000003</c:v>
                </c:pt>
                <c:pt idx="152">
                  <c:v>0.33</c:v>
                </c:pt>
                <c:pt idx="153">
                  <c:v>0.3</c:v>
                </c:pt>
                <c:pt idx="154">
                  <c:v>0.28000000000000003</c:v>
                </c:pt>
                <c:pt idx="155">
                  <c:v>0.26</c:v>
                </c:pt>
                <c:pt idx="156">
                  <c:v>0.28999999999999998</c:v>
                </c:pt>
                <c:pt idx="157">
                  <c:v>0.25</c:v>
                </c:pt>
                <c:pt idx="158">
                  <c:v>0.3</c:v>
                </c:pt>
                <c:pt idx="159">
                  <c:v>0.3</c:v>
                </c:pt>
                <c:pt idx="160">
                  <c:v>0.42</c:v>
                </c:pt>
                <c:pt idx="161">
                  <c:v>0.43</c:v>
                </c:pt>
                <c:pt idx="162">
                  <c:v>0.37</c:v>
                </c:pt>
                <c:pt idx="163">
                  <c:v>0.47</c:v>
                </c:pt>
                <c:pt idx="164">
                  <c:v>0.63</c:v>
                </c:pt>
                <c:pt idx="165">
                  <c:v>0.59</c:v>
                </c:pt>
                <c:pt idx="166">
                  <c:v>0.6</c:v>
                </c:pt>
                <c:pt idx="167">
                  <c:v>0.64</c:v>
                </c:pt>
                <c:pt idx="168">
                  <c:v>0.7</c:v>
                </c:pt>
                <c:pt idx="169">
                  <c:v>0.72</c:v>
                </c:pt>
                <c:pt idx="170">
                  <c:v>0.69</c:v>
                </c:pt>
                <c:pt idx="171">
                  <c:v>0.66</c:v>
                </c:pt>
                <c:pt idx="172">
                  <c:v>0.74</c:v>
                </c:pt>
                <c:pt idx="173">
                  <c:v>0.67</c:v>
                </c:pt>
                <c:pt idx="174">
                  <c:v>0.59</c:v>
                </c:pt>
                <c:pt idx="175">
                  <c:v>0.56000000000000005</c:v>
                </c:pt>
                <c:pt idx="176">
                  <c:v>0.59</c:v>
                </c:pt>
                <c:pt idx="177">
                  <c:v>0.61</c:v>
                </c:pt>
                <c:pt idx="178">
                  <c:v>0.57999999999999996</c:v>
                </c:pt>
                <c:pt idx="179">
                  <c:v>0.63</c:v>
                </c:pt>
                <c:pt idx="180">
                  <c:v>0.61</c:v>
                </c:pt>
                <c:pt idx="181">
                  <c:v>0.57999999999999996</c:v>
                </c:pt>
                <c:pt idx="182">
                  <c:v>0.62</c:v>
                </c:pt>
                <c:pt idx="183">
                  <c:v>0.69</c:v>
                </c:pt>
                <c:pt idx="184">
                  <c:v>0.74</c:v>
                </c:pt>
                <c:pt idx="185">
                  <c:v>0.78</c:v>
                </c:pt>
                <c:pt idx="186">
                  <c:v>0.91</c:v>
                </c:pt>
                <c:pt idx="187">
                  <c:v>0.92</c:v>
                </c:pt>
                <c:pt idx="188">
                  <c:v>0.83</c:v>
                </c:pt>
                <c:pt idx="189">
                  <c:v>0.94</c:v>
                </c:pt>
                <c:pt idx="191">
                  <c:v>0.81</c:v>
                </c:pt>
                <c:pt idx="192">
                  <c:v>0.8</c:v>
                </c:pt>
                <c:pt idx="193">
                  <c:v>0.89</c:v>
                </c:pt>
                <c:pt idx="194">
                  <c:v>0.77</c:v>
                </c:pt>
                <c:pt idx="195">
                  <c:v>0.81</c:v>
                </c:pt>
                <c:pt idx="196">
                  <c:v>0.89</c:v>
                </c:pt>
                <c:pt idx="197">
                  <c:v>0.91</c:v>
                </c:pt>
                <c:pt idx="198">
                  <c:v>0.86</c:v>
                </c:pt>
                <c:pt idx="199">
                  <c:v>0.84</c:v>
                </c:pt>
                <c:pt idx="200">
                  <c:v>0.87</c:v>
                </c:pt>
                <c:pt idx="201">
                  <c:v>0.92</c:v>
                </c:pt>
                <c:pt idx="202">
                  <c:v>0.89</c:v>
                </c:pt>
                <c:pt idx="203">
                  <c:v>0.96</c:v>
                </c:pt>
                <c:pt idx="204">
                  <c:v>0.97</c:v>
                </c:pt>
                <c:pt idx="205">
                  <c:v>0.97</c:v>
                </c:pt>
                <c:pt idx="206">
                  <c:v>0.99</c:v>
                </c:pt>
                <c:pt idx="207">
                  <c:v>1.03</c:v>
                </c:pt>
                <c:pt idx="208">
                  <c:v>0.93</c:v>
                </c:pt>
                <c:pt idx="209">
                  <c:v>0.96</c:v>
                </c:pt>
                <c:pt idx="210">
                  <c:v>1.01</c:v>
                </c:pt>
                <c:pt idx="211">
                  <c:v>1.01</c:v>
                </c:pt>
                <c:pt idx="212">
                  <c:v>1.0900000000000001</c:v>
                </c:pt>
                <c:pt idx="213">
                  <c:v>1.21</c:v>
                </c:pt>
                <c:pt idx="214">
                  <c:v>1.37</c:v>
                </c:pt>
                <c:pt idx="215">
                  <c:v>1.4</c:v>
                </c:pt>
                <c:pt idx="216">
                  <c:v>1.48</c:v>
                </c:pt>
                <c:pt idx="217">
                  <c:v>1.44</c:v>
                </c:pt>
                <c:pt idx="218">
                  <c:v>1.4</c:v>
                </c:pt>
                <c:pt idx="219">
                  <c:v>1.17</c:v>
                </c:pt>
                <c:pt idx="220">
                  <c:v>0.85</c:v>
                </c:pt>
                <c:pt idx="221">
                  <c:v>0.91</c:v>
                </c:pt>
                <c:pt idx="222">
                  <c:v>0.9</c:v>
                </c:pt>
                <c:pt idx="225">
                  <c:v>0.44</c:v>
                </c:pt>
                <c:pt idx="226">
                  <c:v>0.41</c:v>
                </c:pt>
                <c:pt idx="227">
                  <c:v>0.5</c:v>
                </c:pt>
                <c:pt idx="229">
                  <c:v>0.52</c:v>
                </c:pt>
                <c:pt idx="230">
                  <c:v>0.52</c:v>
                </c:pt>
                <c:pt idx="231">
                  <c:v>0.54</c:v>
                </c:pt>
                <c:pt idx="232">
                  <c:v>0.75</c:v>
                </c:pt>
                <c:pt idx="233">
                  <c:v>0.77</c:v>
                </c:pt>
                <c:pt idx="234">
                  <c:v>0.94</c:v>
                </c:pt>
                <c:pt idx="235">
                  <c:v>0.93</c:v>
                </c:pt>
                <c:pt idx="236">
                  <c:v>0.83</c:v>
                </c:pt>
                <c:pt idx="237">
                  <c:v>0.79</c:v>
                </c:pt>
                <c:pt idx="238">
                  <c:v>0.95</c:v>
                </c:pt>
                <c:pt idx="239">
                  <c:v>0.93</c:v>
                </c:pt>
                <c:pt idx="240">
                  <c:v>1.35</c:v>
                </c:pt>
                <c:pt idx="241">
                  <c:v>1.42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'Graf 8+9'!$J$11</c:f>
              <c:strCache>
                <c:ptCount val="1"/>
                <c:pt idx="0">
                  <c:v>Czechia</c:v>
                </c:pt>
              </c:strCache>
            </c:strRef>
          </c:tx>
          <c:spPr>
            <a:ln w="19050">
              <a:solidFill>
                <a:srgbClr val="D3BEDE"/>
              </a:solidFill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8+9'!$K$11:$IR$11</c:f>
              <c:numCache>
                <c:formatCode>0.0</c:formatCode>
                <c:ptCount val="242"/>
                <c:pt idx="0">
                  <c:v>0.93200000000000005</c:v>
                </c:pt>
                <c:pt idx="1">
                  <c:v>0.96</c:v>
                </c:pt>
                <c:pt idx="2">
                  <c:v>1.1120000000000001</c:v>
                </c:pt>
                <c:pt idx="3">
                  <c:v>1.3559999999999999</c:v>
                </c:pt>
                <c:pt idx="4">
                  <c:v>1.49</c:v>
                </c:pt>
                <c:pt idx="5">
                  <c:v>1.4689999999999999</c:v>
                </c:pt>
                <c:pt idx="6">
                  <c:v>1.452</c:v>
                </c:pt>
                <c:pt idx="7">
                  <c:v>1.512</c:v>
                </c:pt>
                <c:pt idx="8">
                  <c:v>1.5529999999999999</c:v>
                </c:pt>
                <c:pt idx="9">
                  <c:v>1.625</c:v>
                </c:pt>
                <c:pt idx="10">
                  <c:v>1.659</c:v>
                </c:pt>
                <c:pt idx="11">
                  <c:v>1.704</c:v>
                </c:pt>
                <c:pt idx="12">
                  <c:v>1.821</c:v>
                </c:pt>
                <c:pt idx="13">
                  <c:v>1.8580000000000001</c:v>
                </c:pt>
                <c:pt idx="14">
                  <c:v>2.0030000000000001</c:v>
                </c:pt>
                <c:pt idx="15">
                  <c:v>2.0099999999999998</c:v>
                </c:pt>
                <c:pt idx="16">
                  <c:v>1.9359999999999999</c:v>
                </c:pt>
                <c:pt idx="17">
                  <c:v>1.9569999999999999</c:v>
                </c:pt>
                <c:pt idx="18">
                  <c:v>1.954</c:v>
                </c:pt>
                <c:pt idx="19">
                  <c:v>1.96</c:v>
                </c:pt>
                <c:pt idx="20">
                  <c:v>1.9180000000000001</c:v>
                </c:pt>
                <c:pt idx="21">
                  <c:v>1.9409999999999998</c:v>
                </c:pt>
                <c:pt idx="22">
                  <c:v>1.927</c:v>
                </c:pt>
                <c:pt idx="23">
                  <c:v>1.8980000000000001</c:v>
                </c:pt>
                <c:pt idx="24">
                  <c:v>1.97</c:v>
                </c:pt>
                <c:pt idx="25">
                  <c:v>1.9300000000000002</c:v>
                </c:pt>
                <c:pt idx="26">
                  <c:v>1.974</c:v>
                </c:pt>
                <c:pt idx="27">
                  <c:v>1.8399999999999999</c:v>
                </c:pt>
                <c:pt idx="28">
                  <c:v>1.7909999999999999</c:v>
                </c:pt>
                <c:pt idx="29">
                  <c:v>1.841</c:v>
                </c:pt>
                <c:pt idx="30">
                  <c:v>1.8620000000000001</c:v>
                </c:pt>
                <c:pt idx="31">
                  <c:v>1.855</c:v>
                </c:pt>
                <c:pt idx="32">
                  <c:v>1.7829999999999999</c:v>
                </c:pt>
                <c:pt idx="33">
                  <c:v>1.9430000000000001</c:v>
                </c:pt>
                <c:pt idx="34">
                  <c:v>1.98</c:v>
                </c:pt>
                <c:pt idx="35">
                  <c:v>2.0049999999999999</c:v>
                </c:pt>
                <c:pt idx="36">
                  <c:v>2.0219999999999998</c:v>
                </c:pt>
                <c:pt idx="37">
                  <c:v>2.0609999999999999</c:v>
                </c:pt>
                <c:pt idx="38">
                  <c:v>2.0910000000000002</c:v>
                </c:pt>
                <c:pt idx="39">
                  <c:v>2.0819999999999999</c:v>
                </c:pt>
                <c:pt idx="40">
                  <c:v>2.109</c:v>
                </c:pt>
                <c:pt idx="41">
                  <c:v>2.1310000000000002</c:v>
                </c:pt>
                <c:pt idx="42">
                  <c:v>2.1619999999999999</c:v>
                </c:pt>
                <c:pt idx="43">
                  <c:v>2.17</c:v>
                </c:pt>
                <c:pt idx="44">
                  <c:v>2.1549999999999998</c:v>
                </c:pt>
                <c:pt idx="45">
                  <c:v>2.1480000000000001</c:v>
                </c:pt>
                <c:pt idx="46">
                  <c:v>2.1869999999999998</c:v>
                </c:pt>
                <c:pt idx="47">
                  <c:v>2.2010000000000001</c:v>
                </c:pt>
                <c:pt idx="48">
                  <c:v>2.1640000000000001</c:v>
                </c:pt>
                <c:pt idx="49">
                  <c:v>2.1179999999999999</c:v>
                </c:pt>
                <c:pt idx="50">
                  <c:v>2.1160000000000001</c:v>
                </c:pt>
                <c:pt idx="51">
                  <c:v>2.133</c:v>
                </c:pt>
                <c:pt idx="52">
                  <c:v>2.1890000000000001</c:v>
                </c:pt>
                <c:pt idx="53">
                  <c:v>2.206</c:v>
                </c:pt>
                <c:pt idx="54">
                  <c:v>2.198</c:v>
                </c:pt>
                <c:pt idx="55">
                  <c:v>2.1640000000000001</c:v>
                </c:pt>
                <c:pt idx="56">
                  <c:v>2.09</c:v>
                </c:pt>
                <c:pt idx="57">
                  <c:v>2.1619999999999999</c:v>
                </c:pt>
                <c:pt idx="58">
                  <c:v>2.1749999999999998</c:v>
                </c:pt>
                <c:pt idx="59">
                  <c:v>2.1880000000000002</c:v>
                </c:pt>
                <c:pt idx="60">
                  <c:v>2.214</c:v>
                </c:pt>
                <c:pt idx="61">
                  <c:v>2.11</c:v>
                </c:pt>
                <c:pt idx="62">
                  <c:v>2.0609999999999999</c:v>
                </c:pt>
                <c:pt idx="63">
                  <c:v>1.946</c:v>
                </c:pt>
                <c:pt idx="64">
                  <c:v>1.9750000000000001</c:v>
                </c:pt>
                <c:pt idx="65">
                  <c:v>1.877</c:v>
                </c:pt>
                <c:pt idx="66">
                  <c:v>1.857</c:v>
                </c:pt>
                <c:pt idx="67">
                  <c:v>1.7290000000000001</c:v>
                </c:pt>
                <c:pt idx="68">
                  <c:v>1.746</c:v>
                </c:pt>
                <c:pt idx="69">
                  <c:v>1.7429999999999999</c:v>
                </c:pt>
                <c:pt idx="70">
                  <c:v>1.786</c:v>
                </c:pt>
                <c:pt idx="71">
                  <c:v>1.8380000000000001</c:v>
                </c:pt>
                <c:pt idx="72">
                  <c:v>1.8759999999999999</c:v>
                </c:pt>
                <c:pt idx="73">
                  <c:v>1.931</c:v>
                </c:pt>
                <c:pt idx="74">
                  <c:v>1.9319999999999999</c:v>
                </c:pt>
                <c:pt idx="75">
                  <c:v>1.9470000000000001</c:v>
                </c:pt>
                <c:pt idx="76">
                  <c:v>1.9060000000000001</c:v>
                </c:pt>
                <c:pt idx="77">
                  <c:v>1.895</c:v>
                </c:pt>
                <c:pt idx="78">
                  <c:v>1.9039999999999999</c:v>
                </c:pt>
                <c:pt idx="79">
                  <c:v>1.9020000000000001</c:v>
                </c:pt>
                <c:pt idx="80">
                  <c:v>1.9529999999999998</c:v>
                </c:pt>
                <c:pt idx="81">
                  <c:v>1.956</c:v>
                </c:pt>
                <c:pt idx="82">
                  <c:v>1.9159999999999999</c:v>
                </c:pt>
                <c:pt idx="83">
                  <c:v>1.9020000000000001</c:v>
                </c:pt>
                <c:pt idx="84">
                  <c:v>1.8380000000000001</c:v>
                </c:pt>
                <c:pt idx="85">
                  <c:v>1.7210000000000001</c:v>
                </c:pt>
                <c:pt idx="86">
                  <c:v>1.6659999999999999</c:v>
                </c:pt>
                <c:pt idx="87">
                  <c:v>1.665</c:v>
                </c:pt>
                <c:pt idx="88">
                  <c:v>1.629</c:v>
                </c:pt>
                <c:pt idx="89">
                  <c:v>1.673</c:v>
                </c:pt>
                <c:pt idx="90">
                  <c:v>1.917</c:v>
                </c:pt>
                <c:pt idx="91">
                  <c:v>1.891</c:v>
                </c:pt>
                <c:pt idx="92">
                  <c:v>1.8260000000000001</c:v>
                </c:pt>
                <c:pt idx="93">
                  <c:v>1.647</c:v>
                </c:pt>
                <c:pt idx="94">
                  <c:v>1.7210000000000001</c:v>
                </c:pt>
                <c:pt idx="95">
                  <c:v>1.6520000000000001</c:v>
                </c:pt>
                <c:pt idx="96">
                  <c:v>1.446</c:v>
                </c:pt>
                <c:pt idx="97">
                  <c:v>1.4550000000000001</c:v>
                </c:pt>
                <c:pt idx="98">
                  <c:v>1.341</c:v>
                </c:pt>
                <c:pt idx="99">
                  <c:v>1.214</c:v>
                </c:pt>
                <c:pt idx="100">
                  <c:v>1.133</c:v>
                </c:pt>
                <c:pt idx="101">
                  <c:v>1.014</c:v>
                </c:pt>
                <c:pt idx="102">
                  <c:v>1.012</c:v>
                </c:pt>
                <c:pt idx="103">
                  <c:v>0.98899999999999999</c:v>
                </c:pt>
                <c:pt idx="104">
                  <c:v>0.98799999999999999</c:v>
                </c:pt>
                <c:pt idx="105">
                  <c:v>1.01</c:v>
                </c:pt>
                <c:pt idx="106">
                  <c:v>1.073</c:v>
                </c:pt>
                <c:pt idx="107">
                  <c:v>1.024</c:v>
                </c:pt>
                <c:pt idx="108">
                  <c:v>1.0109999999999999</c:v>
                </c:pt>
                <c:pt idx="109">
                  <c:v>1.008</c:v>
                </c:pt>
                <c:pt idx="110">
                  <c:v>1.244</c:v>
                </c:pt>
                <c:pt idx="111">
                  <c:v>1.0880000000000001</c:v>
                </c:pt>
                <c:pt idx="112">
                  <c:v>0.98099999999999998</c:v>
                </c:pt>
                <c:pt idx="113">
                  <c:v>0.95799999999999996</c:v>
                </c:pt>
                <c:pt idx="114">
                  <c:v>0.85299999999999998</c:v>
                </c:pt>
                <c:pt idx="115">
                  <c:v>0.81</c:v>
                </c:pt>
                <c:pt idx="116">
                  <c:v>0.86</c:v>
                </c:pt>
                <c:pt idx="117">
                  <c:v>0.95799999999999996</c:v>
                </c:pt>
                <c:pt idx="118">
                  <c:v>0.91200000000000003</c:v>
                </c:pt>
                <c:pt idx="119">
                  <c:v>0.63100000000000001</c:v>
                </c:pt>
                <c:pt idx="120">
                  <c:v>0.79</c:v>
                </c:pt>
                <c:pt idx="121">
                  <c:v>0.89900000000000002</c:v>
                </c:pt>
                <c:pt idx="122">
                  <c:v>0.93100000000000005</c:v>
                </c:pt>
                <c:pt idx="123">
                  <c:v>0.95299999999999996</c:v>
                </c:pt>
                <c:pt idx="124">
                  <c:v>0.89700000000000002</c:v>
                </c:pt>
                <c:pt idx="125">
                  <c:v>0.96399999999999997</c:v>
                </c:pt>
                <c:pt idx="126">
                  <c:v>0.93300000000000005</c:v>
                </c:pt>
                <c:pt idx="127">
                  <c:v>0.73099999999999998</c:v>
                </c:pt>
                <c:pt idx="128">
                  <c:v>0.625</c:v>
                </c:pt>
                <c:pt idx="129">
                  <c:v>0.6</c:v>
                </c:pt>
                <c:pt idx="130">
                  <c:v>0.623</c:v>
                </c:pt>
                <c:pt idx="131">
                  <c:v>0.504</c:v>
                </c:pt>
                <c:pt idx="132">
                  <c:v>0.45</c:v>
                </c:pt>
                <c:pt idx="133">
                  <c:v>0.44700000000000001</c:v>
                </c:pt>
                <c:pt idx="134">
                  <c:v>0.41699999999999998</c:v>
                </c:pt>
                <c:pt idx="135">
                  <c:v>0.35099999999999998</c:v>
                </c:pt>
                <c:pt idx="136">
                  <c:v>0.503</c:v>
                </c:pt>
                <c:pt idx="137">
                  <c:v>0.434</c:v>
                </c:pt>
                <c:pt idx="138">
                  <c:v>0.45300000000000001</c:v>
                </c:pt>
                <c:pt idx="139">
                  <c:v>0.501</c:v>
                </c:pt>
                <c:pt idx="140">
                  <c:v>0.53900000000000003</c:v>
                </c:pt>
                <c:pt idx="141">
                  <c:v>0.55000000000000004</c:v>
                </c:pt>
                <c:pt idx="142">
                  <c:v>0.55700000000000005</c:v>
                </c:pt>
                <c:pt idx="143">
                  <c:v>0.58399999999999996</c:v>
                </c:pt>
                <c:pt idx="144">
                  <c:v>0.58199999999999996</c:v>
                </c:pt>
                <c:pt idx="145">
                  <c:v>0.49199999999999999</c:v>
                </c:pt>
                <c:pt idx="146">
                  <c:v>0.48299999999999998</c:v>
                </c:pt>
                <c:pt idx="147">
                  <c:v>0.42599999999999999</c:v>
                </c:pt>
                <c:pt idx="148">
                  <c:v>0.34</c:v>
                </c:pt>
                <c:pt idx="149">
                  <c:v>0.34200000000000003</c:v>
                </c:pt>
                <c:pt idx="150">
                  <c:v>0.26400000000000001</c:v>
                </c:pt>
                <c:pt idx="151">
                  <c:v>0.27100000000000002</c:v>
                </c:pt>
                <c:pt idx="152">
                  <c:v>0.30599999999999999</c:v>
                </c:pt>
                <c:pt idx="153">
                  <c:v>0.27</c:v>
                </c:pt>
                <c:pt idx="154">
                  <c:v>0.27900000000000003</c:v>
                </c:pt>
                <c:pt idx="155">
                  <c:v>0.26600000000000001</c:v>
                </c:pt>
                <c:pt idx="156">
                  <c:v>0.318</c:v>
                </c:pt>
                <c:pt idx="157">
                  <c:v>0.318</c:v>
                </c:pt>
                <c:pt idx="158">
                  <c:v>0.34300000000000003</c:v>
                </c:pt>
                <c:pt idx="159">
                  <c:v>0.35299999999999998</c:v>
                </c:pt>
                <c:pt idx="160">
                  <c:v>0.39800000000000002</c:v>
                </c:pt>
                <c:pt idx="161">
                  <c:v>0.42199999999999999</c:v>
                </c:pt>
                <c:pt idx="162">
                  <c:v>0.39400000000000002</c:v>
                </c:pt>
                <c:pt idx="163">
                  <c:v>0.438</c:v>
                </c:pt>
                <c:pt idx="164">
                  <c:v>0.47799999999999998</c:v>
                </c:pt>
                <c:pt idx="165">
                  <c:v>0.44500000000000001</c:v>
                </c:pt>
                <c:pt idx="166">
                  <c:v>0.47799999999999998</c:v>
                </c:pt>
                <c:pt idx="167">
                  <c:v>0.50900000000000001</c:v>
                </c:pt>
                <c:pt idx="168">
                  <c:v>0.52600000000000002</c:v>
                </c:pt>
                <c:pt idx="169">
                  <c:v>0.53</c:v>
                </c:pt>
                <c:pt idx="170">
                  <c:v>0.47599999999999998</c:v>
                </c:pt>
                <c:pt idx="171">
                  <c:v>0.47199999999999998</c:v>
                </c:pt>
                <c:pt idx="172">
                  <c:v>0.48899999999999999</c:v>
                </c:pt>
                <c:pt idx="173">
                  <c:v>0.47899999999999998</c:v>
                </c:pt>
                <c:pt idx="174">
                  <c:v>0.46200000000000002</c:v>
                </c:pt>
                <c:pt idx="175">
                  <c:v>0.41299999999999998</c:v>
                </c:pt>
                <c:pt idx="176">
                  <c:v>0.39700000000000002</c:v>
                </c:pt>
                <c:pt idx="177">
                  <c:v>0.40899999999999997</c:v>
                </c:pt>
                <c:pt idx="178">
                  <c:v>0.36699999999999999</c:v>
                </c:pt>
                <c:pt idx="179">
                  <c:v>0.32</c:v>
                </c:pt>
                <c:pt idx="180">
                  <c:v>0.35599999999999998</c:v>
                </c:pt>
                <c:pt idx="181">
                  <c:v>0.39600000000000002</c:v>
                </c:pt>
                <c:pt idx="182">
                  <c:v>0.40500000000000003</c:v>
                </c:pt>
                <c:pt idx="183">
                  <c:v>0.504</c:v>
                </c:pt>
                <c:pt idx="184">
                  <c:v>0.52400000000000002</c:v>
                </c:pt>
                <c:pt idx="185">
                  <c:v>0.61199999999999999</c:v>
                </c:pt>
                <c:pt idx="186">
                  <c:v>0.65500000000000003</c:v>
                </c:pt>
                <c:pt idx="187">
                  <c:v>0.65600000000000003</c:v>
                </c:pt>
                <c:pt idx="188">
                  <c:v>0.63600000000000001</c:v>
                </c:pt>
                <c:pt idx="189">
                  <c:v>0.52900000000000003</c:v>
                </c:pt>
                <c:pt idx="190">
                  <c:v>0.52</c:v>
                </c:pt>
                <c:pt idx="191">
                  <c:v>0.48099999999999998</c:v>
                </c:pt>
                <c:pt idx="192">
                  <c:v>0.47299999999999998</c:v>
                </c:pt>
                <c:pt idx="193">
                  <c:v>0.48299999999999998</c:v>
                </c:pt>
                <c:pt idx="194">
                  <c:v>0.45400000000000001</c:v>
                </c:pt>
                <c:pt idx="195">
                  <c:v>0.48799999999999999</c:v>
                </c:pt>
                <c:pt idx="196">
                  <c:v>0.52700000000000002</c:v>
                </c:pt>
                <c:pt idx="197">
                  <c:v>0.54600000000000004</c:v>
                </c:pt>
                <c:pt idx="198">
                  <c:v>0.501</c:v>
                </c:pt>
                <c:pt idx="199">
                  <c:v>0.54300000000000004</c:v>
                </c:pt>
                <c:pt idx="200">
                  <c:v>0.58199999999999996</c:v>
                </c:pt>
                <c:pt idx="201">
                  <c:v>0.63700000000000001</c:v>
                </c:pt>
                <c:pt idx="202">
                  <c:v>0.59399999999999997</c:v>
                </c:pt>
                <c:pt idx="203">
                  <c:v>0.71399999999999997</c:v>
                </c:pt>
                <c:pt idx="204">
                  <c:v>0.73899999999999999</c:v>
                </c:pt>
                <c:pt idx="205">
                  <c:v>0.73099999999999998</c:v>
                </c:pt>
                <c:pt idx="206">
                  <c:v>0.80900000000000005</c:v>
                </c:pt>
                <c:pt idx="207">
                  <c:v>0.88800000000000001</c:v>
                </c:pt>
                <c:pt idx="208">
                  <c:v>0.84499999999999997</c:v>
                </c:pt>
                <c:pt idx="209">
                  <c:v>0.878</c:v>
                </c:pt>
                <c:pt idx="210">
                  <c:v>0.91800000000000004</c:v>
                </c:pt>
                <c:pt idx="211">
                  <c:v>0.90100000000000002</c:v>
                </c:pt>
                <c:pt idx="212">
                  <c:v>0.98499999999999999</c:v>
                </c:pt>
                <c:pt idx="213">
                  <c:v>1.1890000000000001</c:v>
                </c:pt>
                <c:pt idx="214">
                  <c:v>1.1919999999999999</c:v>
                </c:pt>
                <c:pt idx="215">
                  <c:v>1.248</c:v>
                </c:pt>
                <c:pt idx="216">
                  <c:v>1.2629999999999999</c:v>
                </c:pt>
                <c:pt idx="217">
                  <c:v>1.151</c:v>
                </c:pt>
                <c:pt idx="218">
                  <c:v>1.18</c:v>
                </c:pt>
                <c:pt idx="219">
                  <c:v>1.113</c:v>
                </c:pt>
                <c:pt idx="220">
                  <c:v>0.82</c:v>
                </c:pt>
                <c:pt idx="221">
                  <c:v>0.82399999999999995</c:v>
                </c:pt>
                <c:pt idx="222">
                  <c:v>0.81899999999999995</c:v>
                </c:pt>
                <c:pt idx="223">
                  <c:v>0.65700000000000003</c:v>
                </c:pt>
                <c:pt idx="224">
                  <c:v>0.55900000000000005</c:v>
                </c:pt>
                <c:pt idx="225">
                  <c:v>0.438</c:v>
                </c:pt>
                <c:pt idx="226">
                  <c:v>0.35899999999999999</c:v>
                </c:pt>
                <c:pt idx="227">
                  <c:v>0.435</c:v>
                </c:pt>
                <c:pt idx="228">
                  <c:v>0.45</c:v>
                </c:pt>
                <c:pt idx="229">
                  <c:v>0.45100000000000001</c:v>
                </c:pt>
                <c:pt idx="230">
                  <c:v>0.46600000000000003</c:v>
                </c:pt>
                <c:pt idx="231">
                  <c:v>0.52</c:v>
                </c:pt>
                <c:pt idx="232">
                  <c:v>0.61</c:v>
                </c:pt>
                <c:pt idx="233">
                  <c:v>0.629</c:v>
                </c:pt>
                <c:pt idx="234">
                  <c:v>0.71</c:v>
                </c:pt>
                <c:pt idx="235">
                  <c:v>0.56499999999999995</c:v>
                </c:pt>
                <c:pt idx="236">
                  <c:v>0.441</c:v>
                </c:pt>
                <c:pt idx="237">
                  <c:v>0.377</c:v>
                </c:pt>
                <c:pt idx="238">
                  <c:v>0.41499999999999998</c:v>
                </c:pt>
                <c:pt idx="239">
                  <c:v>0.49299999999999999</c:v>
                </c:pt>
                <c:pt idx="240">
                  <c:v>0.59</c:v>
                </c:pt>
                <c:pt idx="241">
                  <c:v>0.71399999999999997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'Graf 8+9'!$J$12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cat>
            <c:numRef>
              <c:f>'Graf 8+9'!$K$7:$IR$7</c:f>
              <c:numCache>
                <c:formatCode>m/d/yyyy</c:formatCode>
                <c:ptCount val="242"/>
                <c:pt idx="0">
                  <c:v>43693</c:v>
                </c:pt>
                <c:pt idx="1">
                  <c:v>43686</c:v>
                </c:pt>
                <c:pt idx="2">
                  <c:v>43679</c:v>
                </c:pt>
                <c:pt idx="3">
                  <c:v>43672</c:v>
                </c:pt>
                <c:pt idx="4">
                  <c:v>43665</c:v>
                </c:pt>
                <c:pt idx="5">
                  <c:v>43658</c:v>
                </c:pt>
                <c:pt idx="6">
                  <c:v>43651</c:v>
                </c:pt>
                <c:pt idx="7">
                  <c:v>43644</c:v>
                </c:pt>
                <c:pt idx="8">
                  <c:v>43637</c:v>
                </c:pt>
                <c:pt idx="9">
                  <c:v>43630</c:v>
                </c:pt>
                <c:pt idx="10">
                  <c:v>43623</c:v>
                </c:pt>
                <c:pt idx="11">
                  <c:v>43616</c:v>
                </c:pt>
                <c:pt idx="12">
                  <c:v>43609</c:v>
                </c:pt>
                <c:pt idx="13">
                  <c:v>43602</c:v>
                </c:pt>
                <c:pt idx="14">
                  <c:v>43595</c:v>
                </c:pt>
                <c:pt idx="15">
                  <c:v>43588</c:v>
                </c:pt>
                <c:pt idx="16">
                  <c:v>43581</c:v>
                </c:pt>
                <c:pt idx="17">
                  <c:v>43574</c:v>
                </c:pt>
                <c:pt idx="18">
                  <c:v>43567</c:v>
                </c:pt>
                <c:pt idx="19">
                  <c:v>43560</c:v>
                </c:pt>
                <c:pt idx="20">
                  <c:v>43553</c:v>
                </c:pt>
                <c:pt idx="21">
                  <c:v>43546</c:v>
                </c:pt>
                <c:pt idx="22">
                  <c:v>43539</c:v>
                </c:pt>
                <c:pt idx="23">
                  <c:v>43532</c:v>
                </c:pt>
                <c:pt idx="24">
                  <c:v>43525</c:v>
                </c:pt>
                <c:pt idx="25">
                  <c:v>43518</c:v>
                </c:pt>
                <c:pt idx="26">
                  <c:v>43511</c:v>
                </c:pt>
                <c:pt idx="27">
                  <c:v>43504</c:v>
                </c:pt>
                <c:pt idx="28">
                  <c:v>43497</c:v>
                </c:pt>
                <c:pt idx="29">
                  <c:v>43490</c:v>
                </c:pt>
                <c:pt idx="30">
                  <c:v>43483</c:v>
                </c:pt>
                <c:pt idx="31">
                  <c:v>43476</c:v>
                </c:pt>
                <c:pt idx="32">
                  <c:v>43469</c:v>
                </c:pt>
                <c:pt idx="33">
                  <c:v>43462</c:v>
                </c:pt>
                <c:pt idx="34">
                  <c:v>43455</c:v>
                </c:pt>
                <c:pt idx="35">
                  <c:v>43448</c:v>
                </c:pt>
                <c:pt idx="36">
                  <c:v>43441</c:v>
                </c:pt>
                <c:pt idx="37">
                  <c:v>43434</c:v>
                </c:pt>
                <c:pt idx="38">
                  <c:v>43427</c:v>
                </c:pt>
                <c:pt idx="39">
                  <c:v>43420</c:v>
                </c:pt>
                <c:pt idx="40">
                  <c:v>43413</c:v>
                </c:pt>
                <c:pt idx="41">
                  <c:v>43406</c:v>
                </c:pt>
                <c:pt idx="42">
                  <c:v>43399</c:v>
                </c:pt>
                <c:pt idx="43">
                  <c:v>43392</c:v>
                </c:pt>
                <c:pt idx="44">
                  <c:v>43385</c:v>
                </c:pt>
                <c:pt idx="45">
                  <c:v>43378</c:v>
                </c:pt>
                <c:pt idx="46">
                  <c:v>43371</c:v>
                </c:pt>
                <c:pt idx="47">
                  <c:v>43364</c:v>
                </c:pt>
                <c:pt idx="48">
                  <c:v>43357</c:v>
                </c:pt>
                <c:pt idx="49">
                  <c:v>43350</c:v>
                </c:pt>
                <c:pt idx="50">
                  <c:v>43343</c:v>
                </c:pt>
                <c:pt idx="51">
                  <c:v>43336</c:v>
                </c:pt>
                <c:pt idx="52">
                  <c:v>43329</c:v>
                </c:pt>
                <c:pt idx="53">
                  <c:v>43322</c:v>
                </c:pt>
                <c:pt idx="54">
                  <c:v>43315</c:v>
                </c:pt>
                <c:pt idx="55">
                  <c:v>43308</c:v>
                </c:pt>
                <c:pt idx="56">
                  <c:v>43301</c:v>
                </c:pt>
                <c:pt idx="57">
                  <c:v>43294</c:v>
                </c:pt>
                <c:pt idx="58">
                  <c:v>43287</c:v>
                </c:pt>
                <c:pt idx="59">
                  <c:v>43280</c:v>
                </c:pt>
                <c:pt idx="60">
                  <c:v>43273</c:v>
                </c:pt>
                <c:pt idx="61">
                  <c:v>43266</c:v>
                </c:pt>
                <c:pt idx="62">
                  <c:v>43259</c:v>
                </c:pt>
                <c:pt idx="63">
                  <c:v>43252</c:v>
                </c:pt>
                <c:pt idx="64">
                  <c:v>43245</c:v>
                </c:pt>
                <c:pt idx="65">
                  <c:v>43238</c:v>
                </c:pt>
                <c:pt idx="66">
                  <c:v>43231</c:v>
                </c:pt>
                <c:pt idx="67">
                  <c:v>43224</c:v>
                </c:pt>
                <c:pt idx="68">
                  <c:v>43217</c:v>
                </c:pt>
                <c:pt idx="69">
                  <c:v>43210</c:v>
                </c:pt>
                <c:pt idx="70">
                  <c:v>43203</c:v>
                </c:pt>
                <c:pt idx="71">
                  <c:v>43196</c:v>
                </c:pt>
                <c:pt idx="72">
                  <c:v>43189</c:v>
                </c:pt>
                <c:pt idx="73">
                  <c:v>43182</c:v>
                </c:pt>
                <c:pt idx="74">
                  <c:v>43175</c:v>
                </c:pt>
                <c:pt idx="75">
                  <c:v>43168</c:v>
                </c:pt>
                <c:pt idx="76">
                  <c:v>43161</c:v>
                </c:pt>
                <c:pt idx="77">
                  <c:v>43154</c:v>
                </c:pt>
                <c:pt idx="78">
                  <c:v>43147</c:v>
                </c:pt>
                <c:pt idx="79">
                  <c:v>43140</c:v>
                </c:pt>
                <c:pt idx="80">
                  <c:v>43133</c:v>
                </c:pt>
                <c:pt idx="81">
                  <c:v>43126</c:v>
                </c:pt>
                <c:pt idx="82">
                  <c:v>43119</c:v>
                </c:pt>
                <c:pt idx="83">
                  <c:v>43112</c:v>
                </c:pt>
                <c:pt idx="84">
                  <c:v>43105</c:v>
                </c:pt>
                <c:pt idx="85">
                  <c:v>43098</c:v>
                </c:pt>
                <c:pt idx="86">
                  <c:v>43091</c:v>
                </c:pt>
                <c:pt idx="87">
                  <c:v>43084</c:v>
                </c:pt>
                <c:pt idx="88">
                  <c:v>43077</c:v>
                </c:pt>
                <c:pt idx="89">
                  <c:v>43070</c:v>
                </c:pt>
                <c:pt idx="90">
                  <c:v>43063</c:v>
                </c:pt>
                <c:pt idx="91">
                  <c:v>43056</c:v>
                </c:pt>
                <c:pt idx="92">
                  <c:v>43049</c:v>
                </c:pt>
                <c:pt idx="93">
                  <c:v>43042</c:v>
                </c:pt>
                <c:pt idx="94">
                  <c:v>43035</c:v>
                </c:pt>
                <c:pt idx="95">
                  <c:v>43028</c:v>
                </c:pt>
                <c:pt idx="96">
                  <c:v>43021</c:v>
                </c:pt>
                <c:pt idx="97">
                  <c:v>43014</c:v>
                </c:pt>
                <c:pt idx="98">
                  <c:v>43007</c:v>
                </c:pt>
                <c:pt idx="99">
                  <c:v>43000</c:v>
                </c:pt>
                <c:pt idx="100">
                  <c:v>42993</c:v>
                </c:pt>
                <c:pt idx="101">
                  <c:v>42986</c:v>
                </c:pt>
                <c:pt idx="102">
                  <c:v>42979</c:v>
                </c:pt>
                <c:pt idx="103">
                  <c:v>42972</c:v>
                </c:pt>
                <c:pt idx="104">
                  <c:v>42965</c:v>
                </c:pt>
                <c:pt idx="105">
                  <c:v>42958</c:v>
                </c:pt>
                <c:pt idx="106">
                  <c:v>42951</c:v>
                </c:pt>
                <c:pt idx="107">
                  <c:v>42944</c:v>
                </c:pt>
                <c:pt idx="108">
                  <c:v>42937</c:v>
                </c:pt>
                <c:pt idx="109">
                  <c:v>42930</c:v>
                </c:pt>
                <c:pt idx="110">
                  <c:v>42923</c:v>
                </c:pt>
                <c:pt idx="111">
                  <c:v>42916</c:v>
                </c:pt>
                <c:pt idx="112">
                  <c:v>42909</c:v>
                </c:pt>
                <c:pt idx="113">
                  <c:v>42902</c:v>
                </c:pt>
                <c:pt idx="114">
                  <c:v>42895</c:v>
                </c:pt>
                <c:pt idx="115">
                  <c:v>42888</c:v>
                </c:pt>
                <c:pt idx="116">
                  <c:v>42881</c:v>
                </c:pt>
                <c:pt idx="117">
                  <c:v>42874</c:v>
                </c:pt>
                <c:pt idx="118">
                  <c:v>42867</c:v>
                </c:pt>
                <c:pt idx="119">
                  <c:v>42860</c:v>
                </c:pt>
                <c:pt idx="120">
                  <c:v>42853</c:v>
                </c:pt>
                <c:pt idx="121">
                  <c:v>42846</c:v>
                </c:pt>
                <c:pt idx="122">
                  <c:v>42839</c:v>
                </c:pt>
                <c:pt idx="123">
                  <c:v>42832</c:v>
                </c:pt>
                <c:pt idx="124">
                  <c:v>42825</c:v>
                </c:pt>
                <c:pt idx="125">
                  <c:v>42818</c:v>
                </c:pt>
                <c:pt idx="126">
                  <c:v>42811</c:v>
                </c:pt>
                <c:pt idx="127">
                  <c:v>42804</c:v>
                </c:pt>
                <c:pt idx="128">
                  <c:v>42797</c:v>
                </c:pt>
                <c:pt idx="129">
                  <c:v>42790</c:v>
                </c:pt>
                <c:pt idx="130">
                  <c:v>42783</c:v>
                </c:pt>
                <c:pt idx="131">
                  <c:v>42776</c:v>
                </c:pt>
                <c:pt idx="132">
                  <c:v>42769</c:v>
                </c:pt>
                <c:pt idx="133">
                  <c:v>42762</c:v>
                </c:pt>
                <c:pt idx="134">
                  <c:v>42755</c:v>
                </c:pt>
                <c:pt idx="135">
                  <c:v>42748</c:v>
                </c:pt>
                <c:pt idx="136">
                  <c:v>42741</c:v>
                </c:pt>
                <c:pt idx="137">
                  <c:v>42734</c:v>
                </c:pt>
                <c:pt idx="138">
                  <c:v>42727</c:v>
                </c:pt>
                <c:pt idx="139">
                  <c:v>42720</c:v>
                </c:pt>
                <c:pt idx="140">
                  <c:v>42713</c:v>
                </c:pt>
                <c:pt idx="141">
                  <c:v>42706</c:v>
                </c:pt>
                <c:pt idx="142">
                  <c:v>42699</c:v>
                </c:pt>
                <c:pt idx="143">
                  <c:v>42692</c:v>
                </c:pt>
                <c:pt idx="144">
                  <c:v>42685</c:v>
                </c:pt>
                <c:pt idx="145">
                  <c:v>42678</c:v>
                </c:pt>
                <c:pt idx="146">
                  <c:v>42671</c:v>
                </c:pt>
                <c:pt idx="147">
                  <c:v>42664</c:v>
                </c:pt>
                <c:pt idx="148">
                  <c:v>42657</c:v>
                </c:pt>
                <c:pt idx="149">
                  <c:v>42650</c:v>
                </c:pt>
                <c:pt idx="150">
                  <c:v>42643</c:v>
                </c:pt>
                <c:pt idx="151">
                  <c:v>42636</c:v>
                </c:pt>
                <c:pt idx="152">
                  <c:v>42629</c:v>
                </c:pt>
                <c:pt idx="153">
                  <c:v>42622</c:v>
                </c:pt>
                <c:pt idx="154">
                  <c:v>42615</c:v>
                </c:pt>
                <c:pt idx="155">
                  <c:v>42608</c:v>
                </c:pt>
                <c:pt idx="156">
                  <c:v>42601</c:v>
                </c:pt>
                <c:pt idx="157">
                  <c:v>42594</c:v>
                </c:pt>
                <c:pt idx="158">
                  <c:v>42587</c:v>
                </c:pt>
                <c:pt idx="159">
                  <c:v>42580</c:v>
                </c:pt>
                <c:pt idx="160">
                  <c:v>42573</c:v>
                </c:pt>
                <c:pt idx="161">
                  <c:v>42566</c:v>
                </c:pt>
                <c:pt idx="162">
                  <c:v>42559</c:v>
                </c:pt>
                <c:pt idx="163">
                  <c:v>42552</c:v>
                </c:pt>
                <c:pt idx="164">
                  <c:v>42545</c:v>
                </c:pt>
                <c:pt idx="165">
                  <c:v>42538</c:v>
                </c:pt>
                <c:pt idx="166">
                  <c:v>42531</c:v>
                </c:pt>
                <c:pt idx="167">
                  <c:v>42524</c:v>
                </c:pt>
                <c:pt idx="168">
                  <c:v>42517</c:v>
                </c:pt>
                <c:pt idx="169">
                  <c:v>42510</c:v>
                </c:pt>
                <c:pt idx="170">
                  <c:v>42503</c:v>
                </c:pt>
                <c:pt idx="171">
                  <c:v>42496</c:v>
                </c:pt>
                <c:pt idx="172">
                  <c:v>42489</c:v>
                </c:pt>
                <c:pt idx="173">
                  <c:v>42482</c:v>
                </c:pt>
                <c:pt idx="174">
                  <c:v>42475</c:v>
                </c:pt>
                <c:pt idx="175">
                  <c:v>42468</c:v>
                </c:pt>
                <c:pt idx="176">
                  <c:v>42461</c:v>
                </c:pt>
                <c:pt idx="177">
                  <c:v>42454</c:v>
                </c:pt>
                <c:pt idx="178">
                  <c:v>42447</c:v>
                </c:pt>
                <c:pt idx="179">
                  <c:v>42440</c:v>
                </c:pt>
                <c:pt idx="180">
                  <c:v>42433</c:v>
                </c:pt>
                <c:pt idx="181">
                  <c:v>42426</c:v>
                </c:pt>
                <c:pt idx="182">
                  <c:v>42419</c:v>
                </c:pt>
                <c:pt idx="183">
                  <c:v>42412</c:v>
                </c:pt>
                <c:pt idx="184">
                  <c:v>42405</c:v>
                </c:pt>
                <c:pt idx="185">
                  <c:v>42398</c:v>
                </c:pt>
                <c:pt idx="186">
                  <c:v>42391</c:v>
                </c:pt>
                <c:pt idx="187">
                  <c:v>42384</c:v>
                </c:pt>
                <c:pt idx="188">
                  <c:v>42377</c:v>
                </c:pt>
                <c:pt idx="189">
                  <c:v>42370</c:v>
                </c:pt>
                <c:pt idx="190">
                  <c:v>42363</c:v>
                </c:pt>
                <c:pt idx="191">
                  <c:v>42356</c:v>
                </c:pt>
                <c:pt idx="192">
                  <c:v>42349</c:v>
                </c:pt>
                <c:pt idx="193">
                  <c:v>42342</c:v>
                </c:pt>
                <c:pt idx="194">
                  <c:v>42335</c:v>
                </c:pt>
                <c:pt idx="195">
                  <c:v>42328</c:v>
                </c:pt>
                <c:pt idx="196">
                  <c:v>42321</c:v>
                </c:pt>
                <c:pt idx="197">
                  <c:v>42314</c:v>
                </c:pt>
                <c:pt idx="198">
                  <c:v>42307</c:v>
                </c:pt>
                <c:pt idx="199">
                  <c:v>42300</c:v>
                </c:pt>
                <c:pt idx="200">
                  <c:v>42293</c:v>
                </c:pt>
                <c:pt idx="201">
                  <c:v>42286</c:v>
                </c:pt>
                <c:pt idx="202">
                  <c:v>42279</c:v>
                </c:pt>
                <c:pt idx="203">
                  <c:v>42272</c:v>
                </c:pt>
                <c:pt idx="204">
                  <c:v>42265</c:v>
                </c:pt>
                <c:pt idx="205">
                  <c:v>42258</c:v>
                </c:pt>
                <c:pt idx="206">
                  <c:v>42251</c:v>
                </c:pt>
                <c:pt idx="207">
                  <c:v>42244</c:v>
                </c:pt>
                <c:pt idx="208">
                  <c:v>42237</c:v>
                </c:pt>
                <c:pt idx="209">
                  <c:v>42230</c:v>
                </c:pt>
                <c:pt idx="210">
                  <c:v>42223</c:v>
                </c:pt>
                <c:pt idx="211">
                  <c:v>42216</c:v>
                </c:pt>
                <c:pt idx="212">
                  <c:v>42209</c:v>
                </c:pt>
                <c:pt idx="213">
                  <c:v>42202</c:v>
                </c:pt>
                <c:pt idx="214">
                  <c:v>42195</c:v>
                </c:pt>
                <c:pt idx="215">
                  <c:v>42188</c:v>
                </c:pt>
                <c:pt idx="216">
                  <c:v>42181</c:v>
                </c:pt>
                <c:pt idx="217">
                  <c:v>42174</c:v>
                </c:pt>
                <c:pt idx="218">
                  <c:v>42167</c:v>
                </c:pt>
                <c:pt idx="219">
                  <c:v>42160</c:v>
                </c:pt>
                <c:pt idx="220">
                  <c:v>42153</c:v>
                </c:pt>
                <c:pt idx="221">
                  <c:v>42146</c:v>
                </c:pt>
                <c:pt idx="222">
                  <c:v>42139</c:v>
                </c:pt>
                <c:pt idx="223">
                  <c:v>42132</c:v>
                </c:pt>
                <c:pt idx="224">
                  <c:v>42125</c:v>
                </c:pt>
                <c:pt idx="225">
                  <c:v>42118</c:v>
                </c:pt>
                <c:pt idx="226">
                  <c:v>42111</c:v>
                </c:pt>
                <c:pt idx="227">
                  <c:v>42104</c:v>
                </c:pt>
                <c:pt idx="228">
                  <c:v>42097</c:v>
                </c:pt>
                <c:pt idx="229">
                  <c:v>42090</c:v>
                </c:pt>
                <c:pt idx="230">
                  <c:v>42083</c:v>
                </c:pt>
                <c:pt idx="231">
                  <c:v>42076</c:v>
                </c:pt>
                <c:pt idx="232">
                  <c:v>42069</c:v>
                </c:pt>
                <c:pt idx="233">
                  <c:v>42062</c:v>
                </c:pt>
                <c:pt idx="234">
                  <c:v>42055</c:v>
                </c:pt>
                <c:pt idx="235">
                  <c:v>42048</c:v>
                </c:pt>
                <c:pt idx="236">
                  <c:v>42041</c:v>
                </c:pt>
                <c:pt idx="237">
                  <c:v>42034</c:v>
                </c:pt>
                <c:pt idx="238">
                  <c:v>42027</c:v>
                </c:pt>
                <c:pt idx="239">
                  <c:v>42020</c:v>
                </c:pt>
                <c:pt idx="240">
                  <c:v>42013</c:v>
                </c:pt>
                <c:pt idx="241">
                  <c:v>42006</c:v>
                </c:pt>
              </c:numCache>
            </c:numRef>
          </c:cat>
          <c:val>
            <c:numRef>
              <c:f>'Graf 8+9'!$K$12:$IR$12</c:f>
              <c:numCache>
                <c:formatCode>0.0</c:formatCode>
                <c:ptCount val="242"/>
                <c:pt idx="0">
                  <c:v>1.7330000000000001</c:v>
                </c:pt>
                <c:pt idx="1">
                  <c:v>1.9470000000000001</c:v>
                </c:pt>
                <c:pt idx="2">
                  <c:v>2.097</c:v>
                </c:pt>
                <c:pt idx="3">
                  <c:v>2.1110000000000002</c:v>
                </c:pt>
                <c:pt idx="4">
                  <c:v>2.177</c:v>
                </c:pt>
                <c:pt idx="5">
                  <c:v>2.3069999999999999</c:v>
                </c:pt>
                <c:pt idx="6">
                  <c:v>2.2829999999999999</c:v>
                </c:pt>
                <c:pt idx="7">
                  <c:v>2.39</c:v>
                </c:pt>
                <c:pt idx="8">
                  <c:v>2.383</c:v>
                </c:pt>
                <c:pt idx="9">
                  <c:v>2.395</c:v>
                </c:pt>
                <c:pt idx="10">
                  <c:v>2.4649999999999999</c:v>
                </c:pt>
                <c:pt idx="11">
                  <c:v>2.6440000000000001</c:v>
                </c:pt>
                <c:pt idx="12">
                  <c:v>2.831</c:v>
                </c:pt>
                <c:pt idx="13">
                  <c:v>2.8860000000000001</c:v>
                </c:pt>
                <c:pt idx="14">
                  <c:v>2.903</c:v>
                </c:pt>
                <c:pt idx="15">
                  <c:v>3.0379999999999998</c:v>
                </c:pt>
                <c:pt idx="16">
                  <c:v>2.9130000000000003</c:v>
                </c:pt>
                <c:pt idx="17">
                  <c:v>2.883</c:v>
                </c:pt>
                <c:pt idx="18">
                  <c:v>2.9119999999999999</c:v>
                </c:pt>
                <c:pt idx="19">
                  <c:v>2.931</c:v>
                </c:pt>
                <c:pt idx="20">
                  <c:v>2.839</c:v>
                </c:pt>
                <c:pt idx="21">
                  <c:v>2.8529999999999998</c:v>
                </c:pt>
                <c:pt idx="22">
                  <c:v>2.9009999999999998</c:v>
                </c:pt>
                <c:pt idx="23">
                  <c:v>2.8769999999999998</c:v>
                </c:pt>
                <c:pt idx="24">
                  <c:v>2.98</c:v>
                </c:pt>
                <c:pt idx="25">
                  <c:v>2.7679999999999998</c:v>
                </c:pt>
                <c:pt idx="26">
                  <c:v>2.6879999999999997</c:v>
                </c:pt>
                <c:pt idx="27">
                  <c:v>2.726</c:v>
                </c:pt>
                <c:pt idx="28">
                  <c:v>2.7560000000000002</c:v>
                </c:pt>
                <c:pt idx="29">
                  <c:v>2.8209999999999997</c:v>
                </c:pt>
                <c:pt idx="30">
                  <c:v>2.855</c:v>
                </c:pt>
                <c:pt idx="31">
                  <c:v>2.7709999999999999</c:v>
                </c:pt>
                <c:pt idx="32">
                  <c:v>2.8120000000000003</c:v>
                </c:pt>
                <c:pt idx="33">
                  <c:v>2.8250000000000002</c:v>
                </c:pt>
                <c:pt idx="34">
                  <c:v>2.8220000000000001</c:v>
                </c:pt>
                <c:pt idx="35">
                  <c:v>2.9379999999999997</c:v>
                </c:pt>
                <c:pt idx="36">
                  <c:v>3.0550000000000002</c:v>
                </c:pt>
                <c:pt idx="37">
                  <c:v>3.052</c:v>
                </c:pt>
                <c:pt idx="38">
                  <c:v>3.1760000000000002</c:v>
                </c:pt>
                <c:pt idx="39">
                  <c:v>3.2879999999999998</c:v>
                </c:pt>
                <c:pt idx="40">
                  <c:v>3.2280000000000002</c:v>
                </c:pt>
                <c:pt idx="41">
                  <c:v>3.2240000000000002</c:v>
                </c:pt>
                <c:pt idx="42">
                  <c:v>3.1390000000000002</c:v>
                </c:pt>
                <c:pt idx="43">
                  <c:v>3.262</c:v>
                </c:pt>
                <c:pt idx="44">
                  <c:v>3.2410000000000001</c:v>
                </c:pt>
                <c:pt idx="45">
                  <c:v>3.3170000000000002</c:v>
                </c:pt>
                <c:pt idx="46">
                  <c:v>3.2439999999999998</c:v>
                </c:pt>
                <c:pt idx="47">
                  <c:v>3.2359999999999998</c:v>
                </c:pt>
                <c:pt idx="48">
                  <c:v>3.2320000000000002</c:v>
                </c:pt>
                <c:pt idx="49">
                  <c:v>3.2869999999999999</c:v>
                </c:pt>
                <c:pt idx="50">
                  <c:v>3.1890000000000001</c:v>
                </c:pt>
                <c:pt idx="51">
                  <c:v>3.173</c:v>
                </c:pt>
                <c:pt idx="52">
                  <c:v>3.1549999999999998</c:v>
                </c:pt>
                <c:pt idx="53">
                  <c:v>3.1520000000000001</c:v>
                </c:pt>
                <c:pt idx="54">
                  <c:v>3.1230000000000002</c:v>
                </c:pt>
                <c:pt idx="55">
                  <c:v>3.1640000000000001</c:v>
                </c:pt>
                <c:pt idx="56">
                  <c:v>3.1829999999999998</c:v>
                </c:pt>
                <c:pt idx="57">
                  <c:v>3.1789999999999998</c:v>
                </c:pt>
                <c:pt idx="58">
                  <c:v>3.1850000000000001</c:v>
                </c:pt>
                <c:pt idx="59">
                  <c:v>3.2229999999999999</c:v>
                </c:pt>
                <c:pt idx="60">
                  <c:v>3.1739999999999999</c:v>
                </c:pt>
                <c:pt idx="61">
                  <c:v>3.2480000000000002</c:v>
                </c:pt>
                <c:pt idx="62">
                  <c:v>3.31</c:v>
                </c:pt>
                <c:pt idx="63">
                  <c:v>3.2330000000000001</c:v>
                </c:pt>
                <c:pt idx="64">
                  <c:v>3.2080000000000002</c:v>
                </c:pt>
                <c:pt idx="65">
                  <c:v>3.3359999999999999</c:v>
                </c:pt>
                <c:pt idx="66">
                  <c:v>3.2290000000000001</c:v>
                </c:pt>
                <c:pt idx="67">
                  <c:v>3.1669999999999998</c:v>
                </c:pt>
                <c:pt idx="68">
                  <c:v>3.0430000000000001</c:v>
                </c:pt>
                <c:pt idx="69">
                  <c:v>3.1139999999999999</c:v>
                </c:pt>
                <c:pt idx="70">
                  <c:v>3.0289999999999999</c:v>
                </c:pt>
                <c:pt idx="71">
                  <c:v>3.07</c:v>
                </c:pt>
                <c:pt idx="72">
                  <c:v>3.1749999999999998</c:v>
                </c:pt>
                <c:pt idx="73">
                  <c:v>3.2589999999999999</c:v>
                </c:pt>
                <c:pt idx="74">
                  <c:v>3.2549999999999999</c:v>
                </c:pt>
                <c:pt idx="75">
                  <c:v>3.3119999999999998</c:v>
                </c:pt>
                <c:pt idx="76">
                  <c:v>3.2879999999999998</c:v>
                </c:pt>
                <c:pt idx="77">
                  <c:v>3.4390000000000001</c:v>
                </c:pt>
                <c:pt idx="78">
                  <c:v>3.4729999999999999</c:v>
                </c:pt>
                <c:pt idx="79">
                  <c:v>3.5880000000000001</c:v>
                </c:pt>
                <c:pt idx="80">
                  <c:v>3.5830000000000002</c:v>
                </c:pt>
                <c:pt idx="81">
                  <c:v>3.5390000000000001</c:v>
                </c:pt>
                <c:pt idx="82">
                  <c:v>3.32</c:v>
                </c:pt>
                <c:pt idx="83">
                  <c:v>3.32</c:v>
                </c:pt>
                <c:pt idx="84">
                  <c:v>3.2229999999999999</c:v>
                </c:pt>
                <c:pt idx="85">
                  <c:v>3.3029999999999999</c:v>
                </c:pt>
                <c:pt idx="86">
                  <c:v>3.319</c:v>
                </c:pt>
                <c:pt idx="87">
                  <c:v>3.2309999999999999</c:v>
                </c:pt>
                <c:pt idx="88">
                  <c:v>3.254</c:v>
                </c:pt>
                <c:pt idx="89">
                  <c:v>3.34</c:v>
                </c:pt>
                <c:pt idx="90">
                  <c:v>3.3370000000000002</c:v>
                </c:pt>
                <c:pt idx="91">
                  <c:v>3.4129999999999998</c:v>
                </c:pt>
                <c:pt idx="92">
                  <c:v>3.3740000000000001</c:v>
                </c:pt>
                <c:pt idx="93">
                  <c:v>3.4630000000000001</c:v>
                </c:pt>
                <c:pt idx="94">
                  <c:v>3.4289999999999998</c:v>
                </c:pt>
                <c:pt idx="95">
                  <c:v>3.3820000000000001</c:v>
                </c:pt>
                <c:pt idx="96">
                  <c:v>3.3069999999999999</c:v>
                </c:pt>
                <c:pt idx="97">
                  <c:v>3.4950000000000001</c:v>
                </c:pt>
                <c:pt idx="98">
                  <c:v>3.3719999999999999</c:v>
                </c:pt>
                <c:pt idx="99">
                  <c:v>3.3359999999999999</c:v>
                </c:pt>
                <c:pt idx="100">
                  <c:v>3.234</c:v>
                </c:pt>
                <c:pt idx="101">
                  <c:v>3.1579999999999999</c:v>
                </c:pt>
                <c:pt idx="102">
                  <c:v>3.3109999999999999</c:v>
                </c:pt>
                <c:pt idx="103">
                  <c:v>3.2909999999999999</c:v>
                </c:pt>
                <c:pt idx="104">
                  <c:v>3.323</c:v>
                </c:pt>
                <c:pt idx="105">
                  <c:v>3.4369999999999998</c:v>
                </c:pt>
                <c:pt idx="106">
                  <c:v>3.3559999999999999</c:v>
                </c:pt>
                <c:pt idx="107">
                  <c:v>3.3319999999999999</c:v>
                </c:pt>
                <c:pt idx="108">
                  <c:v>3.294</c:v>
                </c:pt>
                <c:pt idx="109">
                  <c:v>3.323</c:v>
                </c:pt>
                <c:pt idx="110">
                  <c:v>3.37</c:v>
                </c:pt>
                <c:pt idx="111">
                  <c:v>3.3220000000000001</c:v>
                </c:pt>
                <c:pt idx="112">
                  <c:v>3.2389999999999999</c:v>
                </c:pt>
                <c:pt idx="113">
                  <c:v>3.15</c:v>
                </c:pt>
                <c:pt idx="114">
                  <c:v>3.169</c:v>
                </c:pt>
                <c:pt idx="115">
                  <c:v>3.17</c:v>
                </c:pt>
                <c:pt idx="116">
                  <c:v>3.2810000000000001</c:v>
                </c:pt>
                <c:pt idx="117">
                  <c:v>3.3460000000000001</c:v>
                </c:pt>
                <c:pt idx="118">
                  <c:v>3.3159999999999998</c:v>
                </c:pt>
                <c:pt idx="119">
                  <c:v>3.472</c:v>
                </c:pt>
                <c:pt idx="120">
                  <c:v>3.4359999999999999</c:v>
                </c:pt>
                <c:pt idx="121">
                  <c:v>3.4180000000000001</c:v>
                </c:pt>
                <c:pt idx="122">
                  <c:v>3.4089999999999998</c:v>
                </c:pt>
                <c:pt idx="123">
                  <c:v>3.4620000000000002</c:v>
                </c:pt>
                <c:pt idx="124">
                  <c:v>3.49</c:v>
                </c:pt>
                <c:pt idx="125">
                  <c:v>3.5640000000000001</c:v>
                </c:pt>
                <c:pt idx="126">
                  <c:v>3.7370000000000001</c:v>
                </c:pt>
                <c:pt idx="127">
                  <c:v>3.7509999999999999</c:v>
                </c:pt>
                <c:pt idx="128">
                  <c:v>3.7320000000000002</c:v>
                </c:pt>
                <c:pt idx="129">
                  <c:v>3.8180000000000001</c:v>
                </c:pt>
                <c:pt idx="130">
                  <c:v>3.8289999999999997</c:v>
                </c:pt>
                <c:pt idx="131">
                  <c:v>3.8380000000000001</c:v>
                </c:pt>
                <c:pt idx="132">
                  <c:v>3.7669999999999999</c:v>
                </c:pt>
                <c:pt idx="133">
                  <c:v>3.9009999999999998</c:v>
                </c:pt>
                <c:pt idx="134">
                  <c:v>3.7410000000000001</c:v>
                </c:pt>
                <c:pt idx="135">
                  <c:v>3.657</c:v>
                </c:pt>
                <c:pt idx="136">
                  <c:v>3.669</c:v>
                </c:pt>
                <c:pt idx="137">
                  <c:v>3.633</c:v>
                </c:pt>
                <c:pt idx="138">
                  <c:v>3.4289999999999998</c:v>
                </c:pt>
                <c:pt idx="139">
                  <c:v>3.4790000000000001</c:v>
                </c:pt>
                <c:pt idx="140">
                  <c:v>3.61</c:v>
                </c:pt>
                <c:pt idx="141">
                  <c:v>3.819</c:v>
                </c:pt>
                <c:pt idx="142">
                  <c:v>3.5540000000000003</c:v>
                </c:pt>
                <c:pt idx="143">
                  <c:v>3.7010000000000001</c:v>
                </c:pt>
                <c:pt idx="144">
                  <c:v>3.34</c:v>
                </c:pt>
                <c:pt idx="145">
                  <c:v>3.0470000000000002</c:v>
                </c:pt>
                <c:pt idx="146">
                  <c:v>3.121</c:v>
                </c:pt>
                <c:pt idx="147">
                  <c:v>2.9550000000000001</c:v>
                </c:pt>
                <c:pt idx="148">
                  <c:v>3.0419999999999998</c:v>
                </c:pt>
                <c:pt idx="149">
                  <c:v>3.0390000000000001</c:v>
                </c:pt>
                <c:pt idx="150">
                  <c:v>2.919</c:v>
                </c:pt>
                <c:pt idx="151">
                  <c:v>2.7949999999999999</c:v>
                </c:pt>
                <c:pt idx="152">
                  <c:v>2.94</c:v>
                </c:pt>
                <c:pt idx="153">
                  <c:v>2.8970000000000002</c:v>
                </c:pt>
                <c:pt idx="154">
                  <c:v>2.8849999999999998</c:v>
                </c:pt>
                <c:pt idx="155">
                  <c:v>2.6739999999999999</c:v>
                </c:pt>
                <c:pt idx="156">
                  <c:v>2.67</c:v>
                </c:pt>
                <c:pt idx="157">
                  <c:v>2.6150000000000002</c:v>
                </c:pt>
                <c:pt idx="158">
                  <c:v>2.7610000000000001</c:v>
                </c:pt>
                <c:pt idx="159">
                  <c:v>2.8759999999999999</c:v>
                </c:pt>
                <c:pt idx="160">
                  <c:v>2.911</c:v>
                </c:pt>
                <c:pt idx="161">
                  <c:v>2.944</c:v>
                </c:pt>
                <c:pt idx="162">
                  <c:v>2.8820000000000001</c:v>
                </c:pt>
                <c:pt idx="163">
                  <c:v>2.883</c:v>
                </c:pt>
                <c:pt idx="164">
                  <c:v>3.1789999999999998</c:v>
                </c:pt>
                <c:pt idx="165">
                  <c:v>3.1539999999999999</c:v>
                </c:pt>
                <c:pt idx="166">
                  <c:v>3.109</c:v>
                </c:pt>
                <c:pt idx="167">
                  <c:v>3.133</c:v>
                </c:pt>
                <c:pt idx="168">
                  <c:v>3.0550000000000002</c:v>
                </c:pt>
                <c:pt idx="169">
                  <c:v>3.0750000000000002</c:v>
                </c:pt>
                <c:pt idx="170">
                  <c:v>3.01</c:v>
                </c:pt>
                <c:pt idx="171">
                  <c:v>3.085</c:v>
                </c:pt>
                <c:pt idx="172">
                  <c:v>3.093</c:v>
                </c:pt>
                <c:pt idx="173">
                  <c:v>3.05</c:v>
                </c:pt>
                <c:pt idx="174">
                  <c:v>2.968</c:v>
                </c:pt>
                <c:pt idx="175">
                  <c:v>2.9159999999999999</c:v>
                </c:pt>
                <c:pt idx="176">
                  <c:v>2.8250000000000002</c:v>
                </c:pt>
                <c:pt idx="177">
                  <c:v>2.883</c:v>
                </c:pt>
                <c:pt idx="178">
                  <c:v>2.8120000000000003</c:v>
                </c:pt>
                <c:pt idx="179">
                  <c:v>2.8780000000000001</c:v>
                </c:pt>
                <c:pt idx="180">
                  <c:v>2.9859999999999998</c:v>
                </c:pt>
                <c:pt idx="181">
                  <c:v>2.952</c:v>
                </c:pt>
                <c:pt idx="182">
                  <c:v>2.95</c:v>
                </c:pt>
                <c:pt idx="183">
                  <c:v>3.0659999999999998</c:v>
                </c:pt>
                <c:pt idx="184">
                  <c:v>3.121</c:v>
                </c:pt>
                <c:pt idx="185">
                  <c:v>3.1440000000000001</c:v>
                </c:pt>
                <c:pt idx="186">
                  <c:v>3.1</c:v>
                </c:pt>
                <c:pt idx="187">
                  <c:v>2.984</c:v>
                </c:pt>
                <c:pt idx="188">
                  <c:v>2.9319999999999999</c:v>
                </c:pt>
                <c:pt idx="189">
                  <c:v>2.9430000000000001</c:v>
                </c:pt>
                <c:pt idx="190">
                  <c:v>3.137</c:v>
                </c:pt>
                <c:pt idx="191">
                  <c:v>2.9130000000000003</c:v>
                </c:pt>
                <c:pt idx="192">
                  <c:v>3.117</c:v>
                </c:pt>
                <c:pt idx="193">
                  <c:v>2.8959999999999999</c:v>
                </c:pt>
                <c:pt idx="194">
                  <c:v>2.62</c:v>
                </c:pt>
                <c:pt idx="195">
                  <c:v>2.7119999999999997</c:v>
                </c:pt>
                <c:pt idx="196">
                  <c:v>2.6840000000000002</c:v>
                </c:pt>
                <c:pt idx="197">
                  <c:v>2.9119999999999999</c:v>
                </c:pt>
                <c:pt idx="198">
                  <c:v>2.661</c:v>
                </c:pt>
                <c:pt idx="199">
                  <c:v>2.6080000000000001</c:v>
                </c:pt>
                <c:pt idx="200">
                  <c:v>2.6760000000000002</c:v>
                </c:pt>
                <c:pt idx="201">
                  <c:v>2.6680000000000001</c:v>
                </c:pt>
                <c:pt idx="202">
                  <c:v>2.6539999999999999</c:v>
                </c:pt>
                <c:pt idx="203">
                  <c:v>2.835</c:v>
                </c:pt>
                <c:pt idx="204">
                  <c:v>2.8959999999999999</c:v>
                </c:pt>
                <c:pt idx="205">
                  <c:v>2.9820000000000002</c:v>
                </c:pt>
                <c:pt idx="206">
                  <c:v>2.9239999999999999</c:v>
                </c:pt>
                <c:pt idx="207">
                  <c:v>2.9060000000000001</c:v>
                </c:pt>
                <c:pt idx="208">
                  <c:v>2.7229999999999999</c:v>
                </c:pt>
                <c:pt idx="209">
                  <c:v>2.7829999999999999</c:v>
                </c:pt>
                <c:pt idx="210">
                  <c:v>3.0350000000000001</c:v>
                </c:pt>
                <c:pt idx="211">
                  <c:v>2.9340000000000002</c:v>
                </c:pt>
                <c:pt idx="212">
                  <c:v>2.8719999999999999</c:v>
                </c:pt>
                <c:pt idx="213">
                  <c:v>2.8919999999999999</c:v>
                </c:pt>
                <c:pt idx="214">
                  <c:v>3.048</c:v>
                </c:pt>
                <c:pt idx="215">
                  <c:v>3.1920000000000002</c:v>
                </c:pt>
                <c:pt idx="216">
                  <c:v>3.2330000000000001</c:v>
                </c:pt>
                <c:pt idx="217">
                  <c:v>3.262</c:v>
                </c:pt>
                <c:pt idx="218">
                  <c:v>3.2050000000000001</c:v>
                </c:pt>
                <c:pt idx="219">
                  <c:v>3.1589999999999998</c:v>
                </c:pt>
                <c:pt idx="220">
                  <c:v>2.9319999999999999</c:v>
                </c:pt>
                <c:pt idx="221">
                  <c:v>2.8079999999999998</c:v>
                </c:pt>
                <c:pt idx="222">
                  <c:v>2.8369999999999997</c:v>
                </c:pt>
                <c:pt idx="223">
                  <c:v>2.6989999999999998</c:v>
                </c:pt>
                <c:pt idx="224">
                  <c:v>2.6320000000000001</c:v>
                </c:pt>
                <c:pt idx="225">
                  <c:v>2.4569999999999999</c:v>
                </c:pt>
                <c:pt idx="226">
                  <c:v>2.3010000000000002</c:v>
                </c:pt>
                <c:pt idx="227">
                  <c:v>2.294</c:v>
                </c:pt>
                <c:pt idx="228">
                  <c:v>2.3050000000000002</c:v>
                </c:pt>
                <c:pt idx="229">
                  <c:v>2.31</c:v>
                </c:pt>
                <c:pt idx="230">
                  <c:v>2.2589999999999999</c:v>
                </c:pt>
                <c:pt idx="231">
                  <c:v>2.4569999999999999</c:v>
                </c:pt>
                <c:pt idx="232">
                  <c:v>2.46</c:v>
                </c:pt>
                <c:pt idx="233">
                  <c:v>2.157</c:v>
                </c:pt>
                <c:pt idx="234">
                  <c:v>2.331</c:v>
                </c:pt>
                <c:pt idx="235">
                  <c:v>2.181</c:v>
                </c:pt>
                <c:pt idx="236">
                  <c:v>2.2109999999999999</c:v>
                </c:pt>
                <c:pt idx="237">
                  <c:v>1.98</c:v>
                </c:pt>
                <c:pt idx="238">
                  <c:v>2.085</c:v>
                </c:pt>
                <c:pt idx="239">
                  <c:v>2.278</c:v>
                </c:pt>
                <c:pt idx="240">
                  <c:v>2.3290000000000002</c:v>
                </c:pt>
                <c:pt idx="241">
                  <c:v>2.456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316504"/>
        <c:axId val="488316896"/>
      </c:lineChart>
      <c:dateAx>
        <c:axId val="488316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1000"/>
            </a:pPr>
            <a:endParaRPr lang="sk-SK"/>
          </a:p>
        </c:txPr>
        <c:crossAx val="488316896"/>
        <c:crosses val="autoZero"/>
        <c:auto val="1"/>
        <c:lblOffset val="100"/>
        <c:baseTimeUnit val="days"/>
        <c:majorUnit val="12"/>
        <c:majorTimeUnit val="months"/>
      </c:dateAx>
      <c:valAx>
        <c:axId val="488316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sk-SK"/>
          </a:p>
        </c:txPr>
        <c:crossAx val="48831650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212301587301588"/>
          <c:y val="4.4335976347265153E-2"/>
          <c:w val="0.6800194444444444"/>
          <c:h val="0.13826457017425975"/>
        </c:manualLayout>
      </c:layout>
      <c:overlay val="1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'Graf 10+Tabuľka 1'!$L$10</c:f>
              <c:strCache>
                <c:ptCount val="1"/>
                <c:pt idx="0">
                  <c:v>MFSR (Jún)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1'!$N$10:$S$10</c:f>
              <c:numCache>
                <c:formatCode>0.0</c:formatCode>
                <c:ptCount val="6"/>
                <c:pt idx="0">
                  <c:v>-0.34054422841947934</c:v>
                </c:pt>
                <c:pt idx="1">
                  <c:v>1.2135027592420385E-2</c:v>
                </c:pt>
                <c:pt idx="2">
                  <c:v>0.23100950977054652</c:v>
                </c:pt>
                <c:pt idx="3">
                  <c:v>0.93599952566038125</c:v>
                </c:pt>
                <c:pt idx="4">
                  <c:v>0.93484443081319424</c:v>
                </c:pt>
                <c:pt idx="5">
                  <c:v>0.77132380969948078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8-4008-83B7-CC7B1879AEA1}"/>
            </c:ext>
          </c:extLst>
        </c:ser>
        <c:ser>
          <c:idx val="1"/>
          <c:order val="1"/>
          <c:tx>
            <c:strRef>
              <c:f>'Graf 10+Tabuľka 1'!$L$9</c:f>
              <c:strCache>
                <c:ptCount val="1"/>
                <c:pt idx="0">
                  <c:v>NBS (Sept)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1'!$N$9:$S$9</c:f>
              <c:numCache>
                <c:formatCode>0.0</c:formatCode>
                <c:ptCount val="6"/>
                <c:pt idx="0">
                  <c:v>-0.27700483322325797</c:v>
                </c:pt>
                <c:pt idx="1">
                  <c:v>-0.20230872732807301</c:v>
                </c:pt>
                <c:pt idx="2">
                  <c:v>0.18662844239649001</c:v>
                </c:pt>
                <c:pt idx="3">
                  <c:v>1.2170781081973301</c:v>
                </c:pt>
                <c:pt idx="4">
                  <c:v>0.77219916503055885</c:v>
                </c:pt>
                <c:pt idx="5">
                  <c:v>0.29410832392114949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68-4008-83B7-CC7B1879AEA1}"/>
            </c:ext>
          </c:extLst>
        </c:ser>
        <c:ser>
          <c:idx val="0"/>
          <c:order val="2"/>
          <c:tx>
            <c:strRef>
              <c:f>'Graf 10+Tabuľka 1'!$L$8</c:f>
              <c:strCache>
                <c:ptCount val="1"/>
                <c:pt idx="0">
                  <c:v>MFSR (Sept)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1'!$N$8:$S$8</c:f>
              <c:numCache>
                <c:formatCode>0.0</c:formatCode>
                <c:ptCount val="6"/>
                <c:pt idx="0">
                  <c:v>-0.30251290240038697</c:v>
                </c:pt>
                <c:pt idx="1">
                  <c:v>-9.7242007685194309E-2</c:v>
                </c:pt>
                <c:pt idx="2">
                  <c:v>0.32142659830600717</c:v>
                </c:pt>
                <c:pt idx="3">
                  <c:v>1.2435943740391586</c:v>
                </c:pt>
                <c:pt idx="4">
                  <c:v>0.55103860292062823</c:v>
                </c:pt>
                <c:pt idx="5">
                  <c:v>3.4995192323838964E-2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68-4008-83B7-CC7B1879AEA1}"/>
            </c:ext>
          </c:extLst>
        </c:ser>
        <c:ser>
          <c:idx val="3"/>
          <c:order val="3"/>
          <c:tx>
            <c:strRef>
              <c:f>'Graf 10+Tabuľka 1'!$L$11</c:f>
              <c:strCache>
                <c:ptCount val="1"/>
                <c:pt idx="0">
                  <c:v>EK (Máj)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val>
            <c:numRef>
              <c:f>'Graf 10+Tabuľka 1'!$N$11:$S$11</c:f>
              <c:numCache>
                <c:formatCode>0.0</c:formatCode>
                <c:ptCount val="6"/>
                <c:pt idx="0">
                  <c:v>-1.2277712000000001</c:v>
                </c:pt>
                <c:pt idx="1">
                  <c:v>-0.34416190000000002</c:v>
                </c:pt>
                <c:pt idx="2">
                  <c:v>0.4035145</c:v>
                </c:pt>
                <c:pt idx="3">
                  <c:v>1.4603976999999999</c:v>
                </c:pt>
                <c:pt idx="4">
                  <c:v>2.1326303000000002</c:v>
                </c:pt>
                <c:pt idx="5">
                  <c:v>2.2617197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 10+Tabuľka 1'!$L$12</c:f>
              <c:strCache>
                <c:ptCount val="1"/>
                <c:pt idx="0">
                  <c:v>OECD (Máj)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val>
            <c:numRef>
              <c:f>'Graf 10+Tabuľka 1'!$N$12:$S$12</c:f>
              <c:numCache>
                <c:formatCode>0.0</c:formatCode>
                <c:ptCount val="6"/>
                <c:pt idx="0">
                  <c:v>-1.6327239285999999</c:v>
                </c:pt>
                <c:pt idx="1">
                  <c:v>-0.94717419319999996</c:v>
                </c:pt>
                <c:pt idx="2">
                  <c:v>-0.36948802749999998</c:v>
                </c:pt>
                <c:pt idx="3">
                  <c:v>0.35327597370000002</c:v>
                </c:pt>
                <c:pt idx="4">
                  <c:v>0.1102847451</c:v>
                </c:pt>
                <c:pt idx="5">
                  <c:v>6.0489662899999998E-2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 10+Tabuľka 1'!$L$13</c:f>
              <c:strCache>
                <c:ptCount val="1"/>
                <c:pt idx="0">
                  <c:v>MMF (Apríl)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circle"/>
            <c:size val="5"/>
            <c:spPr>
              <a:solidFill>
                <a:sysClr val="window" lastClr="FFFFFF">
                  <a:lumMod val="50000"/>
                </a:sysClr>
              </a:solidFill>
              <a:ln>
                <a:noFill/>
              </a:ln>
            </c:spPr>
          </c:marker>
          <c:val>
            <c:numRef>
              <c:f>'Graf 10+Tabuľka 1'!$N$13:$S$13</c:f>
              <c:numCache>
                <c:formatCode>0.0</c:formatCode>
                <c:ptCount val="6"/>
                <c:pt idx="0">
                  <c:v>0.74</c:v>
                </c:pt>
                <c:pt idx="1">
                  <c:v>1.363</c:v>
                </c:pt>
                <c:pt idx="2">
                  <c:v>1.1990000000000001</c:v>
                </c:pt>
                <c:pt idx="3">
                  <c:v>1.099</c:v>
                </c:pt>
                <c:pt idx="4">
                  <c:v>0.89900000000000002</c:v>
                </c:pt>
                <c:pt idx="5">
                  <c:v>0.47199999999999998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17680"/>
        <c:axId val="488318072"/>
      </c:lineChart>
      <c:catAx>
        <c:axId val="48831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488318072"/>
        <c:crosses val="autoZero"/>
        <c:auto val="1"/>
        <c:lblAlgn val="ctr"/>
        <c:lblOffset val="100"/>
        <c:noMultiLvlLbl val="0"/>
      </c:catAx>
      <c:valAx>
        <c:axId val="48831807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83176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34511336182380781"/>
          <c:y val="0.66976807021519513"/>
          <c:w val="0.63895347077639142"/>
          <c:h val="0.16366615612691285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2899279016979E-2"/>
          <c:y val="0.15064589480014279"/>
          <c:w val="0.93750478725638531"/>
          <c:h val="0.7112289603417710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1+2'!$E$19</c:f>
              <c:strCache>
                <c:ptCount val="1"/>
                <c:pt idx="0">
                  <c:v>Hrubý dlh (očistený o EFSF a ESM)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1+2'!$G$19:$M$19</c:f>
              <c:numCache>
                <c:formatCode>0.0</c:formatCode>
                <c:ptCount val="7"/>
                <c:pt idx="0">
                  <c:v>48.8903191233169</c:v>
                </c:pt>
                <c:pt idx="1">
                  <c:v>48.309437971048574</c:v>
                </c:pt>
                <c:pt idx="2">
                  <c:v>46.568841483388731</c:v>
                </c:pt>
                <c:pt idx="3">
                  <c:v>45.229844424612516</c:v>
                </c:pt>
                <c:pt idx="4">
                  <c:v>44.089117056432727</c:v>
                </c:pt>
                <c:pt idx="5">
                  <c:v>43.312582006109892</c:v>
                </c:pt>
                <c:pt idx="6">
                  <c:v>42.337086912114316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2-467A-82C0-BE7B50319B0B}"/>
            </c:ext>
          </c:extLst>
        </c:ser>
        <c:ser>
          <c:idx val="2"/>
          <c:order val="3"/>
          <c:tx>
            <c:strRef>
              <c:f>'Graf 1+2'!$E$20</c:f>
              <c:strCache>
                <c:ptCount val="1"/>
                <c:pt idx="0">
                  <c:v>EFSF a ESM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1+2'!$G$20:$M$20</c:f>
              <c:numCache>
                <c:formatCode>0.0</c:formatCode>
                <c:ptCount val="7"/>
                <c:pt idx="0">
                  <c:v>3.1341198156702714</c:v>
                </c:pt>
                <c:pt idx="1">
                  <c:v>3.0051229270807402</c:v>
                </c:pt>
                <c:pt idx="2">
                  <c:v>2.8308210993604672</c:v>
                </c:pt>
                <c:pt idx="3">
                  <c:v>2.6994474660336016</c:v>
                </c:pt>
                <c:pt idx="4">
                  <c:v>2.7220177710193494</c:v>
                </c:pt>
                <c:pt idx="5">
                  <c:v>2.5872948845593733</c:v>
                </c:pt>
                <c:pt idx="6">
                  <c:v>2.4558842735549695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82-467A-82C0-BE7B5031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100"/>
        <c:axId val="485573688"/>
        <c:axId val="488107136"/>
      </c:barChart>
      <c:lineChart>
        <c:grouping val="standard"/>
        <c:varyColors val="0"/>
        <c:ser>
          <c:idx val="4"/>
          <c:order val="0"/>
          <c:tx>
            <c:strRef>
              <c:f>'Graf 1+2'!$E$26</c:f>
              <c:strCache>
                <c:ptCount val="1"/>
                <c:pt idx="0">
                  <c:v>57-60% HDP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1+2'!$G$26:$M$26</c:f>
              <c:numCache>
                <c:formatCode>0.0</c:formatCode>
                <c:ptCount val="7"/>
                <c:pt idx="0">
                  <c:v>57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  <c:pt idx="6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82-467A-82C0-BE7B50319B0B}"/>
            </c:ext>
          </c:extLst>
        </c:ser>
        <c:ser>
          <c:idx val="3"/>
          <c:order val="1"/>
          <c:tx>
            <c:strRef>
              <c:f>'Graf 1+2'!$E$23</c:f>
              <c:strCache>
                <c:ptCount val="1"/>
                <c:pt idx="0">
                  <c:v>50-53% HDP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1+2'!$G$23:$M$23</c:f>
              <c:numCache>
                <c:formatCode>0.0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82-467A-82C0-BE7B50319B0B}"/>
            </c:ext>
          </c:extLst>
        </c:ser>
        <c:ser>
          <c:idx val="1"/>
          <c:order val="4"/>
          <c:tx>
            <c:strRef>
              <c:f>'Graf 1+2'!$E$18</c:f>
              <c:strCache>
                <c:ptCount val="1"/>
                <c:pt idx="0">
                  <c:v>Hrubý dlh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158987639362513E-2"/>
                  <c:y val="-8.253036262023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158987639362513E-2"/>
                  <c:y val="-9.341471169758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158987639362513E-2"/>
                  <c:y val="-9.885688623626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158987639362624E-2"/>
                  <c:y val="-9.341471169758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82-467A-82C0-BE7B50319B0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1+2'!$G$18:$M$18</c:f>
              <c:numCache>
                <c:formatCode>0.0</c:formatCode>
                <c:ptCount val="7"/>
                <c:pt idx="0">
                  <c:v>52.024438938987174</c:v>
                </c:pt>
                <c:pt idx="1">
                  <c:v>51.314560898129315</c:v>
                </c:pt>
                <c:pt idx="2">
                  <c:v>49.399662582749201</c:v>
                </c:pt>
                <c:pt idx="3">
                  <c:v>47.92929189064612</c:v>
                </c:pt>
                <c:pt idx="4">
                  <c:v>46.811134827452079</c:v>
                </c:pt>
                <c:pt idx="5">
                  <c:v>45.899876890669269</c:v>
                </c:pt>
                <c:pt idx="6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B82-467A-82C0-BE7B50319B0B}"/>
            </c:ext>
          </c:extLst>
        </c:ser>
        <c:ser>
          <c:idx val="6"/>
          <c:order val="5"/>
          <c:tx>
            <c:strRef>
              <c:f>'Graf 1+2'!$E$21</c:f>
              <c:strCache>
                <c:ptCount val="1"/>
                <c:pt idx="0">
                  <c:v>Čistý dlh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1+2'!$G$21:$M$21</c:f>
              <c:numCache>
                <c:formatCode>0.0</c:formatCode>
                <c:ptCount val="7"/>
                <c:pt idx="0">
                  <c:v>46.838254254814252</c:v>
                </c:pt>
                <c:pt idx="1">
                  <c:v>45.661267812317767</c:v>
                </c:pt>
                <c:pt idx="2">
                  <c:v>43.413592059050728</c:v>
                </c:pt>
                <c:pt idx="3">
                  <c:v>42.854065419211018</c:v>
                </c:pt>
                <c:pt idx="4">
                  <c:v>42.199141101815563</c:v>
                </c:pt>
                <c:pt idx="5">
                  <c:v>40.784798999651649</c:v>
                </c:pt>
                <c:pt idx="6">
                  <c:v>38.457308519476264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B82-467A-82C0-BE7B5031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573688"/>
        <c:axId val="488107136"/>
      </c:lineChart>
      <c:catAx>
        <c:axId val="48557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sk-SK"/>
          </a:p>
        </c:txPr>
        <c:crossAx val="488107136"/>
        <c:crosses val="autoZero"/>
        <c:auto val="1"/>
        <c:lblAlgn val="ctr"/>
        <c:lblOffset val="100"/>
        <c:noMultiLvlLbl val="0"/>
      </c:catAx>
      <c:valAx>
        <c:axId val="488107136"/>
        <c:scaling>
          <c:orientation val="minMax"/>
          <c:min val="3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  <a:prstDash val="sysDot"/>
          </a:ln>
        </c:spPr>
        <c:crossAx val="485573688"/>
        <c:crosses val="max"/>
        <c:crossBetween val="between"/>
        <c:majorUnit val="5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3695041630982152E-2"/>
          <c:y val="2.8569000722285114E-2"/>
          <c:w val="0.90013784027123867"/>
          <c:h val="0.17763804221375415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'Graf 10+Tabuľka 1'!$M$10</c:f>
              <c:strCache>
                <c:ptCount val="1"/>
                <c:pt idx="0">
                  <c:v>MoF SR (June)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1'!$N$10:$S$10</c:f>
              <c:numCache>
                <c:formatCode>0.0</c:formatCode>
                <c:ptCount val="6"/>
                <c:pt idx="0">
                  <c:v>-0.34054422841947934</c:v>
                </c:pt>
                <c:pt idx="1">
                  <c:v>1.2135027592420385E-2</c:v>
                </c:pt>
                <c:pt idx="2">
                  <c:v>0.23100950977054652</c:v>
                </c:pt>
                <c:pt idx="3">
                  <c:v>0.93599952566038125</c:v>
                </c:pt>
                <c:pt idx="4">
                  <c:v>0.93484443081319424</c:v>
                </c:pt>
                <c:pt idx="5">
                  <c:v>0.77132380969948078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8-4008-83B7-CC7B1879AEA1}"/>
            </c:ext>
          </c:extLst>
        </c:ser>
        <c:ser>
          <c:idx val="1"/>
          <c:order val="1"/>
          <c:tx>
            <c:strRef>
              <c:f>'Graf 10+Tabuľka 1'!$M$9</c:f>
              <c:strCache>
                <c:ptCount val="1"/>
                <c:pt idx="0">
                  <c:v>NB SR (Sept)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1'!$N$9:$S$9</c:f>
              <c:numCache>
                <c:formatCode>0.0</c:formatCode>
                <c:ptCount val="6"/>
                <c:pt idx="0">
                  <c:v>-0.27700483322325797</c:v>
                </c:pt>
                <c:pt idx="1">
                  <c:v>-0.20230872732807301</c:v>
                </c:pt>
                <c:pt idx="2">
                  <c:v>0.18662844239649001</c:v>
                </c:pt>
                <c:pt idx="3">
                  <c:v>1.2170781081973301</c:v>
                </c:pt>
                <c:pt idx="4">
                  <c:v>0.77219916503055885</c:v>
                </c:pt>
                <c:pt idx="5">
                  <c:v>0.29410832392114949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68-4008-83B7-CC7B1879AEA1}"/>
            </c:ext>
          </c:extLst>
        </c:ser>
        <c:ser>
          <c:idx val="0"/>
          <c:order val="2"/>
          <c:tx>
            <c:strRef>
              <c:f>'Graf 10+Tabuľka 1'!$M$8</c:f>
              <c:strCache>
                <c:ptCount val="1"/>
                <c:pt idx="0">
                  <c:v>MoF SR (Sept)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2C9ADC"/>
              </a:solidFill>
              <a:ln>
                <a:noFill/>
              </a:ln>
            </c:spPr>
          </c:marker>
          <c:cat>
            <c:numRef>
              <c:f>'Graf 10+Tabuľka 1'!$N$7:$S$7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'Graf 10+Tabuľka 1'!$N$8:$S$8</c:f>
              <c:numCache>
                <c:formatCode>0.0</c:formatCode>
                <c:ptCount val="6"/>
                <c:pt idx="0">
                  <c:v>-0.30251290240038697</c:v>
                </c:pt>
                <c:pt idx="1">
                  <c:v>-9.7242007685194309E-2</c:v>
                </c:pt>
                <c:pt idx="2">
                  <c:v>0.32142659830600717</c:v>
                </c:pt>
                <c:pt idx="3">
                  <c:v>1.2435943740391586</c:v>
                </c:pt>
                <c:pt idx="4">
                  <c:v>0.55103860292062823</c:v>
                </c:pt>
                <c:pt idx="5">
                  <c:v>3.4995192323838964E-2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68-4008-83B7-CC7B1879AEA1}"/>
            </c:ext>
          </c:extLst>
        </c:ser>
        <c:ser>
          <c:idx val="3"/>
          <c:order val="3"/>
          <c:tx>
            <c:strRef>
              <c:f>'Graf 10+Tabuľka 1'!$M$11</c:f>
              <c:strCache>
                <c:ptCount val="1"/>
                <c:pt idx="0">
                  <c:v>EC (May)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noFill/>
              </a:ln>
            </c:spPr>
          </c:marker>
          <c:val>
            <c:numRef>
              <c:f>'Graf 10+Tabuľka 1'!$N$11:$S$11</c:f>
              <c:numCache>
                <c:formatCode>0.0</c:formatCode>
                <c:ptCount val="6"/>
                <c:pt idx="0">
                  <c:v>-1.2277712000000001</c:v>
                </c:pt>
                <c:pt idx="1">
                  <c:v>-0.34416190000000002</c:v>
                </c:pt>
                <c:pt idx="2">
                  <c:v>0.4035145</c:v>
                </c:pt>
                <c:pt idx="3">
                  <c:v>1.4603976999999999</c:v>
                </c:pt>
                <c:pt idx="4">
                  <c:v>2.1326303000000002</c:v>
                </c:pt>
                <c:pt idx="5">
                  <c:v>2.2617197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 10+Tabuľka 1'!$M$12</c:f>
              <c:strCache>
                <c:ptCount val="1"/>
                <c:pt idx="0">
                  <c:v>OECD (May)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val>
            <c:numRef>
              <c:f>'Graf 10+Tabuľka 1'!$N$12:$S$12</c:f>
              <c:numCache>
                <c:formatCode>0.0</c:formatCode>
                <c:ptCount val="6"/>
                <c:pt idx="0">
                  <c:v>-1.6327239285999999</c:v>
                </c:pt>
                <c:pt idx="1">
                  <c:v>-0.94717419319999996</c:v>
                </c:pt>
                <c:pt idx="2">
                  <c:v>-0.36948802749999998</c:v>
                </c:pt>
                <c:pt idx="3">
                  <c:v>0.35327597370000002</c:v>
                </c:pt>
                <c:pt idx="4">
                  <c:v>0.1102847451</c:v>
                </c:pt>
                <c:pt idx="5">
                  <c:v>6.0489662899999998E-2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 10+Tabuľka 1'!$M$13</c:f>
              <c:strCache>
                <c:ptCount val="1"/>
                <c:pt idx="0">
                  <c:v>IMF (April)</c:v>
                </c:pt>
              </c:strCache>
            </c:strRef>
          </c:tx>
          <c:spPr>
            <a:ln w="25400">
              <a:solidFill>
                <a:sysClr val="window" lastClr="FFFFFF">
                  <a:lumMod val="50000"/>
                </a:sysClr>
              </a:solidFill>
            </a:ln>
          </c:spPr>
          <c:marker>
            <c:symbol val="circle"/>
            <c:size val="5"/>
            <c:spPr>
              <a:solidFill>
                <a:sysClr val="window" lastClr="FFFFFF">
                  <a:lumMod val="50000"/>
                </a:sysClr>
              </a:solidFill>
              <a:ln>
                <a:noFill/>
              </a:ln>
            </c:spPr>
          </c:marker>
          <c:val>
            <c:numRef>
              <c:f>'Graf 10+Tabuľka 1'!$N$13:$S$13</c:f>
              <c:numCache>
                <c:formatCode>0.0</c:formatCode>
                <c:ptCount val="6"/>
                <c:pt idx="0">
                  <c:v>0.74</c:v>
                </c:pt>
                <c:pt idx="1">
                  <c:v>1.363</c:v>
                </c:pt>
                <c:pt idx="2">
                  <c:v>1.1990000000000001</c:v>
                </c:pt>
                <c:pt idx="3">
                  <c:v>1.099</c:v>
                </c:pt>
                <c:pt idx="4">
                  <c:v>0.89900000000000002</c:v>
                </c:pt>
                <c:pt idx="5">
                  <c:v>0.47199999999999998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18856"/>
        <c:axId val="488319248"/>
      </c:lineChart>
      <c:catAx>
        <c:axId val="488318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488319248"/>
        <c:crosses val="autoZero"/>
        <c:auto val="1"/>
        <c:lblAlgn val="ctr"/>
        <c:lblOffset val="100"/>
        <c:noMultiLvlLbl val="0"/>
      </c:catAx>
      <c:valAx>
        <c:axId val="4883192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88318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34511336182380781"/>
          <c:y val="0.66976807021519513"/>
          <c:w val="0.63895347077639142"/>
          <c:h val="0.16366615612691285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11+12'!$B$22</c:f>
              <c:strCache>
                <c:ptCount val="1"/>
                <c:pt idx="0">
                  <c:v>Fond ochrany vkladov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11+12'!$D$22:$N$22</c:f>
              <c:numCache>
                <c:formatCode>0.00</c:formatCode>
                <c:ptCount val="11"/>
                <c:pt idx="0">
                  <c:v>5.1400463706498312E-2</c:v>
                </c:pt>
                <c:pt idx="1">
                  <c:v>7.0975944619988726E-2</c:v>
                </c:pt>
                <c:pt idx="2">
                  <c:v>6.8866320495195865E-2</c:v>
                </c:pt>
                <c:pt idx="3">
                  <c:v>6.9490224729282762E-2</c:v>
                </c:pt>
                <c:pt idx="4">
                  <c:v>3.6109678351111021E-2</c:v>
                </c:pt>
                <c:pt idx="5">
                  <c:v>8.1326821201379157E-3</c:v>
                </c:pt>
                <c:pt idx="6">
                  <c:v>4.2669133150918602E-2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0A-4FDF-98D4-BA4A40994E2C}"/>
            </c:ext>
          </c:extLst>
        </c:ser>
        <c:ser>
          <c:idx val="8"/>
          <c:order val="1"/>
          <c:tx>
            <c:strRef>
              <c:f>'Graf 11+12'!$B$23</c:f>
              <c:strCache>
                <c:ptCount val="1"/>
                <c:pt idx="0">
                  <c:v>Národný jadrový fond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11+12'!$D$23:$N$23</c:f>
              <c:numCache>
                <c:formatCode>0.00</c:formatCode>
                <c:ptCount val="11"/>
                <c:pt idx="0">
                  <c:v>-0.1545357386891239</c:v>
                </c:pt>
                <c:pt idx="1">
                  <c:v>-0.13435306943899936</c:v>
                </c:pt>
                <c:pt idx="2">
                  <c:v>-8.9405761994042376E-2</c:v>
                </c:pt>
                <c:pt idx="3">
                  <c:v>-0.11998918263785059</c:v>
                </c:pt>
                <c:pt idx="4">
                  <c:v>-0.13199502087244769</c:v>
                </c:pt>
                <c:pt idx="5">
                  <c:v>-0.13442924460717359</c:v>
                </c:pt>
                <c:pt idx="6">
                  <c:v>-0.12989732163199011</c:v>
                </c:pt>
                <c:pt idx="7">
                  <c:v>-0.12270047646496873</c:v>
                </c:pt>
                <c:pt idx="8">
                  <c:v>-0.11909845746205161</c:v>
                </c:pt>
                <c:pt idx="9">
                  <c:v>-0.11031825081731039</c:v>
                </c:pt>
                <c:pt idx="10">
                  <c:v>-0.10587705866761754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0A-4FDF-98D4-BA4A40994E2C}"/>
            </c:ext>
          </c:extLst>
        </c:ser>
        <c:ser>
          <c:idx val="0"/>
          <c:order val="2"/>
          <c:tx>
            <c:strRef>
              <c:f>'Graf 11+12'!$B$24:$B$24</c:f>
              <c:strCache>
                <c:ptCount val="1"/>
                <c:pt idx="0">
                  <c:v>Zelená energia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11+12'!$D$24:$N$24</c:f>
              <c:numCache>
                <c:formatCode>0.00</c:formatCode>
                <c:ptCount val="11"/>
                <c:pt idx="0">
                  <c:v>0</c:v>
                </c:pt>
                <c:pt idx="1">
                  <c:v>-0.22409099215751813</c:v>
                </c:pt>
                <c:pt idx="2">
                  <c:v>-1.3207097649654543E-2</c:v>
                </c:pt>
                <c:pt idx="3">
                  <c:v>-3.0094637759956504E-2</c:v>
                </c:pt>
                <c:pt idx="4">
                  <c:v>-3.0943489653180382E-2</c:v>
                </c:pt>
                <c:pt idx="5">
                  <c:v>-3.8166439896694979E-2</c:v>
                </c:pt>
                <c:pt idx="6">
                  <c:v>-0.12340219269612367</c:v>
                </c:pt>
                <c:pt idx="7">
                  <c:v>-3.4400561993782983E-2</c:v>
                </c:pt>
                <c:pt idx="8">
                  <c:v>-2.1660532573081551E-2</c:v>
                </c:pt>
                <c:pt idx="9">
                  <c:v>-5.3132039629904107E-2</c:v>
                </c:pt>
                <c:pt idx="10">
                  <c:v>-5.2900281754947029E-2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0A-4FDF-98D4-BA4A40994E2C}"/>
            </c:ext>
          </c:extLst>
        </c:ser>
        <c:ser>
          <c:idx val="1"/>
          <c:order val="3"/>
          <c:tx>
            <c:strRef>
              <c:f>'Graf 11+12'!$B$25</c:f>
              <c:strCache>
                <c:ptCount val="1"/>
                <c:pt idx="0">
                  <c:v>UMTS Licencie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11+12'!$D$25:$N$25</c:f>
              <c:numCache>
                <c:formatCode>0.00</c:formatCode>
                <c:ptCount val="11"/>
                <c:pt idx="0">
                  <c:v>8.2126859352095721E-3</c:v>
                </c:pt>
                <c:pt idx="1">
                  <c:v>8.7858913423436227E-3</c:v>
                </c:pt>
                <c:pt idx="2">
                  <c:v>8.3238010396982417E-3</c:v>
                </c:pt>
                <c:pt idx="3">
                  <c:v>-0.11510721081962758</c:v>
                </c:pt>
                <c:pt idx="4">
                  <c:v>1.5729641626606696E-2</c:v>
                </c:pt>
                <c:pt idx="5">
                  <c:v>-0.19313771779007899</c:v>
                </c:pt>
                <c:pt idx="6">
                  <c:v>-0.17676949451113633</c:v>
                </c:pt>
                <c:pt idx="7">
                  <c:v>3.5129665882646217E-2</c:v>
                </c:pt>
                <c:pt idx="8">
                  <c:v>3.5046628439121999E-2</c:v>
                </c:pt>
                <c:pt idx="9">
                  <c:v>3.2737435326829989E-2</c:v>
                </c:pt>
                <c:pt idx="10">
                  <c:v>2.1366538765284784E-2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0A-4FDF-98D4-BA4A40994E2C}"/>
            </c:ext>
          </c:extLst>
        </c:ser>
        <c:ser>
          <c:idx val="2"/>
          <c:order val="4"/>
          <c:tx>
            <c:strRef>
              <c:f>'Graf 11+12'!$B$26:$B$26</c:f>
              <c:strCache>
                <c:ptCount val="1"/>
                <c:pt idx="0">
                  <c:v>Záv. z daní a soc. prísp.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11+12'!$D$26:$N$26</c:f>
              <c:numCache>
                <c:formatCode>0.00</c:formatCode>
                <c:ptCount val="11"/>
                <c:pt idx="0">
                  <c:v>0</c:v>
                </c:pt>
                <c:pt idx="1">
                  <c:v>-6.9273434119872357E-2</c:v>
                </c:pt>
                <c:pt idx="2">
                  <c:v>-1.2134252182315658E-4</c:v>
                </c:pt>
                <c:pt idx="3">
                  <c:v>-1.7430961442617011E-2</c:v>
                </c:pt>
                <c:pt idx="4">
                  <c:v>4.3687030197995969E-2</c:v>
                </c:pt>
                <c:pt idx="5">
                  <c:v>-3.1778401454186115E-3</c:v>
                </c:pt>
                <c:pt idx="6">
                  <c:v>-1.0699482935428706E-2</c:v>
                </c:pt>
                <c:pt idx="7">
                  <c:v>7.5007984129847102E-3</c:v>
                </c:pt>
                <c:pt idx="8">
                  <c:v>-0.1243886307294457</c:v>
                </c:pt>
                <c:pt idx="9">
                  <c:v>-1.3219663476890057E-2</c:v>
                </c:pt>
                <c:pt idx="10">
                  <c:v>-1.0056341676952124E-2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0A-4FDF-98D4-BA4A40994E2C}"/>
            </c:ext>
          </c:extLst>
        </c:ser>
        <c:ser>
          <c:idx val="3"/>
          <c:order val="5"/>
          <c:tx>
            <c:strRef>
              <c:f>'Graf 11+12'!$B$27:$B$27</c:f>
              <c:strCache>
                <c:ptCount val="1"/>
                <c:pt idx="0">
                  <c:v>Ostatné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11+12'!$D$27:$N$27</c:f>
              <c:numCache>
                <c:formatCode>0.00</c:formatCode>
                <c:ptCount val="11"/>
                <c:pt idx="0">
                  <c:v>-2.7448621436789328E-4</c:v>
                </c:pt>
                <c:pt idx="1">
                  <c:v>2.5258571854066772E-4</c:v>
                </c:pt>
                <c:pt idx="2">
                  <c:v>-2.5550578465096448E-4</c:v>
                </c:pt>
                <c:pt idx="3">
                  <c:v>-7.3147656062933267E-4</c:v>
                </c:pt>
                <c:pt idx="4">
                  <c:v>3.6062816462164698E-4</c:v>
                </c:pt>
                <c:pt idx="5">
                  <c:v>-1.1023249566370183E-3</c:v>
                </c:pt>
                <c:pt idx="6">
                  <c:v>-8.2783874226912487E-4</c:v>
                </c:pt>
                <c:pt idx="7">
                  <c:v>-2.766762639506158E-3</c:v>
                </c:pt>
                <c:pt idx="8">
                  <c:v>-6.0197162863767232E-3</c:v>
                </c:pt>
                <c:pt idx="9">
                  <c:v>2.5827984745574639E-3</c:v>
                </c:pt>
                <c:pt idx="10">
                  <c:v>2.5429395721519133E-2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70A-4FDF-98D4-BA4A4099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319640"/>
        <c:axId val="487925312"/>
      </c:barChart>
      <c:lineChart>
        <c:grouping val="standard"/>
        <c:varyColors val="0"/>
        <c:ser>
          <c:idx val="4"/>
          <c:order val="6"/>
          <c:tx>
            <c:strRef>
              <c:f>'Graf 11+12'!$B$28</c:f>
              <c:strCache>
                <c:ptCount val="1"/>
                <c:pt idx="0">
                  <c:v>Revízia spolu</c:v>
                </c:pt>
              </c:strCache>
            </c:strRef>
          </c:tx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sysDot"/>
            </a:ln>
          </c:spPr>
          <c:marker>
            <c:symbol val="none"/>
          </c:marker>
          <c:dLbls>
            <c:dLbl>
              <c:idx val="6"/>
              <c:layout>
                <c:manualLayout>
                  <c:x val="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70A-4FDF-98D4-BA4A40994E2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11+12'!$D$28:$N$28</c:f>
              <c:numCache>
                <c:formatCode>0.00</c:formatCode>
                <c:ptCount val="11"/>
                <c:pt idx="0">
                  <c:v>-9.519707526178392E-2</c:v>
                </c:pt>
                <c:pt idx="1">
                  <c:v>-0.34768544478477298</c:v>
                </c:pt>
                <c:pt idx="2">
                  <c:v>-2.5803043329638797E-2</c:v>
                </c:pt>
                <c:pt idx="3">
                  <c:v>-0.21384112636491323</c:v>
                </c:pt>
                <c:pt idx="4">
                  <c:v>-6.7072424298692632E-2</c:v>
                </c:pt>
                <c:pt idx="5">
                  <c:v>-0.36179649384056511</c:v>
                </c:pt>
                <c:pt idx="6">
                  <c:v>-0.39884455047050976</c:v>
                </c:pt>
                <c:pt idx="7">
                  <c:v>-0.11686511813087788</c:v>
                </c:pt>
                <c:pt idx="8">
                  <c:v>-0.23517694866277727</c:v>
                </c:pt>
                <c:pt idx="9">
                  <c:v>-0.14184768444459395</c:v>
                </c:pt>
                <c:pt idx="10">
                  <c:v>-0.12815821344916134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70A-4FDF-98D4-BA4A4099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319640"/>
        <c:axId val="487925312"/>
      </c:lineChart>
      <c:catAx>
        <c:axId val="48831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7925312"/>
        <c:crosses val="autoZero"/>
        <c:auto val="1"/>
        <c:lblAlgn val="ctr"/>
        <c:lblOffset val="100"/>
        <c:noMultiLvlLbl val="0"/>
      </c:catAx>
      <c:valAx>
        <c:axId val="487925312"/>
        <c:scaling>
          <c:orientation val="minMax"/>
          <c:max val="0.1"/>
          <c:min val="-0.7000000000000000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88319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01640419947506"/>
          <c:y val="0.52278762029746284"/>
          <c:w val="0.82984251968503941"/>
          <c:h val="0.372660396617089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11+12'!$B$57</c:f>
              <c:strCache>
                <c:ptCount val="1"/>
                <c:pt idx="0">
                  <c:v>Hrubý dlh VS po revízii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11+12'!$D$57:$G$57</c:f>
              <c:numCache>
                <c:formatCode>0.0</c:formatCode>
                <c:ptCount val="4"/>
                <c:pt idx="0">
                  <c:v>51.88713014805073</c:v>
                </c:pt>
                <c:pt idx="1">
                  <c:v>52.024438938987174</c:v>
                </c:pt>
                <c:pt idx="2">
                  <c:v>51.314560898129315</c:v>
                </c:pt>
                <c:pt idx="3">
                  <c:v>49.399662582749201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09-42CE-A3F1-2DF6ECF7D053}"/>
            </c:ext>
          </c:extLst>
        </c:ser>
        <c:ser>
          <c:idx val="0"/>
          <c:order val="1"/>
          <c:tx>
            <c:strRef>
              <c:f>'Graf 11+12'!$B$56</c:f>
              <c:strCache>
                <c:ptCount val="1"/>
                <c:pt idx="0">
                  <c:v>Hrubý dlh VS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11+12'!$D$56:$G$56</c:f>
              <c:numCache>
                <c:formatCode>0.0</c:formatCode>
                <c:ptCount val="4"/>
                <c:pt idx="0">
                  <c:v>52.180811561745386</c:v>
                </c:pt>
                <c:pt idx="1">
                  <c:v>51.773085941220621</c:v>
                </c:pt>
                <c:pt idx="2">
                  <c:v>50.949557197402193</c:v>
                </c:pt>
                <c:pt idx="3">
                  <c:v>48.939721218158212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09-42CE-A3F1-2DF6ECF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7926096"/>
        <c:axId val="487926488"/>
      </c:barChart>
      <c:lineChart>
        <c:grouping val="standard"/>
        <c:varyColors val="0"/>
        <c:ser>
          <c:idx val="2"/>
          <c:order val="2"/>
          <c:tx>
            <c:strRef>
              <c:f>'Graf 11+12'!$B$58</c:f>
              <c:strCache>
                <c:ptCount val="1"/>
                <c:pt idx="0">
                  <c:v>Dolné sankčné pásmo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11+12'!$D$58:$G$58</c:f>
              <c:numCache>
                <c:formatCode>0.0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09-42CE-A3F1-2DF6ECF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26096"/>
        <c:axId val="487926488"/>
      </c:lineChart>
      <c:catAx>
        <c:axId val="48792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7926488"/>
        <c:crosses val="autoZero"/>
        <c:auto val="1"/>
        <c:lblAlgn val="ctr"/>
        <c:lblOffset val="100"/>
        <c:noMultiLvlLbl val="0"/>
      </c:catAx>
      <c:valAx>
        <c:axId val="487926488"/>
        <c:scaling>
          <c:orientation val="minMax"/>
          <c:max val="53"/>
          <c:min val="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79260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11+12'!$C$22</c:f>
              <c:strCache>
                <c:ptCount val="1"/>
                <c:pt idx="0">
                  <c:v>Deposit protection Fund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11+12'!$D$22:$N$22</c:f>
              <c:numCache>
                <c:formatCode>0.00</c:formatCode>
                <c:ptCount val="11"/>
                <c:pt idx="0">
                  <c:v>5.1400463706498312E-2</c:v>
                </c:pt>
                <c:pt idx="1">
                  <c:v>7.0975944619988726E-2</c:v>
                </c:pt>
                <c:pt idx="2">
                  <c:v>6.8866320495195865E-2</c:v>
                </c:pt>
                <c:pt idx="3">
                  <c:v>6.9490224729282762E-2</c:v>
                </c:pt>
                <c:pt idx="4">
                  <c:v>3.6109678351111021E-2</c:v>
                </c:pt>
                <c:pt idx="5">
                  <c:v>8.1326821201379157E-3</c:v>
                </c:pt>
                <c:pt idx="6">
                  <c:v>4.2669133150918602E-2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0A-4FDF-98D4-BA4A40994E2C}"/>
            </c:ext>
          </c:extLst>
        </c:ser>
        <c:ser>
          <c:idx val="8"/>
          <c:order val="1"/>
          <c:tx>
            <c:strRef>
              <c:f>'Graf 11+12'!$C$23</c:f>
              <c:strCache>
                <c:ptCount val="1"/>
                <c:pt idx="0">
                  <c:v>National Nuclear Fund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11+12'!$D$23:$N$23</c:f>
              <c:numCache>
                <c:formatCode>0.00</c:formatCode>
                <c:ptCount val="11"/>
                <c:pt idx="0">
                  <c:v>-0.1545357386891239</c:v>
                </c:pt>
                <c:pt idx="1">
                  <c:v>-0.13435306943899936</c:v>
                </c:pt>
                <c:pt idx="2">
                  <c:v>-8.9405761994042376E-2</c:v>
                </c:pt>
                <c:pt idx="3">
                  <c:v>-0.11998918263785059</c:v>
                </c:pt>
                <c:pt idx="4">
                  <c:v>-0.13199502087244769</c:v>
                </c:pt>
                <c:pt idx="5">
                  <c:v>-0.13442924460717359</c:v>
                </c:pt>
                <c:pt idx="6">
                  <c:v>-0.12989732163199011</c:v>
                </c:pt>
                <c:pt idx="7">
                  <c:v>-0.12270047646496873</c:v>
                </c:pt>
                <c:pt idx="8">
                  <c:v>-0.11909845746205161</c:v>
                </c:pt>
                <c:pt idx="9">
                  <c:v>-0.11031825081731039</c:v>
                </c:pt>
                <c:pt idx="10">
                  <c:v>-0.10587705866761754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0A-4FDF-98D4-BA4A40994E2C}"/>
            </c:ext>
          </c:extLst>
        </c:ser>
        <c:ser>
          <c:idx val="0"/>
          <c:order val="2"/>
          <c:tx>
            <c:strRef>
              <c:f>'Graf 11+12'!$C$24</c:f>
              <c:strCache>
                <c:ptCount val="1"/>
                <c:pt idx="0">
                  <c:v>Green energy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11+12'!$D$24:$N$24</c:f>
              <c:numCache>
                <c:formatCode>0.00</c:formatCode>
                <c:ptCount val="11"/>
                <c:pt idx="0">
                  <c:v>0</c:v>
                </c:pt>
                <c:pt idx="1">
                  <c:v>-0.22409099215751813</c:v>
                </c:pt>
                <c:pt idx="2">
                  <c:v>-1.3207097649654543E-2</c:v>
                </c:pt>
                <c:pt idx="3">
                  <c:v>-3.0094637759956504E-2</c:v>
                </c:pt>
                <c:pt idx="4">
                  <c:v>-3.0943489653180382E-2</c:v>
                </c:pt>
                <c:pt idx="5">
                  <c:v>-3.8166439896694979E-2</c:v>
                </c:pt>
                <c:pt idx="6">
                  <c:v>-0.12340219269612367</c:v>
                </c:pt>
                <c:pt idx="7">
                  <c:v>-3.4400561993782983E-2</c:v>
                </c:pt>
                <c:pt idx="8">
                  <c:v>-2.1660532573081551E-2</c:v>
                </c:pt>
                <c:pt idx="9">
                  <c:v>-5.3132039629904107E-2</c:v>
                </c:pt>
                <c:pt idx="10">
                  <c:v>-5.2900281754947029E-2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0A-4FDF-98D4-BA4A40994E2C}"/>
            </c:ext>
          </c:extLst>
        </c:ser>
        <c:ser>
          <c:idx val="1"/>
          <c:order val="3"/>
          <c:tx>
            <c:strRef>
              <c:f>'Graf 11+12'!$C$25</c:f>
              <c:strCache>
                <c:ptCount val="1"/>
                <c:pt idx="0">
                  <c:v>UMTS Licenses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11+12'!$D$25:$N$25</c:f>
              <c:numCache>
                <c:formatCode>0.00</c:formatCode>
                <c:ptCount val="11"/>
                <c:pt idx="0">
                  <c:v>8.2126859352095721E-3</c:v>
                </c:pt>
                <c:pt idx="1">
                  <c:v>8.7858913423436227E-3</c:v>
                </c:pt>
                <c:pt idx="2">
                  <c:v>8.3238010396982417E-3</c:v>
                </c:pt>
                <c:pt idx="3">
                  <c:v>-0.11510721081962758</c:v>
                </c:pt>
                <c:pt idx="4">
                  <c:v>1.5729641626606696E-2</c:v>
                </c:pt>
                <c:pt idx="5">
                  <c:v>-0.19313771779007899</c:v>
                </c:pt>
                <c:pt idx="6">
                  <c:v>-0.17676949451113633</c:v>
                </c:pt>
                <c:pt idx="7">
                  <c:v>3.5129665882646217E-2</c:v>
                </c:pt>
                <c:pt idx="8">
                  <c:v>3.5046628439121999E-2</c:v>
                </c:pt>
                <c:pt idx="9">
                  <c:v>3.2737435326829989E-2</c:v>
                </c:pt>
                <c:pt idx="10">
                  <c:v>2.1366538765284784E-2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0A-4FDF-98D4-BA4A40994E2C}"/>
            </c:ext>
          </c:extLst>
        </c:ser>
        <c:ser>
          <c:idx val="2"/>
          <c:order val="4"/>
          <c:tx>
            <c:strRef>
              <c:f>'Graf 11+12'!$C$26</c:f>
              <c:strCache>
                <c:ptCount val="1"/>
                <c:pt idx="0">
                  <c:v>Tax and social security liabilities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11+12'!$D$26:$N$26</c:f>
              <c:numCache>
                <c:formatCode>0.00</c:formatCode>
                <c:ptCount val="11"/>
                <c:pt idx="0">
                  <c:v>0</c:v>
                </c:pt>
                <c:pt idx="1">
                  <c:v>-6.9273434119872357E-2</c:v>
                </c:pt>
                <c:pt idx="2">
                  <c:v>-1.2134252182315658E-4</c:v>
                </c:pt>
                <c:pt idx="3">
                  <c:v>-1.7430961442617011E-2</c:v>
                </c:pt>
                <c:pt idx="4">
                  <c:v>4.3687030197995969E-2</c:v>
                </c:pt>
                <c:pt idx="5">
                  <c:v>-3.1778401454186115E-3</c:v>
                </c:pt>
                <c:pt idx="6">
                  <c:v>-1.0699482935428706E-2</c:v>
                </c:pt>
                <c:pt idx="7">
                  <c:v>7.5007984129847102E-3</c:v>
                </c:pt>
                <c:pt idx="8">
                  <c:v>-0.1243886307294457</c:v>
                </c:pt>
                <c:pt idx="9">
                  <c:v>-1.3219663476890057E-2</c:v>
                </c:pt>
                <c:pt idx="10">
                  <c:v>-1.0056341676952124E-2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0A-4FDF-98D4-BA4A40994E2C}"/>
            </c:ext>
          </c:extLst>
        </c:ser>
        <c:ser>
          <c:idx val="3"/>
          <c:order val="5"/>
          <c:tx>
            <c:strRef>
              <c:f>'Graf 11+12'!$C$27</c:f>
              <c:strCache>
                <c:ptCount val="1"/>
                <c:pt idx="0">
                  <c:v>Others</c:v>
                </c:pt>
              </c:strCache>
            </c:strRef>
          </c:tx>
          <c:invertIfNegative val="0"/>
          <c:cat>
            <c:numRef>
              <c:f>'Graf 11+12'!$D$21:$N$21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'Graf 11+12'!$D$27:$N$27</c:f>
              <c:numCache>
                <c:formatCode>0.00</c:formatCode>
                <c:ptCount val="11"/>
                <c:pt idx="0">
                  <c:v>-2.7448621436789328E-4</c:v>
                </c:pt>
                <c:pt idx="1">
                  <c:v>2.5258571854066772E-4</c:v>
                </c:pt>
                <c:pt idx="2">
                  <c:v>-2.5550578465096448E-4</c:v>
                </c:pt>
                <c:pt idx="3">
                  <c:v>-7.3147656062933267E-4</c:v>
                </c:pt>
                <c:pt idx="4">
                  <c:v>3.6062816462164698E-4</c:v>
                </c:pt>
                <c:pt idx="5">
                  <c:v>-1.1023249566370183E-3</c:v>
                </c:pt>
                <c:pt idx="6">
                  <c:v>-8.2783874226912487E-4</c:v>
                </c:pt>
                <c:pt idx="7">
                  <c:v>-2.766762639506158E-3</c:v>
                </c:pt>
                <c:pt idx="8">
                  <c:v>-6.0197162863767232E-3</c:v>
                </c:pt>
                <c:pt idx="9">
                  <c:v>2.5827984745574639E-3</c:v>
                </c:pt>
                <c:pt idx="10">
                  <c:v>2.5429395721519133E-2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70A-4FDF-98D4-BA4A4099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927272"/>
        <c:axId val="487927664"/>
      </c:barChart>
      <c:lineChart>
        <c:grouping val="standard"/>
        <c:varyColors val="0"/>
        <c:ser>
          <c:idx val="4"/>
          <c:order val="6"/>
          <c:tx>
            <c:strRef>
              <c:f>'Graf 11+12'!$C$28</c:f>
              <c:strCache>
                <c:ptCount val="1"/>
                <c:pt idx="0">
                  <c:v>Impact of revision total</c:v>
                </c:pt>
              </c:strCache>
            </c:strRef>
          </c:tx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sysDot"/>
            </a:ln>
          </c:spPr>
          <c:marker>
            <c:symbol val="none"/>
          </c:marker>
          <c:dLbls>
            <c:dLbl>
              <c:idx val="6"/>
              <c:layout>
                <c:manualLayout>
                  <c:x val="2.7777777777777779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70A-4FDF-98D4-BA4A40994E2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'Graf 11+12'!$D$28:$N$28</c:f>
              <c:numCache>
                <c:formatCode>0.00</c:formatCode>
                <c:ptCount val="11"/>
                <c:pt idx="0">
                  <c:v>-9.519707526178392E-2</c:v>
                </c:pt>
                <c:pt idx="1">
                  <c:v>-0.34768544478477298</c:v>
                </c:pt>
                <c:pt idx="2">
                  <c:v>-2.5803043329638797E-2</c:v>
                </c:pt>
                <c:pt idx="3">
                  <c:v>-0.21384112636491323</c:v>
                </c:pt>
                <c:pt idx="4">
                  <c:v>-6.7072424298692632E-2</c:v>
                </c:pt>
                <c:pt idx="5">
                  <c:v>-0.36179649384056511</c:v>
                </c:pt>
                <c:pt idx="6">
                  <c:v>-0.39884455047050976</c:v>
                </c:pt>
                <c:pt idx="7">
                  <c:v>-0.11686511813087788</c:v>
                </c:pt>
                <c:pt idx="8">
                  <c:v>-0.23517694866277727</c:v>
                </c:pt>
                <c:pt idx="9">
                  <c:v>-0.14184768444459395</c:v>
                </c:pt>
                <c:pt idx="10">
                  <c:v>-0.12815821344916134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70A-4FDF-98D4-BA4A40994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27272"/>
        <c:axId val="487927664"/>
      </c:lineChart>
      <c:catAx>
        <c:axId val="48792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7927664"/>
        <c:crosses val="autoZero"/>
        <c:auto val="1"/>
        <c:lblAlgn val="ctr"/>
        <c:lblOffset val="100"/>
        <c:noMultiLvlLbl val="0"/>
      </c:catAx>
      <c:valAx>
        <c:axId val="487927664"/>
        <c:scaling>
          <c:orientation val="minMax"/>
          <c:max val="0.1"/>
          <c:min val="-0.7000000000000000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487927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01640419947506"/>
          <c:y val="0.52278762029746284"/>
          <c:w val="0.82984251968503941"/>
          <c:h val="0.372660396617089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11+12'!$C$57</c:f>
              <c:strCache>
                <c:ptCount val="1"/>
                <c:pt idx="0">
                  <c:v>Gross debt after revision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11+12'!$D$57:$G$57</c:f>
              <c:numCache>
                <c:formatCode>0.0</c:formatCode>
                <c:ptCount val="4"/>
                <c:pt idx="0">
                  <c:v>51.88713014805073</c:v>
                </c:pt>
                <c:pt idx="1">
                  <c:v>52.024438938987174</c:v>
                </c:pt>
                <c:pt idx="2">
                  <c:v>51.314560898129315</c:v>
                </c:pt>
                <c:pt idx="3">
                  <c:v>49.399662582749201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09-42CE-A3F1-2DF6ECF7D053}"/>
            </c:ext>
          </c:extLst>
        </c:ser>
        <c:ser>
          <c:idx val="0"/>
          <c:order val="1"/>
          <c:tx>
            <c:strRef>
              <c:f>'Graf 11+12'!$C$56</c:f>
              <c:strCache>
                <c:ptCount val="1"/>
                <c:pt idx="0">
                  <c:v>Gross debt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11+12'!$D$56:$G$56</c:f>
              <c:numCache>
                <c:formatCode>0.0</c:formatCode>
                <c:ptCount val="4"/>
                <c:pt idx="0">
                  <c:v>52.180811561745386</c:v>
                </c:pt>
                <c:pt idx="1">
                  <c:v>51.773085941220621</c:v>
                </c:pt>
                <c:pt idx="2">
                  <c:v>50.949557197402193</c:v>
                </c:pt>
                <c:pt idx="3">
                  <c:v>48.939721218158212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09-42CE-A3F1-2DF6ECF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7928448"/>
        <c:axId val="487928840"/>
      </c:barChart>
      <c:lineChart>
        <c:grouping val="standard"/>
        <c:varyColors val="0"/>
        <c:ser>
          <c:idx val="2"/>
          <c:order val="2"/>
          <c:tx>
            <c:strRef>
              <c:f>'Graf 11+12'!$C$58</c:f>
              <c:strCache>
                <c:ptCount val="1"/>
                <c:pt idx="0">
                  <c:v>First sanction line of debt brake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11+12'!$D$55:$G$55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'Graf 11+12'!$D$58:$G$58</c:f>
              <c:numCache>
                <c:formatCode>0.0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09-42CE-A3F1-2DF6ECF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28448"/>
        <c:axId val="487928840"/>
      </c:lineChart>
      <c:catAx>
        <c:axId val="4879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7928840"/>
        <c:crosses val="autoZero"/>
        <c:auto val="1"/>
        <c:lblAlgn val="ctr"/>
        <c:lblOffset val="100"/>
        <c:noMultiLvlLbl val="0"/>
      </c:catAx>
      <c:valAx>
        <c:axId val="487928840"/>
        <c:scaling>
          <c:orientation val="minMax"/>
          <c:max val="53"/>
          <c:min val="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79284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9C9BA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4B-4AB2-AB41-3F788D625259}"/>
              </c:ext>
            </c:extLst>
          </c:dPt>
          <c:dPt>
            <c:idx val="4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4B-4AB2-AB41-3F788D625259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64B-4AB2-AB41-3F788D625259}"/>
              </c:ext>
            </c:extLst>
          </c:dPt>
          <c:cat>
            <c:strRef>
              <c:f>'Graf 13 '!$K$7:$K$20</c:f>
              <c:strCache>
                <c:ptCount val="14"/>
                <c:pt idx="0">
                  <c:v>Saldo VS - rozpočet</c:v>
                </c:pt>
                <c:pt idx="1">
                  <c:v>Viazanie výdavkov ŠR v nadväznosti na zhoršený vývoj</c:v>
                </c:pt>
                <c:pt idx="2">
                  <c:v>Viazanie výdavkov ŠR z titulu zrušenia odvodu z reťazcov</c:v>
                </c:pt>
                <c:pt idx="3">
                  <c:v>Vyššie odvody z trhu práce</c:v>
                </c:pt>
                <c:pt idx="4">
                  <c:v>Úspora na odvode do EÚ rozpočtu</c:v>
                </c:pt>
                <c:pt idx="5">
                  <c:v>Úspora na obsluhu štátneho dlhu</c:v>
                </c:pt>
                <c:pt idx="6">
                  <c:v>Výpadok daňových príjmov</c:v>
                </c:pt>
                <c:pt idx="7">
                  <c:v>Dofinancovanie zdravotníctva</c:v>
                </c:pt>
                <c:pt idx="8">
                  <c:v>Výpadok viacerých nedaňových príjmov </c:v>
                </c:pt>
                <c:pt idx="9">
                  <c:v>Vyššie výdavky sociálnej poisťovne</c:v>
                </c:pt>
                <c:pt idx="10">
                  <c:v>Vyššie výdavky na spolufinancovanie EÚ fondov</c:v>
                </c:pt>
                <c:pt idx="11">
                  <c:v>Navýšenie transferu Environmentálneho fondu obciam</c:v>
                </c:pt>
                <c:pt idx="12">
                  <c:v>Ostatné vplyvy</c:v>
                </c:pt>
                <c:pt idx="13">
                  <c:v>Saldo VS - očakávaná skutočnosť</c:v>
                </c:pt>
              </c:strCache>
            </c:strRef>
          </c:cat>
          <c:val>
            <c:numRef>
              <c:f>'Graf 13 '!$O$7:$O$20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50.534563113600029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4B-4AB2-AB41-3F788D625259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13 '!$K$7:$K$20</c:f>
              <c:strCache>
                <c:ptCount val="14"/>
                <c:pt idx="0">
                  <c:v>Saldo VS - rozpočet</c:v>
                </c:pt>
                <c:pt idx="1">
                  <c:v>Viazanie výdavkov ŠR v nadväznosti na zhoršený vývoj</c:v>
                </c:pt>
                <c:pt idx="2">
                  <c:v>Viazanie výdavkov ŠR z titulu zrušenia odvodu z reťazcov</c:v>
                </c:pt>
                <c:pt idx="3">
                  <c:v>Vyššie odvody z trhu práce</c:v>
                </c:pt>
                <c:pt idx="4">
                  <c:v>Úspora na odvode do EÚ rozpočtu</c:v>
                </c:pt>
                <c:pt idx="5">
                  <c:v>Úspora na obsluhu štátneho dlhu</c:v>
                </c:pt>
                <c:pt idx="6">
                  <c:v>Výpadok daňových príjmov</c:v>
                </c:pt>
                <c:pt idx="7">
                  <c:v>Dofinancovanie zdravotníctva</c:v>
                </c:pt>
                <c:pt idx="8">
                  <c:v>Výpadok viacerých nedaňových príjmov </c:v>
                </c:pt>
                <c:pt idx="9">
                  <c:v>Vyššie výdavky sociálnej poisťovne</c:v>
                </c:pt>
                <c:pt idx="10">
                  <c:v>Vyššie výdavky na spolufinancovanie EÚ fondov</c:v>
                </c:pt>
                <c:pt idx="11">
                  <c:v>Navýšenie transferu Environmentálneho fondu obciam</c:v>
                </c:pt>
                <c:pt idx="12">
                  <c:v>Ostatné vplyvy</c:v>
                </c:pt>
                <c:pt idx="13">
                  <c:v>Saldo VS - očakávaná skutočnosť</c:v>
                </c:pt>
              </c:strCache>
            </c:strRef>
          </c:cat>
          <c:val>
            <c:numRef>
              <c:f>'Graf 13 '!$P$7:$P$20</c:f>
              <c:numCache>
                <c:formatCode>#,##0</c:formatCode>
                <c:ptCount val="14"/>
                <c:pt idx="1">
                  <c:v>0</c:v>
                </c:pt>
                <c:pt idx="2">
                  <c:v>214</c:v>
                </c:pt>
                <c:pt idx="3">
                  <c:v>283</c:v>
                </c:pt>
                <c:pt idx="4">
                  <c:v>351.28779408000003</c:v>
                </c:pt>
                <c:pt idx="5">
                  <c:v>410.95535508</c:v>
                </c:pt>
                <c:pt idx="6">
                  <c:v>230.53456311360003</c:v>
                </c:pt>
                <c:pt idx="7">
                  <c:v>50.534563113600029</c:v>
                </c:pt>
                <c:pt idx="8">
                  <c:v>0</c:v>
                </c:pt>
                <c:pt idx="9">
                  <c:v>-125.56543688639997</c:v>
                </c:pt>
                <c:pt idx="10">
                  <c:v>-292.16543688639996</c:v>
                </c:pt>
                <c:pt idx="11">
                  <c:v>-418.90979088639995</c:v>
                </c:pt>
                <c:pt idx="12">
                  <c:v>-463.90979088639995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64B-4AB2-AB41-3F788D625259}"/>
            </c:ext>
          </c:extLst>
        </c:ser>
        <c:ser>
          <c:idx val="2"/>
          <c:order val="2"/>
          <c:spPr>
            <a:solidFill>
              <a:srgbClr val="ED7D31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64B-4AB2-AB41-3F788D625259}"/>
              </c:ext>
            </c:extLst>
          </c:dPt>
          <c:dPt>
            <c:idx val="1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64B-4AB2-AB41-3F788D625259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B64B-4AB2-AB41-3F788D625259}"/>
              </c:ext>
            </c:extLst>
          </c:dPt>
          <c:dPt>
            <c:idx val="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B64B-4AB2-AB41-3F788D625259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B64B-4AB2-AB41-3F788D625259}"/>
              </c:ext>
            </c:extLst>
          </c:dPt>
          <c:dPt>
            <c:idx val="5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B64B-4AB2-AB41-3F788D625259}"/>
              </c:ext>
            </c:extLst>
          </c:dPt>
          <c:dPt>
            <c:idx val="6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B64B-4AB2-AB41-3F788D625259}"/>
              </c:ext>
            </c:extLst>
          </c:dPt>
          <c:dPt>
            <c:idx val="7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64B-4AB2-AB41-3F788D625259}"/>
              </c:ext>
            </c:extLst>
          </c:dPt>
          <c:dPt>
            <c:idx val="8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64B-4AB2-AB41-3F788D625259}"/>
              </c:ext>
            </c:extLst>
          </c:dPt>
          <c:dPt>
            <c:idx val="9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64B-4AB2-AB41-3F788D625259}"/>
              </c:ext>
            </c:extLst>
          </c:dPt>
          <c:dPt>
            <c:idx val="10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B64B-4AB2-AB41-3F788D625259}"/>
              </c:ext>
            </c:extLst>
          </c:dPt>
          <c:dPt>
            <c:idx val="11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B64B-4AB2-AB41-3F788D625259}"/>
              </c:ext>
            </c:extLst>
          </c:dPt>
          <c:dPt>
            <c:idx val="12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B64B-4AB2-AB41-3F788D625259}"/>
              </c:ext>
            </c:extLst>
          </c:dPt>
          <c:dPt>
            <c:idx val="13"/>
            <c:invertIfNegative val="0"/>
            <c:bubble3D val="0"/>
            <c:spPr>
              <a:solidFill>
                <a:srgbClr val="C6D9F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B64B-4AB2-AB41-3F788D625259}"/>
              </c:ext>
            </c:extLst>
          </c:dPt>
          <c:dPt>
            <c:idx val="14"/>
            <c:invertIfNegative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B64B-4AB2-AB41-3F788D62525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0 (0 %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5009872554299E-3"/>
                  <c:y val="3.2624883977756356E-7"/>
                </c:manualLayout>
              </c:layout>
              <c:tx>
                <c:rich>
                  <a:bodyPr/>
                  <a:lstStyle/>
                  <a:p>
                    <a:fld id="{90801614-FBCE-4270-AC81-74A4A79B2746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2.333512834320588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4C30CF59-76C4-4354-AAAF-EDD2E91890E4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4A13A6D5-6E40-4572-8216-25EE1BDCD2F8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086214F7-6501-4810-928E-2E32A499B760}" type="VALUE">
                      <a:rPr lang="en-US"/>
                      <a:pPr/>
                      <a:t>[HODNOTA]</a:t>
                    </a:fld>
                    <a:r>
                      <a:rPr lang="en-US"/>
                      <a:t> (0,68 %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13 '!$K$7:$K$20</c:f>
              <c:strCache>
                <c:ptCount val="14"/>
                <c:pt idx="0">
                  <c:v>Saldo VS - rozpočet</c:v>
                </c:pt>
                <c:pt idx="1">
                  <c:v>Viazanie výdavkov ŠR v nadväznosti na zhoršený vývoj</c:v>
                </c:pt>
                <c:pt idx="2">
                  <c:v>Viazanie výdavkov ŠR z titulu zrušenia odvodu z reťazcov</c:v>
                </c:pt>
                <c:pt idx="3">
                  <c:v>Vyššie odvody z trhu práce</c:v>
                </c:pt>
                <c:pt idx="4">
                  <c:v>Úspora na odvode do EÚ rozpočtu</c:v>
                </c:pt>
                <c:pt idx="5">
                  <c:v>Úspora na obsluhu štátneho dlhu</c:v>
                </c:pt>
                <c:pt idx="6">
                  <c:v>Výpadok daňových príjmov</c:v>
                </c:pt>
                <c:pt idx="7">
                  <c:v>Dofinancovanie zdravotníctva</c:v>
                </c:pt>
                <c:pt idx="8">
                  <c:v>Výpadok viacerých nedaňových príjmov </c:v>
                </c:pt>
                <c:pt idx="9">
                  <c:v>Vyššie výdavky sociálnej poisťovne</c:v>
                </c:pt>
                <c:pt idx="10">
                  <c:v>Vyššie výdavky na spolufinancovanie EÚ fondov</c:v>
                </c:pt>
                <c:pt idx="11">
                  <c:v>Navýšenie transferu Environmentálneho fondu obciam</c:v>
                </c:pt>
                <c:pt idx="12">
                  <c:v>Ostatné vplyvy</c:v>
                </c:pt>
                <c:pt idx="13">
                  <c:v>Saldo VS - očakávaná skutočnosť</c:v>
                </c:pt>
              </c:strCache>
            </c:strRef>
          </c:cat>
          <c:val>
            <c:numRef>
              <c:f>'Graf 13 '!$Q$7:$Q$20</c:f>
              <c:numCache>
                <c:formatCode>#,##0</c:formatCode>
                <c:ptCount val="14"/>
                <c:pt idx="0">
                  <c:v>0</c:v>
                </c:pt>
                <c:pt idx="1">
                  <c:v>214</c:v>
                </c:pt>
                <c:pt idx="2">
                  <c:v>69</c:v>
                </c:pt>
                <c:pt idx="3">
                  <c:v>68.287794079999998</c:v>
                </c:pt>
                <c:pt idx="4">
                  <c:v>59.667560999999999</c:v>
                </c:pt>
                <c:pt idx="5">
                  <c:v>29.883662999999999</c:v>
                </c:pt>
                <c:pt idx="6">
                  <c:v>210.30445496639999</c:v>
                </c:pt>
                <c:pt idx="7">
                  <c:v>180</c:v>
                </c:pt>
                <c:pt idx="8">
                  <c:v>-125.56543688639997</c:v>
                </c:pt>
                <c:pt idx="9">
                  <c:v>-166.6</c:v>
                </c:pt>
                <c:pt idx="10">
                  <c:v>-126.744354</c:v>
                </c:pt>
                <c:pt idx="11">
                  <c:v>-45</c:v>
                </c:pt>
                <c:pt idx="12">
                  <c:v>-175.59884211360009</c:v>
                </c:pt>
                <c:pt idx="13">
                  <c:v>-639.50863299999992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B64B-4AB2-AB41-3F788D62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87929624"/>
        <c:axId val="487930016"/>
      </c:barChart>
      <c:catAx>
        <c:axId val="48792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487930016"/>
        <c:crosses val="autoZero"/>
        <c:auto val="1"/>
        <c:lblAlgn val="ctr"/>
        <c:lblOffset val="100"/>
        <c:noMultiLvlLbl val="0"/>
      </c:catAx>
      <c:valAx>
        <c:axId val="487930016"/>
        <c:scaling>
          <c:orientation val="minMax"/>
          <c:max val="500"/>
          <c:min val="-7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487929624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9C9BA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4B-4AB2-AB41-3F788D625259}"/>
              </c:ext>
            </c:extLst>
          </c:dPt>
          <c:dPt>
            <c:idx val="4"/>
            <c:invertIfNegative val="0"/>
            <c:bubble3D val="0"/>
            <c:spPr>
              <a:solidFill>
                <a:srgbClr val="B0D6AF">
                  <a:lumMod val="60000"/>
                  <a:lumOff val="4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4B-4AB2-AB41-3F788D625259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64B-4AB2-AB41-3F788D625259}"/>
              </c:ext>
            </c:extLst>
          </c:dPt>
          <c:cat>
            <c:strRef>
              <c:f>'Graf 13 '!$L$7:$L$20</c:f>
              <c:strCache>
                <c:ptCount val="14"/>
                <c:pt idx="0">
                  <c:v>Headline balance - Final</c:v>
                </c:pt>
                <c:pt idx="1">
                  <c:v>Binding of state budget expenditures due to worsened development</c:v>
                </c:pt>
                <c:pt idx="2">
                  <c:v>Binding of state budget expenditures due to cancellation of special levy from retail chains</c:v>
                </c:pt>
                <c:pt idx="3">
                  <c:v>Higher Social Security contributions</c:v>
                </c:pt>
                <c:pt idx="4">
                  <c:v>Lower transfer to the EU budget </c:v>
                </c:pt>
                <c:pt idx="5">
                  <c:v>Savings on state debt service</c:v>
                </c:pt>
                <c:pt idx="6">
                  <c:v>Lower tax revenues</c:v>
                </c:pt>
                <c:pt idx="7">
                  <c:v>Higher financing of health care</c:v>
                </c:pt>
                <c:pt idx="8">
                  <c:v>Lower non-tax revenues</c:v>
                </c:pt>
                <c:pt idx="9">
                  <c:v>Higher expenditures of Soc. Insurence Agency</c:v>
                </c:pt>
                <c:pt idx="10">
                  <c:v>Higher expenditure on EU co-financing</c:v>
                </c:pt>
                <c:pt idx="11">
                  <c:v>Increase in the transfer of the Environmental Fund to municipalities</c:v>
                </c:pt>
                <c:pt idx="12">
                  <c:v>Others</c:v>
                </c:pt>
                <c:pt idx="13">
                  <c:v>Expected headline balance</c:v>
                </c:pt>
              </c:strCache>
            </c:strRef>
          </c:cat>
          <c:val>
            <c:numRef>
              <c:f>'Graf 13 '!$O$7:$O$20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50.534563113600029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4B-4AB2-AB41-3F788D625259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13 '!$L$7:$L$20</c:f>
              <c:strCache>
                <c:ptCount val="14"/>
                <c:pt idx="0">
                  <c:v>Headline balance - Final</c:v>
                </c:pt>
                <c:pt idx="1">
                  <c:v>Binding of state budget expenditures due to worsened development</c:v>
                </c:pt>
                <c:pt idx="2">
                  <c:v>Binding of state budget expenditures due to cancellation of special levy from retail chains</c:v>
                </c:pt>
                <c:pt idx="3">
                  <c:v>Higher Social Security contributions</c:v>
                </c:pt>
                <c:pt idx="4">
                  <c:v>Lower transfer to the EU budget </c:v>
                </c:pt>
                <c:pt idx="5">
                  <c:v>Savings on state debt service</c:v>
                </c:pt>
                <c:pt idx="6">
                  <c:v>Lower tax revenues</c:v>
                </c:pt>
                <c:pt idx="7">
                  <c:v>Higher financing of health care</c:v>
                </c:pt>
                <c:pt idx="8">
                  <c:v>Lower non-tax revenues</c:v>
                </c:pt>
                <c:pt idx="9">
                  <c:v>Higher expenditures of Soc. Insurence Agency</c:v>
                </c:pt>
                <c:pt idx="10">
                  <c:v>Higher expenditure on EU co-financing</c:v>
                </c:pt>
                <c:pt idx="11">
                  <c:v>Increase in the transfer of the Environmental Fund to municipalities</c:v>
                </c:pt>
                <c:pt idx="12">
                  <c:v>Others</c:v>
                </c:pt>
                <c:pt idx="13">
                  <c:v>Expected headline balance</c:v>
                </c:pt>
              </c:strCache>
            </c:strRef>
          </c:cat>
          <c:val>
            <c:numRef>
              <c:f>'Graf 13 '!$P$7:$P$20</c:f>
              <c:numCache>
                <c:formatCode>#,##0</c:formatCode>
                <c:ptCount val="14"/>
                <c:pt idx="1">
                  <c:v>0</c:v>
                </c:pt>
                <c:pt idx="2">
                  <c:v>214</c:v>
                </c:pt>
                <c:pt idx="3">
                  <c:v>283</c:v>
                </c:pt>
                <c:pt idx="4">
                  <c:v>351.28779408000003</c:v>
                </c:pt>
                <c:pt idx="5">
                  <c:v>410.95535508</c:v>
                </c:pt>
                <c:pt idx="6">
                  <c:v>230.53456311360003</c:v>
                </c:pt>
                <c:pt idx="7">
                  <c:v>50.534563113600029</c:v>
                </c:pt>
                <c:pt idx="8">
                  <c:v>0</c:v>
                </c:pt>
                <c:pt idx="9">
                  <c:v>-125.56543688639997</c:v>
                </c:pt>
                <c:pt idx="10">
                  <c:v>-292.16543688639996</c:v>
                </c:pt>
                <c:pt idx="11">
                  <c:v>-418.90979088639995</c:v>
                </c:pt>
                <c:pt idx="12">
                  <c:v>-463.90979088639995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64B-4AB2-AB41-3F788D625259}"/>
            </c:ext>
          </c:extLst>
        </c:ser>
        <c:ser>
          <c:idx val="2"/>
          <c:order val="2"/>
          <c:spPr>
            <a:solidFill>
              <a:srgbClr val="ED7D31">
                <a:lumMod val="40000"/>
                <a:lumOff val="60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64B-4AB2-AB41-3F788D625259}"/>
              </c:ext>
            </c:extLst>
          </c:dPt>
          <c:dPt>
            <c:idx val="1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64B-4AB2-AB41-3F788D625259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B64B-4AB2-AB41-3F788D625259}"/>
              </c:ext>
            </c:extLst>
          </c:dPt>
          <c:dPt>
            <c:idx val="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B64B-4AB2-AB41-3F788D625259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B64B-4AB2-AB41-3F788D625259}"/>
              </c:ext>
            </c:extLst>
          </c:dPt>
          <c:dPt>
            <c:idx val="5"/>
            <c:invertIfNegative val="0"/>
            <c:bubble3D val="0"/>
            <c:spPr>
              <a:solidFill>
                <a:srgbClr val="C5E0B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B64B-4AB2-AB41-3F788D625259}"/>
              </c:ext>
            </c:extLst>
          </c:dPt>
          <c:dPt>
            <c:idx val="6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B64B-4AB2-AB41-3F788D625259}"/>
              </c:ext>
            </c:extLst>
          </c:dPt>
          <c:dPt>
            <c:idx val="7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64B-4AB2-AB41-3F788D625259}"/>
              </c:ext>
            </c:extLst>
          </c:dPt>
          <c:dPt>
            <c:idx val="8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64B-4AB2-AB41-3F788D625259}"/>
              </c:ext>
            </c:extLst>
          </c:dPt>
          <c:dPt>
            <c:idx val="9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64B-4AB2-AB41-3F788D625259}"/>
              </c:ext>
            </c:extLst>
          </c:dPt>
          <c:dPt>
            <c:idx val="10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B64B-4AB2-AB41-3F788D625259}"/>
              </c:ext>
            </c:extLst>
          </c:dPt>
          <c:dPt>
            <c:idx val="11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B64B-4AB2-AB41-3F788D625259}"/>
              </c:ext>
            </c:extLst>
          </c:dPt>
          <c:dPt>
            <c:idx val="12"/>
            <c:invertIfNegative val="0"/>
            <c:bubble3D val="0"/>
            <c:spPr>
              <a:solidFill>
                <a:srgbClr val="F9C9BA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B64B-4AB2-AB41-3F788D625259}"/>
              </c:ext>
            </c:extLst>
          </c:dPt>
          <c:dPt>
            <c:idx val="13"/>
            <c:invertIfNegative val="0"/>
            <c:bubble3D val="0"/>
            <c:spPr>
              <a:solidFill>
                <a:srgbClr val="C6D9F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B64B-4AB2-AB41-3F788D625259}"/>
              </c:ext>
            </c:extLst>
          </c:dPt>
          <c:dPt>
            <c:idx val="14"/>
            <c:invertIfNegative val="0"/>
            <c:bubble3D val="0"/>
            <c:spPr>
              <a:solidFill>
                <a:srgbClr val="5B9BD5">
                  <a:lumMod val="40000"/>
                  <a:lumOff val="60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B64B-4AB2-AB41-3F788D625259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0 (0 %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1800394902173277E-3"/>
                  <c:y val="4.1436865140148348E-3"/>
                </c:manualLayout>
              </c:layout>
              <c:tx>
                <c:rich>
                  <a:bodyPr/>
                  <a:lstStyle/>
                  <a:p>
                    <a:fld id="{90801614-FBCE-4270-AC81-74A4A79B2746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2.333512834320588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4C30CF59-76C4-4354-AAAF-EDD2E91890E4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4A13A6D5-6E40-4572-8216-25EE1BDCD2F8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086214F7-6501-4810-928E-2E32A499B760}" type="VALUE">
                      <a:rPr lang="en-US"/>
                      <a:pPr/>
                      <a:t>[HODNOTA]</a:t>
                    </a:fld>
                    <a:r>
                      <a:rPr lang="en-US"/>
                      <a:t> (0,68 %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13 '!$L$7:$L$20</c:f>
              <c:strCache>
                <c:ptCount val="14"/>
                <c:pt idx="0">
                  <c:v>Headline balance - Final</c:v>
                </c:pt>
                <c:pt idx="1">
                  <c:v>Binding of state budget expenditures due to worsened development</c:v>
                </c:pt>
                <c:pt idx="2">
                  <c:v>Binding of state budget expenditures due to cancellation of special levy from retail chains</c:v>
                </c:pt>
                <c:pt idx="3">
                  <c:v>Higher Social Security contributions</c:v>
                </c:pt>
                <c:pt idx="4">
                  <c:v>Lower transfer to the EU budget </c:v>
                </c:pt>
                <c:pt idx="5">
                  <c:v>Savings on state debt service</c:v>
                </c:pt>
                <c:pt idx="6">
                  <c:v>Lower tax revenues</c:v>
                </c:pt>
                <c:pt idx="7">
                  <c:v>Higher financing of health care</c:v>
                </c:pt>
                <c:pt idx="8">
                  <c:v>Lower non-tax revenues</c:v>
                </c:pt>
                <c:pt idx="9">
                  <c:v>Higher expenditures of Soc. Insurence Agency</c:v>
                </c:pt>
                <c:pt idx="10">
                  <c:v>Higher expenditure on EU co-financing</c:v>
                </c:pt>
                <c:pt idx="11">
                  <c:v>Increase in the transfer of the Environmental Fund to municipalities</c:v>
                </c:pt>
                <c:pt idx="12">
                  <c:v>Others</c:v>
                </c:pt>
                <c:pt idx="13">
                  <c:v>Expected headline balance</c:v>
                </c:pt>
              </c:strCache>
            </c:strRef>
          </c:cat>
          <c:val>
            <c:numRef>
              <c:f>'Graf 13 '!$Q$7:$Q$20</c:f>
              <c:numCache>
                <c:formatCode>#,##0</c:formatCode>
                <c:ptCount val="14"/>
                <c:pt idx="0">
                  <c:v>0</c:v>
                </c:pt>
                <c:pt idx="1">
                  <c:v>214</c:v>
                </c:pt>
                <c:pt idx="2">
                  <c:v>69</c:v>
                </c:pt>
                <c:pt idx="3">
                  <c:v>68.287794079999998</c:v>
                </c:pt>
                <c:pt idx="4">
                  <c:v>59.667560999999999</c:v>
                </c:pt>
                <c:pt idx="5">
                  <c:v>29.883662999999999</c:v>
                </c:pt>
                <c:pt idx="6">
                  <c:v>210.30445496639999</c:v>
                </c:pt>
                <c:pt idx="7">
                  <c:v>180</c:v>
                </c:pt>
                <c:pt idx="8">
                  <c:v>-125.56543688639997</c:v>
                </c:pt>
                <c:pt idx="9">
                  <c:v>-166.6</c:v>
                </c:pt>
                <c:pt idx="10">
                  <c:v>-126.744354</c:v>
                </c:pt>
                <c:pt idx="11">
                  <c:v>-45</c:v>
                </c:pt>
                <c:pt idx="12">
                  <c:v>-175.59884211360009</c:v>
                </c:pt>
                <c:pt idx="13">
                  <c:v>-639.50863299999992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B64B-4AB2-AB41-3F788D625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87930800"/>
        <c:axId val="487931192"/>
      </c:barChart>
      <c:catAx>
        <c:axId val="487930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487931192"/>
        <c:crosses val="autoZero"/>
        <c:auto val="1"/>
        <c:lblAlgn val="ctr"/>
        <c:lblOffset val="100"/>
        <c:noMultiLvlLbl val="0"/>
      </c:catAx>
      <c:valAx>
        <c:axId val="487931192"/>
        <c:scaling>
          <c:orientation val="minMax"/>
          <c:max val="500"/>
          <c:min val="-7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487930800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7603761068327993E-2"/>
          <c:y val="5.6690126123615077E-2"/>
          <c:w val="0.86467249286146919"/>
          <c:h val="0.695338923342546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14'!$B$33</c:f>
              <c:strCache>
                <c:ptCount val="1"/>
                <c:pt idx="0">
                  <c:v>Vplyv efektívnych daňových sadzieb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14'!$D$33:$E$33</c:f>
              <c:numCache>
                <c:formatCode>#,##0</c:formatCode>
                <c:ptCount val="2"/>
                <c:pt idx="0">
                  <c:v>-53.612243568446715</c:v>
                </c:pt>
                <c:pt idx="1">
                  <c:v>218.48586772944512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4-4C2B-A748-D6E058BEC99F}"/>
            </c:ext>
          </c:extLst>
        </c:ser>
        <c:ser>
          <c:idx val="8"/>
          <c:order val="1"/>
          <c:tx>
            <c:strRef>
              <c:f>'Graf 14'!$B$35</c:f>
              <c:strCache>
                <c:ptCount val="1"/>
                <c:pt idx="0">
                  <c:v>Jednorazový vplyv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3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4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14'!$D$35:$E$35</c:f>
              <c:numCache>
                <c:formatCode>#,##0</c:formatCode>
                <c:ptCount val="2"/>
                <c:pt idx="0">
                  <c:v>-8.2444089999999992</c:v>
                </c:pt>
                <c:pt idx="1">
                  <c:v>4.8460000000000001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D4-4C2B-A748-D6E058BEC99F}"/>
            </c:ext>
          </c:extLst>
        </c:ser>
        <c:ser>
          <c:idx val="0"/>
          <c:order val="2"/>
          <c:tx>
            <c:strRef>
              <c:f>'Graf 14'!$B$32</c:f>
              <c:strCache>
                <c:ptCount val="1"/>
                <c:pt idx="0">
                  <c:v>Vplyv makroekonomického vývoja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14'!$D$32:$E$32</c:f>
              <c:numCache>
                <c:formatCode>#,##0</c:formatCode>
                <c:ptCount val="2"/>
                <c:pt idx="0">
                  <c:v>43.700037159501441</c:v>
                </c:pt>
                <c:pt idx="1">
                  <c:v>-130.47126383707757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ED4-4C2B-A748-D6E058BEC99F}"/>
            </c:ext>
          </c:extLst>
        </c:ser>
        <c:ser>
          <c:idx val="1"/>
          <c:order val="3"/>
          <c:tx>
            <c:strRef>
              <c:f>'Graf 14'!$B$34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14'!$D$34:$E$34</c:f>
              <c:numCache>
                <c:formatCode>#,##0</c:formatCode>
                <c:ptCount val="2"/>
                <c:pt idx="0">
                  <c:v>6.3616369759527913</c:v>
                </c:pt>
                <c:pt idx="1">
                  <c:v>-248.97670169294562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ED4-4C2B-A748-D6E058BEC99F}"/>
            </c:ext>
          </c:extLst>
        </c:ser>
        <c:ser>
          <c:idx val="3"/>
          <c:order val="4"/>
          <c:tx>
            <c:v>INÉ vplyvy</c:v>
          </c:tx>
          <c:spPr>
            <a:solidFill>
              <a:sysClr val="windowText" lastClr="000000">
                <a:lumMod val="75000"/>
                <a:lumOff val="25000"/>
              </a:sysClr>
            </a:solidFill>
          </c:spPr>
          <c:invertIfNegative val="0"/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'Graf 14'!$D$36:$E$36</c:f>
              <c:numCache>
                <c:formatCode>#,##0</c:formatCode>
                <c:ptCount val="2"/>
                <c:pt idx="0">
                  <c:v>-14.13929782700607</c:v>
                </c:pt>
                <c:pt idx="1">
                  <c:v>7.9064369141798672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F-2ED4-4C2B-A748-D6E058B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931976"/>
        <c:axId val="487932368"/>
        <c:extLst xmlns:c16r2="http://schemas.microsoft.com/office/drawing/2015/06/chart"/>
      </c:barChart>
      <c:lineChart>
        <c:grouping val="standard"/>
        <c:varyColors val="0"/>
        <c:ser>
          <c:idx val="2"/>
          <c:order val="5"/>
          <c:tx>
            <c:strRef>
              <c:f>'Graf 14'!$B$37</c:f>
              <c:strCache>
                <c:ptCount val="1"/>
                <c:pt idx="0">
                  <c:v>Celková zmena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97055175795336E-2"/>
                  <c:y val="6.686332350049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ED4-4C2B-A748-D6E058BEC9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074356090104122E-2"/>
                  <c:y val="-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ED4-4C2B-A748-D6E058BEC9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247757491851914E-2"/>
                  <c:y val="-5.899705014749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B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247757491851984E-2"/>
                  <c:y val="-6.293018682399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C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48E-2"/>
                  <c:y val="-0.10226155358898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D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</c:numLit>
          </c:cat>
          <c:val>
            <c:numRef>
              <c:f>'Graf 14'!$D$37:$E$37</c:f>
              <c:numCache>
                <c:formatCode>#,##0</c:formatCode>
                <c:ptCount val="2"/>
                <c:pt idx="0">
                  <c:v>-25.934276259998551</c:v>
                </c:pt>
                <c:pt idx="1">
                  <c:v>-148.20966088639821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2ED4-4C2B-A748-D6E058B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31976"/>
        <c:axId val="487932368"/>
      </c:lineChart>
      <c:catAx>
        <c:axId val="48793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7932368"/>
        <c:crosses val="autoZero"/>
        <c:auto val="1"/>
        <c:lblAlgn val="ctr"/>
        <c:lblOffset val="100"/>
        <c:noMultiLvlLbl val="0"/>
      </c:catAx>
      <c:valAx>
        <c:axId val="487932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8793197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2091373193735395E-2"/>
          <c:y val="0.81683072801740508"/>
          <c:w val="0.98790862680626446"/>
          <c:h val="0.16875571969433023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6284355678019968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14'!$B$40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14'!$D$40:$E$40</c:f>
              <c:numCache>
                <c:formatCode>#,##0</c:formatCode>
                <c:ptCount val="2"/>
                <c:pt idx="0">
                  <c:v>25.967000000000201</c:v>
                </c:pt>
                <c:pt idx="1">
                  <c:v>136.25154503360065</c:v>
                </c:pt>
              </c:numCache>
            </c:numRef>
          </c:val>
        </c:ser>
        <c:ser>
          <c:idx val="8"/>
          <c:order val="1"/>
          <c:tx>
            <c:strRef>
              <c:f>'Graf 14'!$B$41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14'!$D$41:$E$41</c:f>
              <c:numCache>
                <c:formatCode>#,##0</c:formatCode>
                <c:ptCount val="2"/>
                <c:pt idx="0">
                  <c:v>40.402999999999956</c:v>
                </c:pt>
                <c:pt idx="1">
                  <c:v>-101.223</c:v>
                </c:pt>
              </c:numCache>
            </c:numRef>
          </c:val>
        </c:ser>
        <c:ser>
          <c:idx val="0"/>
          <c:order val="2"/>
          <c:tx>
            <c:strRef>
              <c:f>'Graf 14'!$B$42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14'!$D$42:$E$42</c:f>
              <c:numCache>
                <c:formatCode>#,##0</c:formatCode>
                <c:ptCount val="2"/>
                <c:pt idx="0">
                  <c:v>-33.354590340001081</c:v>
                </c:pt>
                <c:pt idx="1">
                  <c:v>22.107999999999244</c:v>
                </c:pt>
              </c:numCache>
            </c:numRef>
          </c:val>
        </c:ser>
        <c:ser>
          <c:idx val="9"/>
          <c:order val="3"/>
          <c:tx>
            <c:strRef>
              <c:f>'Graf 14'!$B$43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ysClr val="windowText" lastClr="000000"/>
            </a:solidFill>
            <a:ln w="28575">
              <a:noFill/>
            </a:ln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14'!$D$43:$E$43</c:f>
              <c:numCache>
                <c:formatCode>#,##0</c:formatCode>
                <c:ptCount val="2"/>
                <c:pt idx="0">
                  <c:v>-11.999958329999322</c:v>
                </c:pt>
                <c:pt idx="1">
                  <c:v>-55.64299999999978</c:v>
                </c:pt>
              </c:numCache>
            </c:numRef>
          </c:val>
        </c:ser>
        <c:ser>
          <c:idx val="1"/>
          <c:order val="4"/>
          <c:tx>
            <c:strRef>
              <c:f>'Graf 14'!$B$46</c:f>
              <c:strCache>
                <c:ptCount val="1"/>
                <c:pt idx="0">
                  <c:v>OO z reťazcov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19280559559645E-2"/>
                  <c:y val="-3.8311159380938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14'!$D$46:$E$46</c:f>
              <c:numCache>
                <c:formatCode>#,##0</c:formatCode>
                <c:ptCount val="2"/>
                <c:pt idx="0">
                  <c:v>0</c:v>
                </c:pt>
                <c:pt idx="1">
                  <c:v>-118.50399999999999</c:v>
                </c:pt>
              </c:numCache>
            </c:numRef>
          </c:val>
        </c:ser>
        <c:ser>
          <c:idx val="2"/>
          <c:order val="5"/>
          <c:tx>
            <c:strRef>
              <c:f>'Graf 14'!$B$44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14'!$D$44:$E$44</c:f>
              <c:numCache>
                <c:formatCode>#,##0</c:formatCode>
                <c:ptCount val="2"/>
                <c:pt idx="0">
                  <c:v>1.4457492000015035</c:v>
                </c:pt>
                <c:pt idx="1">
                  <c:v>64.451440480001395</c:v>
                </c:pt>
              </c:numCache>
            </c:numRef>
          </c:val>
        </c:ser>
        <c:ser>
          <c:idx val="3"/>
          <c:order val="6"/>
          <c:tx>
            <c:strRef>
              <c:f>'Graf 14'!$B$45</c:f>
              <c:strCache>
                <c:ptCount val="1"/>
                <c:pt idx="0">
                  <c:v>Zdravotné odvody</c:v>
                </c:pt>
              </c:strCache>
            </c:strRef>
          </c:tx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14'!$D$45:$E$45</c:f>
              <c:numCache>
                <c:formatCode>#,##0</c:formatCode>
                <c:ptCount val="2"/>
                <c:pt idx="0">
                  <c:v>-16.563769579999697</c:v>
                </c:pt>
                <c:pt idx="1">
                  <c:v>3.487353600000294</c:v>
                </c:pt>
              </c:numCache>
            </c:numRef>
          </c:val>
        </c:ser>
        <c:ser>
          <c:idx val="4"/>
          <c:order val="7"/>
          <c:tx>
            <c:strRef>
              <c:f>'Graf 14'!$B$48</c:f>
              <c:strCache>
                <c:ptCount val="1"/>
                <c:pt idx="0">
                  <c:v>Ostatné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14'!$D$48:$E$48</c:f>
              <c:numCache>
                <c:formatCode>#,##0</c:formatCode>
                <c:ptCount val="2"/>
                <c:pt idx="0">
                  <c:v>-31.831707210000101</c:v>
                </c:pt>
                <c:pt idx="1">
                  <c:v>-9.1379999999999484</c:v>
                </c:pt>
              </c:numCache>
            </c:numRef>
          </c:val>
        </c:ser>
        <c:ser>
          <c:idx val="7"/>
          <c:order val="9"/>
          <c:tx>
            <c:strRef>
              <c:f>'Graf 14'!$B$47</c:f>
              <c:strCache>
                <c:ptCount val="1"/>
                <c:pt idx="0">
                  <c:v>Ekasa a nanomarkery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14'!$D$47:$E$47</c:f>
              <c:numCache>
                <c:formatCode>#,##0</c:formatCode>
                <c:ptCount val="2"/>
                <c:pt idx="0">
                  <c:v>0</c:v>
                </c:pt>
                <c:pt idx="1">
                  <c:v>-90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2408"/>
        <c:axId val="501702800"/>
      </c:barChart>
      <c:lineChart>
        <c:grouping val="standard"/>
        <c:varyColors val="0"/>
        <c:ser>
          <c:idx val="6"/>
          <c:order val="8"/>
          <c:tx>
            <c:strRef>
              <c:f>'Graf 14'!$B$49</c:f>
              <c:strCache>
                <c:ptCount val="1"/>
                <c:pt idx="0">
                  <c:v>Daňové príjmy 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14'!$D$49:$E$49</c:f>
              <c:numCache>
                <c:formatCode>#,##0</c:formatCode>
                <c:ptCount val="2"/>
                <c:pt idx="0">
                  <c:v>-25.934276259998537</c:v>
                </c:pt>
                <c:pt idx="1">
                  <c:v>-148.20966088639815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2408"/>
        <c:axId val="501702800"/>
      </c:lineChart>
      <c:catAx>
        <c:axId val="50170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1702800"/>
        <c:crosses val="autoZero"/>
        <c:auto val="1"/>
        <c:lblAlgn val="ctr"/>
        <c:lblOffset val="100"/>
        <c:noMultiLvlLbl val="0"/>
      </c:catAx>
      <c:valAx>
        <c:axId val="501702800"/>
        <c:scaling>
          <c:orientation val="minMax"/>
          <c:min val="-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501702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79689353485986647"/>
          <c:w val="0.98601766092777132"/>
          <c:h val="0.202002896189700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7603761068327993E-2"/>
          <c:y val="5.6690126123615077E-2"/>
          <c:w val="0.86467249286146919"/>
          <c:h val="0.695338923342546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14'!$B$33</c:f>
              <c:strCache>
                <c:ptCount val="1"/>
                <c:pt idx="0">
                  <c:v>Vplyv efektívnych daňových sadzieb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14'!$D$33:$E$33</c:f>
              <c:numCache>
                <c:formatCode>#,##0</c:formatCode>
                <c:ptCount val="2"/>
                <c:pt idx="0">
                  <c:v>-53.612243568446715</c:v>
                </c:pt>
                <c:pt idx="1">
                  <c:v>218.48586772944512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4-4C2B-A748-D6E058BEC99F}"/>
            </c:ext>
          </c:extLst>
        </c:ser>
        <c:ser>
          <c:idx val="8"/>
          <c:order val="1"/>
          <c:tx>
            <c:strRef>
              <c:f>'Graf 14'!$B$35</c:f>
              <c:strCache>
                <c:ptCount val="1"/>
                <c:pt idx="0">
                  <c:v>Jednorazový vplyv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3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4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14'!$D$35:$E$35</c:f>
              <c:numCache>
                <c:formatCode>#,##0</c:formatCode>
                <c:ptCount val="2"/>
                <c:pt idx="0">
                  <c:v>-8.2444089999999992</c:v>
                </c:pt>
                <c:pt idx="1">
                  <c:v>4.8460000000000001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D4-4C2B-A748-D6E058BEC99F}"/>
            </c:ext>
          </c:extLst>
        </c:ser>
        <c:ser>
          <c:idx val="0"/>
          <c:order val="2"/>
          <c:tx>
            <c:strRef>
              <c:f>'Graf 14'!$B$32</c:f>
              <c:strCache>
                <c:ptCount val="1"/>
                <c:pt idx="0">
                  <c:v>Vplyv makroekonomického vývoja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14'!$D$32:$E$32</c:f>
              <c:numCache>
                <c:formatCode>#,##0</c:formatCode>
                <c:ptCount val="2"/>
                <c:pt idx="0">
                  <c:v>43.700037159501441</c:v>
                </c:pt>
                <c:pt idx="1">
                  <c:v>-130.47126383707757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ED4-4C2B-A748-D6E058BEC99F}"/>
            </c:ext>
          </c:extLst>
        </c:ser>
        <c:ser>
          <c:idx val="1"/>
          <c:order val="3"/>
          <c:tx>
            <c:strRef>
              <c:f>'Graf 14'!$B$34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14'!$D$34:$E$34</c:f>
              <c:numCache>
                <c:formatCode>#,##0</c:formatCode>
                <c:ptCount val="2"/>
                <c:pt idx="0">
                  <c:v>6.3616369759527913</c:v>
                </c:pt>
                <c:pt idx="1">
                  <c:v>-248.97670169294562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ED4-4C2B-A748-D6E058BEC99F}"/>
            </c:ext>
          </c:extLst>
        </c:ser>
        <c:ser>
          <c:idx val="3"/>
          <c:order val="4"/>
          <c:tx>
            <c:v>INÉ vplyvy</c:v>
          </c:tx>
          <c:spPr>
            <a:solidFill>
              <a:sysClr val="windowText" lastClr="000000">
                <a:lumMod val="75000"/>
                <a:lumOff val="25000"/>
              </a:sysClr>
            </a:solidFill>
          </c:spPr>
          <c:invertIfNegative val="0"/>
          <c:cat>
            <c:numRef>
              <c:f>'Graf 14'!$D$31:$E$31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'Graf 14'!$D$36:$E$36</c:f>
              <c:numCache>
                <c:formatCode>#,##0</c:formatCode>
                <c:ptCount val="2"/>
                <c:pt idx="0">
                  <c:v>-14.13929782700607</c:v>
                </c:pt>
                <c:pt idx="1">
                  <c:v>7.9064369141798672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F-2ED4-4C2B-A748-D6E058B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3584"/>
        <c:axId val="501703976"/>
        <c:extLst xmlns:c16r2="http://schemas.microsoft.com/office/drawing/2015/06/chart"/>
      </c:barChart>
      <c:lineChart>
        <c:grouping val="standard"/>
        <c:varyColors val="0"/>
        <c:ser>
          <c:idx val="2"/>
          <c:order val="5"/>
          <c:tx>
            <c:strRef>
              <c:f>'Graf 14'!$B$37</c:f>
              <c:strCache>
                <c:ptCount val="1"/>
                <c:pt idx="0">
                  <c:v>Celková zmena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97055175795336E-2"/>
                  <c:y val="6.686332350049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ED4-4C2B-A748-D6E058BEC9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074356090104122E-2"/>
                  <c:y val="-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ED4-4C2B-A748-D6E058BEC99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247757491851914E-2"/>
                  <c:y val="-5.8997050147492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B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0247757491851984E-2"/>
                  <c:y val="-6.293018682399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C-2ED4-4C2B-A748-D6E058BEC99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48E-2"/>
                  <c:y val="-0.10226155358898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D-2ED4-4C2B-A748-D6E058BEC99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  <c:pt idx="4">
                <c:v>2021</c:v>
              </c:pt>
            </c:numLit>
          </c:cat>
          <c:val>
            <c:numRef>
              <c:f>'Graf 14'!$D$37:$E$37</c:f>
              <c:numCache>
                <c:formatCode>#,##0</c:formatCode>
                <c:ptCount val="2"/>
                <c:pt idx="0">
                  <c:v>-25.934276259998551</c:v>
                </c:pt>
                <c:pt idx="1">
                  <c:v>-148.20966088639821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2ED4-4C2B-A748-D6E058B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3584"/>
        <c:axId val="501703976"/>
      </c:lineChart>
      <c:catAx>
        <c:axId val="501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1703976"/>
        <c:crosses val="autoZero"/>
        <c:auto val="1"/>
        <c:lblAlgn val="ctr"/>
        <c:lblOffset val="100"/>
        <c:noMultiLvlLbl val="0"/>
      </c:catAx>
      <c:valAx>
        <c:axId val="5017039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50170358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1.2091373193735395E-2"/>
          <c:y val="0.81683072801740508"/>
          <c:w val="0.98790862680626446"/>
          <c:h val="0.16875571969433023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93708541418402E-2"/>
          <c:y val="0.2105723273864003"/>
          <c:w val="0.89153653846153846"/>
          <c:h val="0.6919454448038957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'Graf 1+2'!$F$10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670313639679067E-2"/>
                  <c:y val="9.52988969433339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B61-4D17-818C-E4D81676918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1+2'!$G$10:$M$10</c:f>
              <c:numCache>
                <c:formatCode>0.0</c:formatCode>
                <c:ptCount val="7"/>
                <c:pt idx="0">
                  <c:v>-2.3707534714209273</c:v>
                </c:pt>
                <c:pt idx="1">
                  <c:v>-1.0789174782868978</c:v>
                </c:pt>
                <c:pt idx="2">
                  <c:v>-1.5493995855584819</c:v>
                </c:pt>
                <c:pt idx="3">
                  <c:v>-0.89677298584209775</c:v>
                </c:pt>
                <c:pt idx="4">
                  <c:v>-0.50376653778628566</c:v>
                </c:pt>
                <c:pt idx="5">
                  <c:v>-8.9913323199984366E-2</c:v>
                </c:pt>
                <c:pt idx="6">
                  <c:v>-0.17592601845438224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61-4D17-818C-E4D816769189}"/>
            </c:ext>
          </c:extLst>
        </c:ser>
        <c:ser>
          <c:idx val="0"/>
          <c:order val="2"/>
          <c:tx>
            <c:strRef>
              <c:f>'Graf 1+2'!$F$11</c:f>
              <c:strCache>
                <c:ptCount val="1"/>
                <c:pt idx="0">
                  <c:v>Nominal balance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1.4587892049598834E-2"/>
                  <c:y val="5.198181700599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587892049598726E-2"/>
                  <c:y val="9.356727061079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598832968636035E-2"/>
                  <c:y val="2.07927268023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B61-4D17-818C-E4D81676918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1+2'!$G$11:$M$11</c:f>
              <c:numCache>
                <c:formatCode>0.0</c:formatCode>
                <c:ptCount val="7"/>
                <c:pt idx="0">
                  <c:v>-2.4766043259577044</c:v>
                </c:pt>
                <c:pt idx="1">
                  <c:v>-0.95247104414076211</c:v>
                </c:pt>
                <c:pt idx="2">
                  <c:v>-1.0601803518355066</c:v>
                </c:pt>
                <c:pt idx="3">
                  <c:v>-0.67999918185887065</c:v>
                </c:pt>
                <c:pt idx="4">
                  <c:v>-0.48999973284565995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B61-4D17-818C-E4D81676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107920"/>
        <c:axId val="488108312"/>
      </c:barChart>
      <c:lineChart>
        <c:grouping val="standard"/>
        <c:varyColors val="0"/>
        <c:ser>
          <c:idx val="4"/>
          <c:order val="0"/>
          <c:tx>
            <c:strRef>
              <c:f>'Graf 1+2'!$F$12</c:f>
              <c:strCache>
                <c:ptCount val="1"/>
                <c:pt idx="0">
                  <c:v>Consolidation effort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B61-4D17-818C-E4D816769189}"/>
              </c:ext>
            </c:extLst>
          </c:dPt>
          <c:dLbls>
            <c:dLbl>
              <c:idx val="3"/>
              <c:layout>
                <c:manualLayout>
                  <c:x val="-4.6727523132404268E-2"/>
                  <c:y val="-6.868195823348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7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896479293199784E-2"/>
                  <c:y val="-6.4977652987175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8-FB61-4D17-818C-E4D81676918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997260462792368E-2"/>
                  <c:y val="-7.44147099109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9-FB61-4D17-818C-E4D816769189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5875" cmpd="sng"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1+2'!$G$9:$M$9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1+2'!$G$12:$M$12</c:f>
              <c:numCache>
                <c:formatCode>0.0</c:formatCode>
                <c:ptCount val="7"/>
                <c:pt idx="0">
                  <c:v>0.16908085477144308</c:v>
                </c:pt>
                <c:pt idx="1">
                  <c:v>1.2918359931340295</c:v>
                </c:pt>
                <c:pt idx="2">
                  <c:v>-0.47048210727158413</c:v>
                </c:pt>
                <c:pt idx="3">
                  <c:v>0.65262659971638415</c:v>
                </c:pt>
                <c:pt idx="4">
                  <c:v>0.39300644805581209</c:v>
                </c:pt>
                <c:pt idx="5">
                  <c:v>0.41385321458630131</c:v>
                </c:pt>
                <c:pt idx="6">
                  <c:v>-8.6012695254397878E-2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A-FB61-4D17-818C-E4D81676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07920"/>
        <c:axId val="488108312"/>
        <c:extLst xmlns:c16r2="http://schemas.microsoft.com/office/drawing/2015/06/chart"/>
      </c:lineChart>
      <c:catAx>
        <c:axId val="48810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sk-SK"/>
          </a:p>
        </c:txPr>
        <c:crossAx val="488108312"/>
        <c:crosses val="autoZero"/>
        <c:auto val="1"/>
        <c:lblAlgn val="ctr"/>
        <c:lblOffset val="100"/>
        <c:noMultiLvlLbl val="0"/>
      </c:catAx>
      <c:valAx>
        <c:axId val="488108312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48810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5767820990539"/>
          <c:y val="5.7696663886006493E-2"/>
          <c:w val="0.77830706762233592"/>
          <c:h val="0.128228156399122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6284355678019968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14'!$B$40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14'!$D$40:$E$40</c:f>
              <c:numCache>
                <c:formatCode>#,##0</c:formatCode>
                <c:ptCount val="2"/>
                <c:pt idx="0">
                  <c:v>25.967000000000201</c:v>
                </c:pt>
                <c:pt idx="1">
                  <c:v>136.25154503360065</c:v>
                </c:pt>
              </c:numCache>
            </c:numRef>
          </c:val>
        </c:ser>
        <c:ser>
          <c:idx val="8"/>
          <c:order val="1"/>
          <c:tx>
            <c:strRef>
              <c:f>'Graf 14'!$B$41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14'!$D$41:$E$41</c:f>
              <c:numCache>
                <c:formatCode>#,##0</c:formatCode>
                <c:ptCount val="2"/>
                <c:pt idx="0">
                  <c:v>40.402999999999956</c:v>
                </c:pt>
                <c:pt idx="1">
                  <c:v>-101.223</c:v>
                </c:pt>
              </c:numCache>
            </c:numRef>
          </c:val>
        </c:ser>
        <c:ser>
          <c:idx val="0"/>
          <c:order val="2"/>
          <c:tx>
            <c:strRef>
              <c:f>'Graf 14'!$B$42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14'!$D$42:$E$42</c:f>
              <c:numCache>
                <c:formatCode>#,##0</c:formatCode>
                <c:ptCount val="2"/>
                <c:pt idx="0">
                  <c:v>-33.354590340001081</c:v>
                </c:pt>
                <c:pt idx="1">
                  <c:v>22.107999999999244</c:v>
                </c:pt>
              </c:numCache>
            </c:numRef>
          </c:val>
        </c:ser>
        <c:ser>
          <c:idx val="9"/>
          <c:order val="3"/>
          <c:tx>
            <c:strRef>
              <c:f>'Graf 14'!$B$43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ysClr val="windowText" lastClr="000000"/>
            </a:solidFill>
            <a:ln w="28575">
              <a:noFill/>
            </a:ln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14'!$D$43:$E$43</c:f>
              <c:numCache>
                <c:formatCode>#,##0</c:formatCode>
                <c:ptCount val="2"/>
                <c:pt idx="0">
                  <c:v>-11.999958329999322</c:v>
                </c:pt>
                <c:pt idx="1">
                  <c:v>-55.64299999999978</c:v>
                </c:pt>
              </c:numCache>
            </c:numRef>
          </c:val>
        </c:ser>
        <c:ser>
          <c:idx val="1"/>
          <c:order val="4"/>
          <c:tx>
            <c:strRef>
              <c:f>'Graf 14'!$B$46</c:f>
              <c:strCache>
                <c:ptCount val="1"/>
                <c:pt idx="0">
                  <c:v>OO z reťazcov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019280559559645E-2"/>
                  <c:y val="-3.8311159380938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14'!$D$46:$E$46</c:f>
              <c:numCache>
                <c:formatCode>#,##0</c:formatCode>
                <c:ptCount val="2"/>
                <c:pt idx="0">
                  <c:v>0</c:v>
                </c:pt>
                <c:pt idx="1">
                  <c:v>-118.50399999999999</c:v>
                </c:pt>
              </c:numCache>
            </c:numRef>
          </c:val>
        </c:ser>
        <c:ser>
          <c:idx val="2"/>
          <c:order val="5"/>
          <c:tx>
            <c:strRef>
              <c:f>'Graf 14'!$B$44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14'!$D$44:$E$44</c:f>
              <c:numCache>
                <c:formatCode>#,##0</c:formatCode>
                <c:ptCount val="2"/>
                <c:pt idx="0">
                  <c:v>1.4457492000015035</c:v>
                </c:pt>
                <c:pt idx="1">
                  <c:v>64.451440480001395</c:v>
                </c:pt>
              </c:numCache>
            </c:numRef>
          </c:val>
        </c:ser>
        <c:ser>
          <c:idx val="3"/>
          <c:order val="6"/>
          <c:tx>
            <c:strRef>
              <c:f>'Graf 14'!$B$45</c:f>
              <c:strCache>
                <c:ptCount val="1"/>
                <c:pt idx="0">
                  <c:v>Zdravotné odvody</c:v>
                </c:pt>
              </c:strCache>
            </c:strRef>
          </c:tx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14'!$D$45:$E$45</c:f>
              <c:numCache>
                <c:formatCode>#,##0</c:formatCode>
                <c:ptCount val="2"/>
                <c:pt idx="0">
                  <c:v>-16.563769579999697</c:v>
                </c:pt>
                <c:pt idx="1">
                  <c:v>3.487353600000294</c:v>
                </c:pt>
              </c:numCache>
            </c:numRef>
          </c:val>
        </c:ser>
        <c:ser>
          <c:idx val="4"/>
          <c:order val="7"/>
          <c:tx>
            <c:strRef>
              <c:f>'Graf 14'!$B$48</c:f>
              <c:strCache>
                <c:ptCount val="1"/>
                <c:pt idx="0">
                  <c:v>Ostatné 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invertIfNegative val="0"/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14'!$D$48:$E$48</c:f>
              <c:numCache>
                <c:formatCode>#,##0</c:formatCode>
                <c:ptCount val="2"/>
                <c:pt idx="0">
                  <c:v>-31.831707210000101</c:v>
                </c:pt>
                <c:pt idx="1">
                  <c:v>-9.1379999999999484</c:v>
                </c:pt>
              </c:numCache>
            </c:numRef>
          </c:val>
        </c:ser>
        <c:ser>
          <c:idx val="7"/>
          <c:order val="9"/>
          <c:tx>
            <c:strRef>
              <c:f>'Graf 14'!$B$47</c:f>
              <c:strCache>
                <c:ptCount val="1"/>
                <c:pt idx="0">
                  <c:v>Ekasa a nanomarkery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14'!$D$47:$E$47</c:f>
              <c:numCache>
                <c:formatCode>#,##0</c:formatCode>
                <c:ptCount val="2"/>
                <c:pt idx="0">
                  <c:v>0</c:v>
                </c:pt>
                <c:pt idx="1">
                  <c:v>-90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4760"/>
        <c:axId val="501705152"/>
      </c:barChart>
      <c:lineChart>
        <c:grouping val="standard"/>
        <c:varyColors val="0"/>
        <c:ser>
          <c:idx val="6"/>
          <c:order val="8"/>
          <c:tx>
            <c:strRef>
              <c:f>'Graf 14'!$B$49</c:f>
              <c:strCache>
                <c:ptCount val="1"/>
                <c:pt idx="0">
                  <c:v>Daňové príjmy 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14'!$D$39:$E$39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'Graf 14'!$D$49:$E$49</c:f>
              <c:numCache>
                <c:formatCode>#,##0</c:formatCode>
                <c:ptCount val="2"/>
                <c:pt idx="0">
                  <c:v>-25.934276259998537</c:v>
                </c:pt>
                <c:pt idx="1">
                  <c:v>-148.20966088639815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4760"/>
        <c:axId val="501705152"/>
      </c:lineChart>
      <c:catAx>
        <c:axId val="50170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1705152"/>
        <c:crosses val="autoZero"/>
        <c:auto val="1"/>
        <c:lblAlgn val="ctr"/>
        <c:lblOffset val="100"/>
        <c:noMultiLvlLbl val="0"/>
      </c:catAx>
      <c:valAx>
        <c:axId val="501705152"/>
        <c:scaling>
          <c:orientation val="minMax"/>
          <c:min val="-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501704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79689353485986647"/>
          <c:w val="0.98601766092777132"/>
          <c:h val="0.202002896189700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960250219574962E-2"/>
          <c:y val="3.5859820700896494E-2"/>
          <c:w val="0.93817970756577984"/>
          <c:h val="0.72951863902097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15'!$C$8</c:f>
              <c:strCache>
                <c:ptCount val="1"/>
                <c:pt idx="0">
                  <c:v>Príjmy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15'!$E$4:$J$5</c:f>
              <c:multiLvlStrCache>
                <c:ptCount val="6"/>
                <c:lvl>
                  <c:pt idx="0">
                    <c:v>Spolu</c:v>
                  </c:pt>
                  <c:pt idx="1">
                    <c:v>Bez EU fondov</c:v>
                  </c:pt>
                  <c:pt idx="2">
                    <c:v>Spolu</c:v>
                  </c:pt>
                  <c:pt idx="3">
                    <c:v>Bez EU fondov</c:v>
                  </c:pt>
                  <c:pt idx="4">
                    <c:v>Spolu</c:v>
                  </c:pt>
                  <c:pt idx="5">
                    <c:v>Bez EU fondov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15'!$E$8:$J$8</c:f>
              <c:numCache>
                <c:formatCode>0.00</c:formatCode>
                <c:ptCount val="6"/>
                <c:pt idx="0">
                  <c:v>-0.46305823150548653</c:v>
                </c:pt>
                <c:pt idx="1">
                  <c:v>-2.932725633975064E-2</c:v>
                </c:pt>
                <c:pt idx="2">
                  <c:v>3.7562691136749926E-3</c:v>
                </c:pt>
                <c:pt idx="3">
                  <c:v>-0.22722694816140754</c:v>
                </c:pt>
                <c:pt idx="4">
                  <c:v>0.10467371784254054</c:v>
                </c:pt>
                <c:pt idx="5">
                  <c:v>-0.14500010389800755</c:v>
                </c:pt>
              </c:numCache>
            </c:numRef>
          </c:val>
        </c:ser>
        <c:ser>
          <c:idx val="1"/>
          <c:order val="1"/>
          <c:tx>
            <c:strRef>
              <c:f>'Graf 15'!$C$9</c:f>
              <c:strCache>
                <c:ptCount val="1"/>
                <c:pt idx="0">
                  <c:v>Výdavky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15'!$E$4:$J$5</c:f>
              <c:multiLvlStrCache>
                <c:ptCount val="6"/>
                <c:lvl>
                  <c:pt idx="0">
                    <c:v>Spolu</c:v>
                  </c:pt>
                  <c:pt idx="1">
                    <c:v>Bez EU fondov</c:v>
                  </c:pt>
                  <c:pt idx="2">
                    <c:v>Spolu</c:v>
                  </c:pt>
                  <c:pt idx="3">
                    <c:v>Bez EU fondov</c:v>
                  </c:pt>
                  <c:pt idx="4">
                    <c:v>Spolu</c:v>
                  </c:pt>
                  <c:pt idx="5">
                    <c:v>Bez EU fondov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15'!$E$9:$J$9</c:f>
              <c:numCache>
                <c:formatCode>0.00</c:formatCode>
                <c:ptCount val="6"/>
                <c:pt idx="0">
                  <c:v>0.66019466781909175</c:v>
                </c:pt>
                <c:pt idx="1">
                  <c:v>0.21932671135433957</c:v>
                </c:pt>
                <c:pt idx="2">
                  <c:v>0.48624346130994867</c:v>
                </c:pt>
                <c:pt idx="3">
                  <c:v>0.71722667858502565</c:v>
                </c:pt>
                <c:pt idx="4">
                  <c:v>-0.10467371784254609</c:v>
                </c:pt>
                <c:pt idx="5">
                  <c:v>0.145000103898002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1705936"/>
        <c:axId val="501706328"/>
      </c:barChart>
      <c:lineChart>
        <c:grouping val="stacked"/>
        <c:varyColors val="0"/>
        <c:ser>
          <c:idx val="2"/>
          <c:order val="2"/>
          <c:tx>
            <c:strRef>
              <c:f>'Graf 15'!$C$10</c:f>
              <c:strCache>
                <c:ptCount val="1"/>
                <c:pt idx="0">
                  <c:v>Zmena nominálneho salda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15'!$E$4:$J$5</c:f>
              <c:multiLvlStrCache>
                <c:ptCount val="6"/>
                <c:lvl>
                  <c:pt idx="0">
                    <c:v>Spolu</c:v>
                  </c:pt>
                  <c:pt idx="1">
                    <c:v>Bez EU fondov</c:v>
                  </c:pt>
                  <c:pt idx="2">
                    <c:v>Spolu</c:v>
                  </c:pt>
                  <c:pt idx="3">
                    <c:v>Bez EU fondov</c:v>
                  </c:pt>
                  <c:pt idx="4">
                    <c:v>Spolu</c:v>
                  </c:pt>
                  <c:pt idx="5">
                    <c:v>Bez EU fondov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15'!$E$10:$J$10</c:f>
              <c:numCache>
                <c:formatCode>0.00</c:formatCode>
                <c:ptCount val="6"/>
                <c:pt idx="0">
                  <c:v>0.18999945501458709</c:v>
                </c:pt>
                <c:pt idx="1">
                  <c:v>0.18999945501458709</c:v>
                </c:pt>
                <c:pt idx="2">
                  <c:v>0.48999973042361444</c:v>
                </c:pt>
                <c:pt idx="3">
                  <c:v>0.48999973042361444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5936"/>
        <c:axId val="501706328"/>
      </c:lineChart>
      <c:catAx>
        <c:axId val="5017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1706328"/>
        <c:crosses val="autoZero"/>
        <c:auto val="1"/>
        <c:lblAlgn val="ctr"/>
        <c:lblOffset val="100"/>
        <c:noMultiLvlLbl val="0"/>
      </c:catAx>
      <c:valAx>
        <c:axId val="50170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17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81137027682854"/>
          <c:y val="0.72421896423394827"/>
          <c:w val="0.32216013183447051"/>
          <c:h val="0.20791955576448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960250219574962E-2"/>
          <c:y val="3.5859820700896494E-2"/>
          <c:w val="0.93817970756577984"/>
          <c:h val="0.72951863902097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15'!$D$8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'Graf 15'!$E$6:$J$7</c:f>
              <c:multiLvlStrCache>
                <c:ptCount val="6"/>
                <c:lvl>
                  <c:pt idx="0">
                    <c:v>Total</c:v>
                  </c:pt>
                  <c:pt idx="1">
                    <c:v>Without EU funds</c:v>
                  </c:pt>
                  <c:pt idx="2">
                    <c:v>Total</c:v>
                  </c:pt>
                  <c:pt idx="3">
                    <c:v>Without EU funds</c:v>
                  </c:pt>
                  <c:pt idx="4">
                    <c:v>Total</c:v>
                  </c:pt>
                  <c:pt idx="5">
                    <c:v>Without EU funds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15'!$E$8:$J$8</c:f>
              <c:numCache>
                <c:formatCode>0.00</c:formatCode>
                <c:ptCount val="6"/>
                <c:pt idx="0">
                  <c:v>-0.46305823150548653</c:v>
                </c:pt>
                <c:pt idx="1">
                  <c:v>-2.932725633975064E-2</c:v>
                </c:pt>
                <c:pt idx="2">
                  <c:v>3.7562691136749926E-3</c:v>
                </c:pt>
                <c:pt idx="3">
                  <c:v>-0.22722694816140754</c:v>
                </c:pt>
                <c:pt idx="4">
                  <c:v>0.10467371784254054</c:v>
                </c:pt>
                <c:pt idx="5">
                  <c:v>-0.14500010389800755</c:v>
                </c:pt>
              </c:numCache>
            </c:numRef>
          </c:val>
        </c:ser>
        <c:ser>
          <c:idx val="1"/>
          <c:order val="1"/>
          <c:tx>
            <c:strRef>
              <c:f>'Graf 15'!$D$9</c:f>
              <c:strCache>
                <c:ptCount val="1"/>
                <c:pt idx="0">
                  <c:v>Expenditures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15'!$E$6:$J$7</c:f>
              <c:multiLvlStrCache>
                <c:ptCount val="6"/>
                <c:lvl>
                  <c:pt idx="0">
                    <c:v>Total</c:v>
                  </c:pt>
                  <c:pt idx="1">
                    <c:v>Without EU funds</c:v>
                  </c:pt>
                  <c:pt idx="2">
                    <c:v>Total</c:v>
                  </c:pt>
                  <c:pt idx="3">
                    <c:v>Without EU funds</c:v>
                  </c:pt>
                  <c:pt idx="4">
                    <c:v>Total</c:v>
                  </c:pt>
                  <c:pt idx="5">
                    <c:v>Without EU funds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15'!$E$9:$J$9</c:f>
              <c:numCache>
                <c:formatCode>0.00</c:formatCode>
                <c:ptCount val="6"/>
                <c:pt idx="0">
                  <c:v>0.66019466781909175</c:v>
                </c:pt>
                <c:pt idx="1">
                  <c:v>0.21932671135433957</c:v>
                </c:pt>
                <c:pt idx="2">
                  <c:v>0.48624346130994867</c:v>
                </c:pt>
                <c:pt idx="3">
                  <c:v>0.71722667858502565</c:v>
                </c:pt>
                <c:pt idx="4">
                  <c:v>-0.10467371784254609</c:v>
                </c:pt>
                <c:pt idx="5">
                  <c:v>0.145000103898002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1707112"/>
        <c:axId val="501707504"/>
      </c:barChart>
      <c:lineChart>
        <c:grouping val="stacked"/>
        <c:varyColors val="0"/>
        <c:ser>
          <c:idx val="2"/>
          <c:order val="2"/>
          <c:tx>
            <c:strRef>
              <c:f>'Graf 15'!$D$10</c:f>
              <c:strCache>
                <c:ptCount val="1"/>
                <c:pt idx="0">
                  <c:v>Change of nominal balance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15'!$E$4:$J$5</c:f>
              <c:multiLvlStrCache>
                <c:ptCount val="6"/>
                <c:lvl>
                  <c:pt idx="0">
                    <c:v>Spolu</c:v>
                  </c:pt>
                  <c:pt idx="1">
                    <c:v>Bez EU fondov</c:v>
                  </c:pt>
                  <c:pt idx="2">
                    <c:v>Spolu</c:v>
                  </c:pt>
                  <c:pt idx="3">
                    <c:v>Bez EU fondov</c:v>
                  </c:pt>
                  <c:pt idx="4">
                    <c:v>Spolu</c:v>
                  </c:pt>
                  <c:pt idx="5">
                    <c:v>Bez EU fondov</c:v>
                  </c:pt>
                </c:lvl>
                <c:lvl>
                  <c:pt idx="0">
                    <c:v>2020</c:v>
                  </c:pt>
                  <c:pt idx="2">
                    <c:v>2021</c:v>
                  </c:pt>
                  <c:pt idx="4">
                    <c:v>2022</c:v>
                  </c:pt>
                </c:lvl>
              </c:multiLvlStrCache>
            </c:multiLvlStrRef>
          </c:cat>
          <c:val>
            <c:numRef>
              <c:f>'Graf 15'!$E$10:$J$10</c:f>
              <c:numCache>
                <c:formatCode>0.00</c:formatCode>
                <c:ptCount val="6"/>
                <c:pt idx="0">
                  <c:v>0.18999945501458709</c:v>
                </c:pt>
                <c:pt idx="1">
                  <c:v>0.18999945501458709</c:v>
                </c:pt>
                <c:pt idx="2">
                  <c:v>0.48999973042361444</c:v>
                </c:pt>
                <c:pt idx="3">
                  <c:v>0.48999973042361444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7112"/>
        <c:axId val="501707504"/>
      </c:lineChart>
      <c:catAx>
        <c:axId val="50170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1707504"/>
        <c:crosses val="autoZero"/>
        <c:auto val="1"/>
        <c:lblAlgn val="ctr"/>
        <c:lblOffset val="100"/>
        <c:noMultiLvlLbl val="0"/>
      </c:catAx>
      <c:valAx>
        <c:axId val="5017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170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862172344567233"/>
          <c:y val="0.67446772045285386"/>
          <c:w val="0.32216013183447051"/>
          <c:h val="0.21413846123712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544181977252841E-2"/>
          <c:y val="2.2157130358705163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1"/>
          <c:tx>
            <c:v>Rozpočet centrálnej vlády</c:v>
          </c:tx>
          <c:spPr>
            <a:solidFill>
              <a:srgbClr val="2C9ADC"/>
            </a:solidFill>
          </c:spPr>
          <c:invertIfNegative val="0"/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-2.7307505743667457</c:v>
              </c:pt>
              <c:pt idx="1">
                <c:v>-1.2336558778910822</c:v>
              </c:pt>
              <c:pt idx="2">
                <c:v>-1.2544203578024538</c:v>
              </c:pt>
              <c:pt idx="3">
                <c:v>-1.1126033419372767</c:v>
              </c:pt>
              <c:pt idx="4">
                <c:v>-1.1032801199039934</c:v>
              </c:pt>
              <c:pt idx="5">
                <c:v>-0.46475608148249919</c:v>
              </c:pt>
              <c:pt idx="6">
                <c:v>-0.43350021392779908</c:v>
              </c:pt>
            </c:numLit>
          </c:val>
        </c:ser>
        <c:ser>
          <c:idx val="8"/>
          <c:order val="2"/>
          <c:tx>
            <c:v>Samospráva</c:v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0.56698937672482319</c:v>
              </c:pt>
              <c:pt idx="1">
                <c:v>-6.145508823934308E-3</c:v>
              </c:pt>
              <c:pt idx="2">
                <c:v>0.15072732000719433</c:v>
              </c:pt>
              <c:pt idx="3">
                <c:v>0.39621565264004854</c:v>
              </c:pt>
              <c:pt idx="4">
                <c:v>0.25461149418681328</c:v>
              </c:pt>
              <c:pt idx="5">
                <c:v>0.10845211963221346</c:v>
              </c:pt>
              <c:pt idx="6">
                <c:v>5.9127145727613781E-2</c:v>
              </c:pt>
            </c:numLit>
          </c:val>
        </c:ser>
        <c:ser>
          <c:idx val="0"/>
          <c:order val="3"/>
          <c:tx>
            <c:v>Fondy sociálneho zabezpečenia</c:v>
          </c:tx>
          <c:spPr>
            <a:solidFill>
              <a:srgbClr val="1F497D"/>
            </a:solidFill>
          </c:spPr>
          <c:invertIfNegative val="0"/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-0.31235447095998797</c:v>
              </c:pt>
              <c:pt idx="1">
                <c:v>0.2873764871341572</c:v>
              </c:pt>
              <c:pt idx="2">
                <c:v>4.3512685959750254E-2</c:v>
              </c:pt>
              <c:pt idx="3">
                <c:v>3.638850743835613E-2</c:v>
              </c:pt>
              <c:pt idx="4">
                <c:v>0.35866920906027644</c:v>
              </c:pt>
              <c:pt idx="5">
                <c:v>0.35630396185028573</c:v>
              </c:pt>
              <c:pt idx="6">
                <c:v>0.37437306820018529</c:v>
              </c:pt>
            </c:numLit>
          </c:val>
        </c:ser>
        <c:ser>
          <c:idx val="2"/>
          <c:order val="5"/>
          <c:tx>
            <c:v>Potrebné opatr. na dosiahnutie cieľa</c:v>
          </c:tx>
          <c:spPr>
            <a:pattFill prst="wdDnDiag">
              <a:fgClr>
                <a:srgbClr val="2C9BDC"/>
              </a:fgClr>
              <a:bgClr>
                <a:sysClr val="window" lastClr="FFFFFF"/>
              </a:bgClr>
            </a:pattFill>
          </c:spPr>
          <c:invertIfNegative val="0"/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-0.74410514333099664</c:v>
              </c:pt>
              <c:pt idx="6">
                <c:v>-1.1450427241134979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8680"/>
        <c:axId val="501709072"/>
      </c:barChart>
      <c:lineChart>
        <c:grouping val="standard"/>
        <c:varyColors val="0"/>
        <c:ser>
          <c:idx val="3"/>
          <c:order val="0"/>
          <c:tx>
            <c:v>Saldo VS bez dodatočných opatrení</c:v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8.3333333333333332E-3"/>
                  <c:y val="6.9444444444444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555555555555558E-3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-2.4761156686019103</c:v>
              </c:pt>
              <c:pt idx="1">
                <c:v>-0.95242489958085941</c:v>
              </c:pt>
              <c:pt idx="2">
                <c:v>-1.0601803518355091</c:v>
              </c:pt>
              <c:pt idx="3">
                <c:v>-0.67999918185887098</c:v>
              </c:pt>
              <c:pt idx="4">
                <c:v>-0.48999941665690133</c:v>
              </c:pt>
              <c:pt idx="5">
                <c:v>-0.74410514333099664</c:v>
              </c:pt>
              <c:pt idx="6">
                <c:v>-1.1450427241134979</c:v>
              </c:pt>
            </c:numLit>
          </c:val>
          <c:smooth val="0"/>
        </c:ser>
        <c:ser>
          <c:idx val="1"/>
          <c:order val="4"/>
          <c:tx>
            <c:v>Saldo verejenej správy</c:v>
          </c:tx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sysDash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3333333333333333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777777777777778E-2"/>
                  <c:y val="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66666666666676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555555555555555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77777777777788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55555555555565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7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</c:numLit>
          </c:cat>
          <c:val>
            <c:numLit>
              <c:formatCode>General</c:formatCode>
              <c:ptCount val="7"/>
              <c:pt idx="0">
                <c:v>-2.4761156686019103</c:v>
              </c:pt>
              <c:pt idx="1">
                <c:v>-0.95242489958085941</c:v>
              </c:pt>
              <c:pt idx="2">
                <c:v>-1.0601803518355091</c:v>
              </c:pt>
              <c:pt idx="3">
                <c:v>-0.67999918185887098</c:v>
              </c:pt>
              <c:pt idx="4">
                <c:v>-0.48999941665690133</c:v>
              </c:pt>
              <c:pt idx="5">
                <c:v>0</c:v>
              </c:pt>
              <c:pt idx="6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8680"/>
        <c:axId val="501709072"/>
      </c:lineChart>
      <c:catAx>
        <c:axId val="50170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1709072"/>
        <c:crosses val="autoZero"/>
        <c:auto val="1"/>
        <c:lblAlgn val="ctr"/>
        <c:lblOffset val="100"/>
        <c:noMultiLvlLbl val="0"/>
      </c:catAx>
      <c:valAx>
        <c:axId val="501709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501708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2386264216973"/>
          <c:y val="0.50630621172353452"/>
          <c:w val="0.77120931758530176"/>
          <c:h val="0.379990157480315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737532808398E-2"/>
          <c:y val="4.8824001166520851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'Graf 16'!$C$6</c:f>
              <c:strCache>
                <c:ptCount val="1"/>
                <c:pt idx="0">
                  <c:v>S.13.11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16'!$D$6:$J$6</c:f>
              <c:numCache>
                <c:formatCode>0.0</c:formatCode>
                <c:ptCount val="7"/>
                <c:pt idx="0">
                  <c:v>-2.7307505743667457</c:v>
                </c:pt>
                <c:pt idx="1">
                  <c:v>-1.2336558778910822</c:v>
                </c:pt>
                <c:pt idx="2">
                  <c:v>-1.2544203578024538</c:v>
                </c:pt>
                <c:pt idx="3">
                  <c:v>-1.1126033419372767</c:v>
                </c:pt>
                <c:pt idx="4">
                  <c:v>-1.1032801199039934</c:v>
                </c:pt>
                <c:pt idx="5">
                  <c:v>-0.46475608148249919</c:v>
                </c:pt>
                <c:pt idx="6">
                  <c:v>-0.43350021392779908</c:v>
                </c:pt>
              </c:numCache>
            </c:numRef>
          </c:val>
        </c:ser>
        <c:ser>
          <c:idx val="0"/>
          <c:order val="2"/>
          <c:tx>
            <c:strRef>
              <c:f>'Graf 16'!$C$7</c:f>
              <c:strCache>
                <c:ptCount val="1"/>
                <c:pt idx="0">
                  <c:v>S.13.13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16'!$D$7:$J$7</c:f>
              <c:numCache>
                <c:formatCode>0.0</c:formatCode>
                <c:ptCount val="7"/>
                <c:pt idx="0">
                  <c:v>0.56698937672482319</c:v>
                </c:pt>
                <c:pt idx="1">
                  <c:v>-6.145508823934308E-3</c:v>
                </c:pt>
                <c:pt idx="2">
                  <c:v>0.15072732000719433</c:v>
                </c:pt>
                <c:pt idx="3">
                  <c:v>0.39621565264004854</c:v>
                </c:pt>
                <c:pt idx="4">
                  <c:v>0.25461149418681328</c:v>
                </c:pt>
                <c:pt idx="5">
                  <c:v>0.10845211963221346</c:v>
                </c:pt>
                <c:pt idx="6">
                  <c:v>5.9127145727613781E-2</c:v>
                </c:pt>
              </c:numCache>
            </c:numRef>
          </c:val>
        </c:ser>
        <c:ser>
          <c:idx val="1"/>
          <c:order val="3"/>
          <c:tx>
            <c:strRef>
              <c:f>'Graf 16'!$C$8</c:f>
              <c:strCache>
                <c:ptCount val="1"/>
                <c:pt idx="0">
                  <c:v>S.13.14</c:v>
                </c:pt>
              </c:strCache>
            </c:strRef>
          </c:tx>
          <c:spPr>
            <a:solidFill>
              <a:srgbClr val="2C9ADC">
                <a:lumMod val="50000"/>
              </a:srgbClr>
            </a:solidFill>
          </c:spPr>
          <c:invertIfNegative val="0"/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16'!$D$8:$J$8</c:f>
              <c:numCache>
                <c:formatCode>0.0</c:formatCode>
                <c:ptCount val="7"/>
                <c:pt idx="0">
                  <c:v>-0.31235447095998797</c:v>
                </c:pt>
                <c:pt idx="1">
                  <c:v>0.2873764871341572</c:v>
                </c:pt>
                <c:pt idx="2">
                  <c:v>4.3512685959750254E-2</c:v>
                </c:pt>
                <c:pt idx="3">
                  <c:v>3.638850743835613E-2</c:v>
                </c:pt>
                <c:pt idx="4">
                  <c:v>0.35866920906027644</c:v>
                </c:pt>
                <c:pt idx="5">
                  <c:v>0.35630396185028573</c:v>
                </c:pt>
                <c:pt idx="6">
                  <c:v>0.37437306820018529</c:v>
                </c:pt>
              </c:numCache>
            </c:numRef>
          </c:val>
        </c:ser>
        <c:ser>
          <c:idx val="2"/>
          <c:order val="4"/>
          <c:tx>
            <c:strRef>
              <c:f>'Graf 16'!$C$9</c:f>
              <c:strCache>
                <c:ptCount val="1"/>
                <c:pt idx="0">
                  <c:v>Measures to obtain the target</c:v>
                </c:pt>
              </c:strCache>
            </c:strRef>
          </c:tx>
          <c:spPr>
            <a:pattFill prst="wdDnDiag">
              <a:fgClr>
                <a:srgbClr val="2C9ADC"/>
              </a:fgClr>
              <a:bgClr>
                <a:sysClr val="window" lastClr="FFFFFF"/>
              </a:bgClr>
            </a:pattFill>
          </c:spPr>
          <c:invertIfNegative val="0"/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16'!$D$9:$J$9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-0.74410514333099664</c:v>
                </c:pt>
                <c:pt idx="6">
                  <c:v>-1.1450427241134979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9856"/>
        <c:axId val="502296352"/>
      </c:barChart>
      <c:lineChart>
        <c:grouping val="standard"/>
        <c:varyColors val="0"/>
        <c:ser>
          <c:idx val="5"/>
          <c:order val="0"/>
          <c:tx>
            <c:strRef>
              <c:f>'Graf 16'!$C$5</c:f>
              <c:strCache>
                <c:ptCount val="1"/>
                <c:pt idx="0">
                  <c:v>S.13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16'!$D$5:$J$5</c:f>
              <c:numCache>
                <c:formatCode>0.0</c:formatCode>
                <c:ptCount val="7"/>
                <c:pt idx="0">
                  <c:v>-2.4761156686019103</c:v>
                </c:pt>
                <c:pt idx="1">
                  <c:v>-0.95242489958085941</c:v>
                </c:pt>
                <c:pt idx="2">
                  <c:v>-1.0601803518355091</c:v>
                </c:pt>
                <c:pt idx="3">
                  <c:v>-0.67999918185887098</c:v>
                </c:pt>
                <c:pt idx="4">
                  <c:v>-0.48999941665690133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'Graf 16'!$C$10</c:f>
              <c:strCache>
                <c:ptCount val="1"/>
                <c:pt idx="0">
                  <c:v>S.13 without additional measures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16'!$D$4:$J$4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16'!$D$10:$J$10</c:f>
              <c:numCache>
                <c:formatCode>0.0</c:formatCode>
                <c:ptCount val="7"/>
                <c:pt idx="0">
                  <c:v>-2.4761156686019103</c:v>
                </c:pt>
                <c:pt idx="1">
                  <c:v>-0.95242489958085941</c:v>
                </c:pt>
                <c:pt idx="2">
                  <c:v>-1.0601803518355091</c:v>
                </c:pt>
                <c:pt idx="3">
                  <c:v>-0.67999918185887098</c:v>
                </c:pt>
                <c:pt idx="4">
                  <c:v>-0.48999941665690133</c:v>
                </c:pt>
                <c:pt idx="5">
                  <c:v>-0.74410514333099664</c:v>
                </c:pt>
                <c:pt idx="6">
                  <c:v>-1.1450427241134979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709856"/>
        <c:axId val="502296352"/>
      </c:lineChart>
      <c:catAx>
        <c:axId val="5017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2296352"/>
        <c:crosses val="autoZero"/>
        <c:auto val="1"/>
        <c:lblAlgn val="ctr"/>
        <c:lblOffset val="100"/>
        <c:noMultiLvlLbl val="0"/>
      </c:catAx>
      <c:valAx>
        <c:axId val="502296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50170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134973753280843"/>
          <c:y val="0.56445428696412947"/>
          <c:w val="0.59373140857392825"/>
          <c:h val="0.317104841061533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6E-40D2-896B-A2A977F92D2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C18377E-3D27-4838-89A6-25E11612F57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69EC6D-4ECE-4E45-82F6-FC2FCD731CA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3AEA15D-9354-47A5-9528-953732F0344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5E10077D-DAFD-42D5-9C11-3ABF455A6BF1}" type="CELLRANGE">
                      <a:rPr lang="sk-SK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6E9FF6-79EB-43D7-94D8-4E325985252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09FFD96-590F-4880-9E60-EE22AFCE95D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'Graf 17'!$N$11:$S$11</c:f>
              <c:numCache>
                <c:formatCode>0.0</c:formatCode>
                <c:ptCount val="6"/>
                <c:pt idx="0">
                  <c:v>0.32142659830600717</c:v>
                </c:pt>
                <c:pt idx="1">
                  <c:v>1.2435943740391586</c:v>
                </c:pt>
                <c:pt idx="2">
                  <c:v>0.55103860292062823</c:v>
                </c:pt>
                <c:pt idx="3">
                  <c:v>3.4995192323838964E-2</c:v>
                </c:pt>
                <c:pt idx="4">
                  <c:v>0.22855949884010851</c:v>
                </c:pt>
                <c:pt idx="5">
                  <c:v>0.44720360876258081</c:v>
                </c:pt>
              </c:numCache>
            </c:numRef>
          </c:xVal>
          <c:yVal>
            <c:numRef>
              <c:f>'Graf 17'!$N$10:$S$10</c:f>
              <c:numCache>
                <c:formatCode>0.0</c:formatCode>
                <c:ptCount val="6"/>
                <c:pt idx="0">
                  <c:v>1.0369814967113351</c:v>
                </c:pt>
                <c:pt idx="1">
                  <c:v>-0.5643026174525354</c:v>
                </c:pt>
                <c:pt idx="2">
                  <c:v>0.51339313721785318</c:v>
                </c:pt>
                <c:pt idx="3">
                  <c:v>0.26494376472922265</c:v>
                </c:pt>
                <c:pt idx="4">
                  <c:v>0.30759419701342117</c:v>
                </c:pt>
                <c:pt idx="5">
                  <c:v>-0.12280626725268706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C86E-40D2-896B-A2A977F92D20}"/>
            </c:ext>
            <c:ext xmlns:c15="http://schemas.microsoft.com/office/drawing/2012/chart" uri="{02D57815-91ED-43cb-92C2-25804820EDAC}">
              <c15:datalabelsRange>
                <c15:f>'Graf 17'!$N$6:$S$6</c15:f>
                <c15:dlblRangeCache>
                  <c:ptCount val="6"/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97136"/>
        <c:axId val="502297528"/>
      </c:scatterChart>
      <c:valAx>
        <c:axId val="502297136"/>
        <c:scaling>
          <c:orientation val="minMax"/>
          <c:max val="2"/>
          <c:min val="-2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297528"/>
        <c:crossesAt val="0"/>
        <c:crossBetween val="midCat"/>
      </c:valAx>
      <c:valAx>
        <c:axId val="502297528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5022971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7505256647"/>
          <c:h val="0.899222684588549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6E-40D2-896B-A2A977F92D2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F7D06B3-495F-4D13-BC9E-80F3B647EC9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EC611B-05AF-40BF-9EA4-7366C95CDE8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936E1B-35B7-4381-92E6-AFE487948CE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/>
                    </a:pPr>
                    <a:fld id="{9D4D673D-CC6D-4667-88ED-40055DF7C524}" type="CELLRANGE">
                      <a:rPr lang="sk-SK"/>
                      <a:pPr>
                        <a:defRPr b="1"/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99737A6-EF76-4D0D-ADB2-58519520F3D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C31C7DA-49BE-41D0-977C-F4A5CF81DBC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'Graf 17'!$N$11:$S$11</c:f>
              <c:numCache>
                <c:formatCode>0.0</c:formatCode>
                <c:ptCount val="6"/>
                <c:pt idx="0">
                  <c:v>0.32142659830600717</c:v>
                </c:pt>
                <c:pt idx="1">
                  <c:v>1.2435943740391586</c:v>
                </c:pt>
                <c:pt idx="2">
                  <c:v>0.55103860292062823</c:v>
                </c:pt>
                <c:pt idx="3">
                  <c:v>3.4995192323838964E-2</c:v>
                </c:pt>
                <c:pt idx="4">
                  <c:v>0.22855949884010851</c:v>
                </c:pt>
                <c:pt idx="5">
                  <c:v>0.44720360876258081</c:v>
                </c:pt>
              </c:numCache>
            </c:numRef>
          </c:xVal>
          <c:yVal>
            <c:numRef>
              <c:f>'Graf 17'!$N$10:$S$10</c:f>
              <c:numCache>
                <c:formatCode>0.0</c:formatCode>
                <c:ptCount val="6"/>
                <c:pt idx="0">
                  <c:v>1.0369814967113351</c:v>
                </c:pt>
                <c:pt idx="1">
                  <c:v>-0.5643026174525354</c:v>
                </c:pt>
                <c:pt idx="2">
                  <c:v>0.51339313721785318</c:v>
                </c:pt>
                <c:pt idx="3">
                  <c:v>0.26494376472922265</c:v>
                </c:pt>
                <c:pt idx="4">
                  <c:v>0.30759419701342117</c:v>
                </c:pt>
                <c:pt idx="5">
                  <c:v>-0.12280626725268706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C86E-40D2-896B-A2A977F92D20}"/>
            </c:ext>
            <c:ext xmlns:c15="http://schemas.microsoft.com/office/drawing/2012/chart" uri="{02D57815-91ED-43cb-92C2-25804820EDAC}">
              <c15:datalabelsRange>
                <c15:f>'Graf 17'!$N$6:$S$6</c15:f>
                <c15:dlblRangeCache>
                  <c:ptCount val="6"/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98312"/>
        <c:axId val="502298704"/>
      </c:scatterChart>
      <c:valAx>
        <c:axId val="502298312"/>
        <c:scaling>
          <c:orientation val="minMax"/>
          <c:max val="2"/>
          <c:min val="-2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298704"/>
        <c:crossesAt val="0"/>
        <c:crossBetween val="midCat"/>
      </c:valAx>
      <c:valAx>
        <c:axId val="502298704"/>
        <c:scaling>
          <c:orientation val="minMax"/>
          <c:max val="2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sk-SK"/>
          </a:p>
        </c:txPr>
        <c:crossAx val="5022983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3 + Graf 18'!$I$35</c:f>
              <c:strCache>
                <c:ptCount val="1"/>
                <c:pt idx="0">
                  <c:v>Reálny rast agregátu výdavkov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 + Graf 18'!$M$19:$S$19</c:f>
              <c:strCache>
                <c:ptCount val="7"/>
                <c:pt idx="0">
                  <c:v>2016 S</c:v>
                </c:pt>
                <c:pt idx="1">
                  <c:v>2017 S</c:v>
                </c:pt>
                <c:pt idx="2">
                  <c:v>2018</c:v>
                </c:pt>
                <c:pt idx="3">
                  <c:v>2019 OS</c:v>
                </c:pt>
                <c:pt idx="4">
                  <c:v>2020 NRVS</c:v>
                </c:pt>
                <c:pt idx="5">
                  <c:v>2021 NRVS</c:v>
                </c:pt>
                <c:pt idx="6">
                  <c:v>2022 NRVS</c:v>
                </c:pt>
              </c:strCache>
            </c:strRef>
          </c:cat>
          <c:val>
            <c:numRef>
              <c:f>'Tab 3 + Graf 18'!$M$35:$S$35</c:f>
              <c:numCache>
                <c:formatCode>0.0</c:formatCode>
                <c:ptCount val="7"/>
                <c:pt idx="0">
                  <c:v>1.0232393342733515</c:v>
                </c:pt>
                <c:pt idx="1">
                  <c:v>0.53921298301102816</c:v>
                </c:pt>
                <c:pt idx="2">
                  <c:v>4.9153083677525355</c:v>
                </c:pt>
                <c:pt idx="3">
                  <c:v>1.1598641529784848</c:v>
                </c:pt>
                <c:pt idx="4">
                  <c:v>2.305325950550996</c:v>
                </c:pt>
                <c:pt idx="5">
                  <c:v>-0.46603436887002747</c:v>
                </c:pt>
                <c:pt idx="6">
                  <c:v>-0.30094729980607582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'Tab 3 + Graf 18'!$I$36</c:f>
              <c:strCache>
                <c:ptCount val="1"/>
                <c:pt idx="0">
                  <c:v>Výdavkové pravidlo (referenčná miera)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 + Graf 18'!$M$19:$S$19</c:f>
              <c:strCache>
                <c:ptCount val="7"/>
                <c:pt idx="0">
                  <c:v>2016 S</c:v>
                </c:pt>
                <c:pt idx="1">
                  <c:v>2017 S</c:v>
                </c:pt>
                <c:pt idx="2">
                  <c:v>2018</c:v>
                </c:pt>
                <c:pt idx="3">
                  <c:v>2019 OS</c:v>
                </c:pt>
                <c:pt idx="4">
                  <c:v>2020 NRVS</c:v>
                </c:pt>
                <c:pt idx="5">
                  <c:v>2021 NRVS</c:v>
                </c:pt>
                <c:pt idx="6">
                  <c:v>2022 NRVS</c:v>
                </c:pt>
              </c:strCache>
            </c:strRef>
          </c:cat>
          <c:val>
            <c:numRef>
              <c:f>'Tab 3 + Graf 18'!$M$36:$S$36</c:f>
              <c:numCache>
                <c:formatCode>0.0</c:formatCode>
                <c:ptCount val="7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1.9796474402117019</c:v>
                </c:pt>
                <c:pt idx="4">
                  <c:v>3.2772813675909962</c:v>
                </c:pt>
                <c:pt idx="5">
                  <c:v>2.8523076781139758</c:v>
                </c:pt>
                <c:pt idx="6">
                  <c:v>2.9198905112789721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ser>
          <c:idx val="2"/>
          <c:order val="2"/>
          <c:tx>
            <c:strRef>
              <c:f>'Tab 3 + Graf 18'!$J$49</c:f>
              <c:strCache>
                <c:ptCount val="1"/>
                <c:pt idx="0">
                  <c:v>Reálny rast agregátu výdavkov bez dodatočných opatrení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1,5</a:t>
                    </a:r>
                  </a:p>
                </c:rich>
              </c:tx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0,8</a:t>
                    </a:r>
                  </a:p>
                </c:rich>
              </c:tx>
              <c:spPr>
                <a:noFill/>
                <a:ln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 3 + Graf 18'!$M$49:$S$49</c:f>
              <c:numCache>
                <c:formatCode>0.0</c:formatCode>
                <c:ptCount val="7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1.9796474402117019</c:v>
                </c:pt>
                <c:pt idx="4">
                  <c:v>3.2772813675909962</c:v>
                </c:pt>
                <c:pt idx="5">
                  <c:v>1.5047910726010401</c:v>
                </c:pt>
                <c:pt idx="6">
                  <c:v>0.83066229441046702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299488"/>
        <c:axId val="502299880"/>
      </c:lineChart>
      <c:catAx>
        <c:axId val="5022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299880"/>
        <c:crosses val="autoZero"/>
        <c:auto val="1"/>
        <c:lblAlgn val="ctr"/>
        <c:lblOffset val="100"/>
        <c:noMultiLvlLbl val="0"/>
      </c:catAx>
      <c:valAx>
        <c:axId val="50229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29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69902912621356E-3"/>
          <c:y val="0.77520760206179051"/>
          <c:w val="0.98849506918431318"/>
          <c:h val="0.19266388388198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3 + Graf 18'!$I$35</c:f>
              <c:strCache>
                <c:ptCount val="1"/>
                <c:pt idx="0">
                  <c:v>Reálny rast agregátu výdavkov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 + Graf 18'!$M$19:$S$19</c:f>
              <c:strCache>
                <c:ptCount val="7"/>
                <c:pt idx="0">
                  <c:v>2016 S</c:v>
                </c:pt>
                <c:pt idx="1">
                  <c:v>2017 S</c:v>
                </c:pt>
                <c:pt idx="2">
                  <c:v>2018</c:v>
                </c:pt>
                <c:pt idx="3">
                  <c:v>2019 OS</c:v>
                </c:pt>
                <c:pt idx="4">
                  <c:v>2020 NRVS</c:v>
                </c:pt>
                <c:pt idx="5">
                  <c:v>2021 NRVS</c:v>
                </c:pt>
                <c:pt idx="6">
                  <c:v>2022 NRVS</c:v>
                </c:pt>
              </c:strCache>
            </c:strRef>
          </c:cat>
          <c:val>
            <c:numRef>
              <c:f>'Tab 3 + Graf 18'!$M$35:$S$35</c:f>
              <c:numCache>
                <c:formatCode>0.0</c:formatCode>
                <c:ptCount val="7"/>
                <c:pt idx="0">
                  <c:v>1.0232393342733515</c:v>
                </c:pt>
                <c:pt idx="1">
                  <c:v>0.53921298301102816</c:v>
                </c:pt>
                <c:pt idx="2">
                  <c:v>4.9153083677525355</c:v>
                </c:pt>
                <c:pt idx="3">
                  <c:v>1.1598641529784848</c:v>
                </c:pt>
                <c:pt idx="4">
                  <c:v>2.305325950550996</c:v>
                </c:pt>
                <c:pt idx="5">
                  <c:v>-0.46603436887002747</c:v>
                </c:pt>
                <c:pt idx="6">
                  <c:v>-0.30094729980607582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'Tab 3 + Graf 18'!$I$37</c:f>
              <c:strCache>
                <c:ptCount val="1"/>
                <c:pt idx="0">
                  <c:v>Expenditure benchmark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3 + Graf 18'!$M$19:$S$19</c:f>
              <c:strCache>
                <c:ptCount val="7"/>
                <c:pt idx="0">
                  <c:v>2016 S</c:v>
                </c:pt>
                <c:pt idx="1">
                  <c:v>2017 S</c:v>
                </c:pt>
                <c:pt idx="2">
                  <c:v>2018</c:v>
                </c:pt>
                <c:pt idx="3">
                  <c:v>2019 OS</c:v>
                </c:pt>
                <c:pt idx="4">
                  <c:v>2020 NRVS</c:v>
                </c:pt>
                <c:pt idx="5">
                  <c:v>2021 NRVS</c:v>
                </c:pt>
                <c:pt idx="6">
                  <c:v>2022 NRVS</c:v>
                </c:pt>
              </c:strCache>
            </c:strRef>
          </c:cat>
          <c:val>
            <c:numRef>
              <c:f>'Tab 3 + Graf 18'!$M$36:$S$36</c:f>
              <c:numCache>
                <c:formatCode>0.0</c:formatCode>
                <c:ptCount val="7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1.9796474402117019</c:v>
                </c:pt>
                <c:pt idx="4">
                  <c:v>3.2772813675909962</c:v>
                </c:pt>
                <c:pt idx="5">
                  <c:v>2.8523076781139758</c:v>
                </c:pt>
                <c:pt idx="6">
                  <c:v>2.9198905112789721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ser>
          <c:idx val="2"/>
          <c:order val="2"/>
          <c:tx>
            <c:strRef>
              <c:f>'Tab 3 + Graf 18'!$K$49</c:f>
              <c:strCache>
                <c:ptCount val="1"/>
                <c:pt idx="0">
                  <c:v>Real growth of expenditure aggregate without additional measures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1,5</a:t>
                    </a:r>
                  </a:p>
                </c:rich>
              </c:tx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0,8</a:t>
                    </a:r>
                  </a:p>
                </c:rich>
              </c:tx>
              <c:spPr>
                <a:noFill/>
                <a:ln>
                  <a:solidFill>
                    <a:schemeClr val="tx1">
                      <a:lumMod val="65000"/>
                      <a:lumOff val="3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 3 + Graf 18'!$M$49:$S$49</c:f>
              <c:numCache>
                <c:formatCode>0.0</c:formatCode>
                <c:ptCount val="7"/>
                <c:pt idx="0">
                  <c:v>2.0834922277143519</c:v>
                </c:pt>
                <c:pt idx="1">
                  <c:v>1.3480051001340336</c:v>
                </c:pt>
                <c:pt idx="2">
                  <c:v>1.3398076150772882</c:v>
                </c:pt>
                <c:pt idx="3">
                  <c:v>1.9796474402117019</c:v>
                </c:pt>
                <c:pt idx="4">
                  <c:v>3.2772813675909962</c:v>
                </c:pt>
                <c:pt idx="5">
                  <c:v>1.5047910726010401</c:v>
                </c:pt>
                <c:pt idx="6">
                  <c:v>0.83066229441046702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300664"/>
        <c:axId val="502301056"/>
      </c:lineChart>
      <c:catAx>
        <c:axId val="50230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01056"/>
        <c:crosses val="autoZero"/>
        <c:auto val="1"/>
        <c:lblAlgn val="ctr"/>
        <c:lblOffset val="100"/>
        <c:noMultiLvlLbl val="0"/>
      </c:catAx>
      <c:valAx>
        <c:axId val="50230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0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08455011084779"/>
          <c:y val="0.81536824463207158"/>
          <c:w val="0.7270063960451546"/>
          <c:h val="0.18463175536792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19'!$P$8</c:f>
              <c:strCache>
                <c:ptCount val="1"/>
                <c:pt idx="0">
                  <c:v>Štátny dlh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19'!$R$8:$AH$8</c:f>
              <c:numCache>
                <c:formatCode>0.0</c:formatCode>
                <c:ptCount val="16"/>
                <c:pt idx="0">
                  <c:v>28.930505557944475</c:v>
                </c:pt>
                <c:pt idx="1">
                  <c:v>27.272637643447219</c:v>
                </c:pt>
                <c:pt idx="2">
                  <c:v>33.920179349823186</c:v>
                </c:pt>
                <c:pt idx="3">
                  <c:v>37.878481835509461</c:v>
                </c:pt>
                <c:pt idx="4">
                  <c:v>40.167184195519376</c:v>
                </c:pt>
                <c:pt idx="5">
                  <c:v>46.654746719023017</c:v>
                </c:pt>
                <c:pt idx="6">
                  <c:v>48.817132494862982</c:v>
                </c:pt>
                <c:pt idx="7">
                  <c:v>48.089433097572339</c:v>
                </c:pt>
                <c:pt idx="8">
                  <c:v>46.88970167739123</c:v>
                </c:pt>
                <c:pt idx="9">
                  <c:v>47.221046469183477</c:v>
                </c:pt>
                <c:pt idx="10">
                  <c:v>46.704761492037044</c:v>
                </c:pt>
                <c:pt idx="11">
                  <c:v>44.93313174104658</c:v>
                </c:pt>
                <c:pt idx="12">
                  <c:v>43.669371371386248</c:v>
                </c:pt>
                <c:pt idx="13">
                  <c:v>42.723063886745997</c:v>
                </c:pt>
                <c:pt idx="14">
                  <c:v>42.139964711803898</c:v>
                </c:pt>
                <c:pt idx="15">
                  <c:v>41.32141773006304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19'!$P$6</c:f>
              <c:strCache>
                <c:ptCount val="1"/>
                <c:pt idx="0">
                  <c:v>Ostatné subjekty VS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19'!$R$6:$AH$6</c:f>
              <c:numCache>
                <c:formatCode>0.0</c:formatCode>
                <c:ptCount val="16"/>
                <c:pt idx="0">
                  <c:v>1.2335122173566553</c:v>
                </c:pt>
                <c:pt idx="1">
                  <c:v>1.2622180767681173</c:v>
                </c:pt>
                <c:pt idx="2">
                  <c:v>2.4407759300615068</c:v>
                </c:pt>
                <c:pt idx="3">
                  <c:v>3.1100437924834639</c:v>
                </c:pt>
                <c:pt idx="4">
                  <c:v>3.0545906405120045</c:v>
                </c:pt>
                <c:pt idx="5">
                  <c:v>2.7070529891599797</c:v>
                </c:pt>
                <c:pt idx="6">
                  <c:v>2.6325883673081454</c:v>
                </c:pt>
                <c:pt idx="7">
                  <c:v>1.9344547125665867</c:v>
                </c:pt>
                <c:pt idx="8">
                  <c:v>1.8130035987021671</c:v>
                </c:pt>
                <c:pt idx="9">
                  <c:v>1.6692726541334202</c:v>
                </c:pt>
                <c:pt idx="10">
                  <c:v>1.6046764790115315</c:v>
                </c:pt>
                <c:pt idx="11">
                  <c:v>1.6357097423421489</c:v>
                </c:pt>
                <c:pt idx="12">
                  <c:v>1.5604730532262672</c:v>
                </c:pt>
                <c:pt idx="13">
                  <c:v>1.3660531696867297</c:v>
                </c:pt>
                <c:pt idx="14">
                  <c:v>1.1726172943059878</c:v>
                </c:pt>
                <c:pt idx="15">
                  <c:v>1.0156691820512733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87-4D56-81C2-A07EFA8118EF}"/>
            </c:ext>
          </c:extLst>
        </c:ser>
        <c:ser>
          <c:idx val="2"/>
          <c:order val="3"/>
          <c:tx>
            <c:strRef>
              <c:f>'Graf 19'!$P$7</c:f>
              <c:strCache>
                <c:ptCount val="1"/>
                <c:pt idx="0">
                  <c:v>ESFS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19'!$R$7:$AH$7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0.24238501133205015</c:v>
                </c:pt>
                <c:pt idx="5">
                  <c:v>2.3919386860992065</c:v>
                </c:pt>
                <c:pt idx="6">
                  <c:v>3.2575722536977922</c:v>
                </c:pt>
                <c:pt idx="7">
                  <c:v>3.4832828391552244</c:v>
                </c:pt>
                <c:pt idx="8">
                  <c:v>3.1844248719573325</c:v>
                </c:pt>
                <c:pt idx="9">
                  <c:v>3.1341198156702714</c:v>
                </c:pt>
                <c:pt idx="10">
                  <c:v>3.0051229270807402</c:v>
                </c:pt>
                <c:pt idx="11">
                  <c:v>2.8308210993604672</c:v>
                </c:pt>
                <c:pt idx="12">
                  <c:v>2.6994474660336016</c:v>
                </c:pt>
                <c:pt idx="13">
                  <c:v>2.7220177710193494</c:v>
                </c:pt>
                <c:pt idx="14">
                  <c:v>2.5872948845593733</c:v>
                </c:pt>
                <c:pt idx="15">
                  <c:v>2.4558842735549695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1840"/>
        <c:axId val="502302232"/>
      </c:barChart>
      <c:lineChart>
        <c:grouping val="standard"/>
        <c:varyColors val="0"/>
        <c:ser>
          <c:idx val="1"/>
          <c:order val="0"/>
          <c:tx>
            <c:strRef>
              <c:f>'Graf 19'!$P$5</c:f>
              <c:strCache>
                <c:ptCount val="1"/>
                <c:pt idx="0">
                  <c:v>Hrubý dlh VS (maastrichtský)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97752711482207E-2"/>
                  <c:y val="0.117122609659042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212569818418606E-2"/>
                  <c:y val="0.136201180363476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19'!$R$5:$AH$5</c:f>
              <c:numCache>
                <c:formatCode>0.0</c:formatCode>
                <c:ptCount val="16"/>
                <c:pt idx="0">
                  <c:v>30.164017775301126</c:v>
                </c:pt>
                <c:pt idx="1">
                  <c:v>28.534855720215337</c:v>
                </c:pt>
                <c:pt idx="2">
                  <c:v>36.360955279884692</c:v>
                </c:pt>
                <c:pt idx="3">
                  <c:v>40.988525627992928</c:v>
                </c:pt>
                <c:pt idx="4">
                  <c:v>43.46415984736344</c:v>
                </c:pt>
                <c:pt idx="5">
                  <c:v>51.753738394282202</c:v>
                </c:pt>
                <c:pt idx="6">
                  <c:v>54.707293115868914</c:v>
                </c:pt>
                <c:pt idx="7">
                  <c:v>53.507170649294146</c:v>
                </c:pt>
                <c:pt idx="8">
                  <c:v>51.88713014805073</c:v>
                </c:pt>
                <c:pt idx="9">
                  <c:v>52.024438938987174</c:v>
                </c:pt>
                <c:pt idx="10">
                  <c:v>51.314560898129315</c:v>
                </c:pt>
                <c:pt idx="11">
                  <c:v>49.399662582749201</c:v>
                </c:pt>
                <c:pt idx="12">
                  <c:v>47.92929189064612</c:v>
                </c:pt>
                <c:pt idx="13">
                  <c:v>46.811134827452079</c:v>
                </c:pt>
                <c:pt idx="14">
                  <c:v>45.899876890669269</c:v>
                </c:pt>
                <c:pt idx="15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19'!$P$12</c:f>
              <c:strCache>
                <c:ptCount val="1"/>
                <c:pt idx="0">
                  <c:v>List ministra financii s opatreniami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19'!$R$12:$AH$12</c:f>
              <c:numCache>
                <c:formatCode>General</c:formatCode>
                <c:ptCount val="16"/>
                <c:pt idx="5" formatCode="0.0">
                  <c:v>50</c:v>
                </c:pt>
                <c:pt idx="6" formatCode="0.0">
                  <c:v>50</c:v>
                </c:pt>
                <c:pt idx="7" formatCode="0.0">
                  <c:v>50</c:v>
                </c:pt>
                <c:pt idx="8" formatCode="0.0">
                  <c:v>50</c:v>
                </c:pt>
                <c:pt idx="9" formatCode="0.0">
                  <c:v>50</c:v>
                </c:pt>
                <c:pt idx="10" formatCode="0.0">
                  <c:v>50</c:v>
                </c:pt>
                <c:pt idx="11" formatCode="0.0">
                  <c:v>49</c:v>
                </c:pt>
                <c:pt idx="12" formatCode="0.0">
                  <c:v>48</c:v>
                </c:pt>
                <c:pt idx="13" formatCode="0.0">
                  <c:v>47</c:v>
                </c:pt>
                <c:pt idx="14" formatCode="0.0">
                  <c:v>46</c:v>
                </c:pt>
                <c:pt idx="15" formatCode="0.0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19'!$P$11</c:f>
              <c:strCache>
                <c:ptCount val="1"/>
                <c:pt idx="0">
                  <c:v>Zmrazenie výdavkov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19'!$R$11:$AH$11</c:f>
              <c:numCache>
                <c:formatCode>General</c:formatCode>
                <c:ptCount val="16"/>
                <c:pt idx="5" formatCode="0.0">
                  <c:v>55</c:v>
                </c:pt>
                <c:pt idx="6" formatCode="0.0">
                  <c:v>55</c:v>
                </c:pt>
                <c:pt idx="7" formatCode="0.0">
                  <c:v>55</c:v>
                </c:pt>
                <c:pt idx="8" formatCode="0.0">
                  <c:v>55</c:v>
                </c:pt>
                <c:pt idx="9" formatCode="0.0">
                  <c:v>55</c:v>
                </c:pt>
                <c:pt idx="10" formatCode="0.0">
                  <c:v>55</c:v>
                </c:pt>
                <c:pt idx="11" formatCode="0.0">
                  <c:v>54</c:v>
                </c:pt>
                <c:pt idx="12" formatCode="0.0">
                  <c:v>53</c:v>
                </c:pt>
                <c:pt idx="13" formatCode="0.0">
                  <c:v>52</c:v>
                </c:pt>
                <c:pt idx="14" formatCode="0.0">
                  <c:v>51</c:v>
                </c:pt>
                <c:pt idx="15" formatCode="0.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19'!$P$10</c:f>
              <c:strCache>
                <c:ptCount val="1"/>
                <c:pt idx="0">
                  <c:v>Požiadavka vyrovnaného rozpočtu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19'!$R$10:$AH$10</c:f>
              <c:numCache>
                <c:formatCode>General</c:formatCode>
                <c:ptCount val="16"/>
                <c:pt idx="5" formatCode="0.0">
                  <c:v>57</c:v>
                </c:pt>
                <c:pt idx="6" formatCode="0.0">
                  <c:v>57</c:v>
                </c:pt>
                <c:pt idx="7" formatCode="0.0">
                  <c:v>57</c:v>
                </c:pt>
                <c:pt idx="8" formatCode="0.0">
                  <c:v>57</c:v>
                </c:pt>
                <c:pt idx="9" formatCode="0.0">
                  <c:v>57</c:v>
                </c:pt>
                <c:pt idx="10" formatCode="0.0">
                  <c:v>57</c:v>
                </c:pt>
                <c:pt idx="11" formatCode="0.0">
                  <c:v>56</c:v>
                </c:pt>
                <c:pt idx="12" formatCode="0.0">
                  <c:v>55</c:v>
                </c:pt>
                <c:pt idx="13" formatCode="0.0">
                  <c:v>54</c:v>
                </c:pt>
                <c:pt idx="14" formatCode="0.0">
                  <c:v>53</c:v>
                </c:pt>
                <c:pt idx="15" formatCode="0.0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19'!$P$9</c:f>
              <c:strCache>
                <c:ptCount val="1"/>
                <c:pt idx="0">
                  <c:v>Dlhový strop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19'!$R$9:$AH$9</c:f>
              <c:numCache>
                <c:formatCode>General</c:formatCode>
                <c:ptCount val="16"/>
                <c:pt idx="5" formatCode="0.0">
                  <c:v>60</c:v>
                </c:pt>
                <c:pt idx="6" formatCode="0.0">
                  <c:v>60</c:v>
                </c:pt>
                <c:pt idx="7" formatCode="0.0">
                  <c:v>60</c:v>
                </c:pt>
                <c:pt idx="8" formatCode="0.0">
                  <c:v>60</c:v>
                </c:pt>
                <c:pt idx="9" formatCode="0.0">
                  <c:v>60</c:v>
                </c:pt>
                <c:pt idx="10" formatCode="0.0">
                  <c:v>60</c:v>
                </c:pt>
                <c:pt idx="11" formatCode="0.0">
                  <c:v>59</c:v>
                </c:pt>
                <c:pt idx="12" formatCode="0.0">
                  <c:v>58</c:v>
                </c:pt>
                <c:pt idx="13" formatCode="0.0">
                  <c:v>57</c:v>
                </c:pt>
                <c:pt idx="14" formatCode="0.0">
                  <c:v>56</c:v>
                </c:pt>
                <c:pt idx="15" formatCode="0.0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1840"/>
        <c:axId val="502302232"/>
        <c:extLst xmlns:c16r2="http://schemas.microsoft.com/office/drawing/2015/06/chart"/>
      </c:lineChart>
      <c:catAx>
        <c:axId val="5023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02302232"/>
        <c:crosses val="autoZero"/>
        <c:auto val="1"/>
        <c:lblAlgn val="ctr"/>
        <c:lblOffset val="100"/>
        <c:noMultiLvlLbl val="0"/>
      </c:catAx>
      <c:valAx>
        <c:axId val="502302232"/>
        <c:scaling>
          <c:orientation val="minMax"/>
          <c:max val="61"/>
          <c:min val="2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502301840"/>
        <c:crosses val="max"/>
        <c:crossBetween val="between"/>
        <c:majorUnit val="10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1.9175154773094224E-2"/>
          <c:y val="0.83701840816567341"/>
          <c:w val="0.98082479095088815"/>
          <c:h val="0.1505832858051278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2899279016979E-2"/>
          <c:y val="0.15064589480014279"/>
          <c:w val="0.93750478725638531"/>
          <c:h val="0.71122896034177108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1+2'!$F$19</c:f>
              <c:strCache>
                <c:ptCount val="1"/>
                <c:pt idx="0">
                  <c:v>Gross debt (net of  EFSF and ESM)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1+2'!$G$19:$M$19</c:f>
              <c:numCache>
                <c:formatCode>0.0</c:formatCode>
                <c:ptCount val="7"/>
                <c:pt idx="0">
                  <c:v>48.8903191233169</c:v>
                </c:pt>
                <c:pt idx="1">
                  <c:v>48.309437971048574</c:v>
                </c:pt>
                <c:pt idx="2">
                  <c:v>46.568841483388731</c:v>
                </c:pt>
                <c:pt idx="3">
                  <c:v>45.229844424612516</c:v>
                </c:pt>
                <c:pt idx="4">
                  <c:v>44.089117056432727</c:v>
                </c:pt>
                <c:pt idx="5">
                  <c:v>43.312582006109892</c:v>
                </c:pt>
                <c:pt idx="6">
                  <c:v>42.337086912114316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2-467A-82C0-BE7B50319B0B}"/>
            </c:ext>
          </c:extLst>
        </c:ser>
        <c:ser>
          <c:idx val="2"/>
          <c:order val="3"/>
          <c:tx>
            <c:strRef>
              <c:f>'Graf 1+2'!$E$20</c:f>
              <c:strCache>
                <c:ptCount val="1"/>
                <c:pt idx="0">
                  <c:v>EFSF a ESM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1+2'!$G$20:$M$20</c:f>
              <c:numCache>
                <c:formatCode>0.0</c:formatCode>
                <c:ptCount val="7"/>
                <c:pt idx="0">
                  <c:v>3.1341198156702714</c:v>
                </c:pt>
                <c:pt idx="1">
                  <c:v>3.0051229270807402</c:v>
                </c:pt>
                <c:pt idx="2">
                  <c:v>2.8308210993604672</c:v>
                </c:pt>
                <c:pt idx="3">
                  <c:v>2.6994474660336016</c:v>
                </c:pt>
                <c:pt idx="4">
                  <c:v>2.7220177710193494</c:v>
                </c:pt>
                <c:pt idx="5">
                  <c:v>2.5872948845593733</c:v>
                </c:pt>
                <c:pt idx="6">
                  <c:v>2.4558842735549695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82-467A-82C0-BE7B5031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overlap val="100"/>
        <c:axId val="488110664"/>
        <c:axId val="488111056"/>
      </c:barChart>
      <c:lineChart>
        <c:grouping val="standard"/>
        <c:varyColors val="0"/>
        <c:ser>
          <c:idx val="4"/>
          <c:order val="0"/>
          <c:tx>
            <c:strRef>
              <c:f>'Graf 1+2'!$E$26</c:f>
              <c:strCache>
                <c:ptCount val="1"/>
                <c:pt idx="0">
                  <c:v>57-60% HDP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1+2'!$G$26:$M$26</c:f>
              <c:numCache>
                <c:formatCode>0.0</c:formatCode>
                <c:ptCount val="7"/>
                <c:pt idx="0">
                  <c:v>57</c:v>
                </c:pt>
                <c:pt idx="1">
                  <c:v>57</c:v>
                </c:pt>
                <c:pt idx="2">
                  <c:v>56</c:v>
                </c:pt>
                <c:pt idx="3">
                  <c:v>55</c:v>
                </c:pt>
                <c:pt idx="4">
                  <c:v>54</c:v>
                </c:pt>
                <c:pt idx="5">
                  <c:v>53</c:v>
                </c:pt>
                <c:pt idx="6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82-467A-82C0-BE7B50319B0B}"/>
            </c:ext>
          </c:extLst>
        </c:ser>
        <c:ser>
          <c:idx val="3"/>
          <c:order val="1"/>
          <c:tx>
            <c:strRef>
              <c:f>'Graf 1+2'!$E$23</c:f>
              <c:strCache>
                <c:ptCount val="1"/>
                <c:pt idx="0">
                  <c:v>50-53% HDP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1+2'!$G$23:$M$23</c:f>
              <c:numCache>
                <c:formatCode>0.0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82-467A-82C0-BE7B50319B0B}"/>
            </c:ext>
          </c:extLst>
        </c:ser>
        <c:ser>
          <c:idx val="1"/>
          <c:order val="4"/>
          <c:tx>
            <c:strRef>
              <c:f>'Graf 1+2'!$F$18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6158987639362513E-2"/>
                  <c:y val="-8.253036262023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6158987639362513E-2"/>
                  <c:y val="-9.341471169758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158987639362513E-2"/>
                  <c:y val="-9.885688623626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B82-467A-82C0-BE7B50319B0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158987639362624E-2"/>
                  <c:y val="-9.341471169758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82-467A-82C0-BE7B50319B0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1+2'!$G$18:$M$18</c:f>
              <c:numCache>
                <c:formatCode>0.0</c:formatCode>
                <c:ptCount val="7"/>
                <c:pt idx="0">
                  <c:v>52.024438938987174</c:v>
                </c:pt>
                <c:pt idx="1">
                  <c:v>51.314560898129315</c:v>
                </c:pt>
                <c:pt idx="2">
                  <c:v>49.399662582749201</c:v>
                </c:pt>
                <c:pt idx="3">
                  <c:v>47.92929189064612</c:v>
                </c:pt>
                <c:pt idx="4">
                  <c:v>46.811134827452079</c:v>
                </c:pt>
                <c:pt idx="5">
                  <c:v>45.899876890669269</c:v>
                </c:pt>
                <c:pt idx="6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B82-467A-82C0-BE7B50319B0B}"/>
            </c:ext>
          </c:extLst>
        </c:ser>
        <c:ser>
          <c:idx val="6"/>
          <c:order val="5"/>
          <c:tx>
            <c:strRef>
              <c:f>'Graf 1+2'!$F$21</c:f>
              <c:strCache>
                <c:ptCount val="1"/>
                <c:pt idx="0">
                  <c:v>Net Debt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1+2'!$G$17:$M$17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'Graf 1+2'!$G$21:$M$21</c:f>
              <c:numCache>
                <c:formatCode>0.0</c:formatCode>
                <c:ptCount val="7"/>
                <c:pt idx="0">
                  <c:v>46.838254254814252</c:v>
                </c:pt>
                <c:pt idx="1">
                  <c:v>45.661267812317767</c:v>
                </c:pt>
                <c:pt idx="2">
                  <c:v>43.413592059050728</c:v>
                </c:pt>
                <c:pt idx="3">
                  <c:v>42.854065419211018</c:v>
                </c:pt>
                <c:pt idx="4">
                  <c:v>42.199141101815563</c:v>
                </c:pt>
                <c:pt idx="5">
                  <c:v>40.784798999651649</c:v>
                </c:pt>
                <c:pt idx="6">
                  <c:v>38.457308519476264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B82-467A-82C0-BE7B5031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10664"/>
        <c:axId val="488111056"/>
      </c:lineChart>
      <c:catAx>
        <c:axId val="488110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sk-SK"/>
          </a:p>
        </c:txPr>
        <c:crossAx val="488111056"/>
        <c:crosses val="autoZero"/>
        <c:auto val="1"/>
        <c:lblAlgn val="ctr"/>
        <c:lblOffset val="100"/>
        <c:noMultiLvlLbl val="0"/>
      </c:catAx>
      <c:valAx>
        <c:axId val="488111056"/>
        <c:scaling>
          <c:orientation val="minMax"/>
          <c:min val="3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  <a:prstDash val="sysDot"/>
          </a:ln>
        </c:spPr>
        <c:crossAx val="488110664"/>
        <c:crosses val="max"/>
        <c:crossBetween val="between"/>
        <c:majorUnit val="5"/>
      </c:valAx>
      <c:spPr>
        <a:noFill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3695041630982152E-2"/>
          <c:y val="2.8569000722285114E-2"/>
          <c:w val="0.90013784027123867"/>
          <c:h val="0.17763804221375415"/>
        </c:manualLayout>
      </c:layout>
      <c:overlay val="0"/>
      <c:txPr>
        <a:bodyPr/>
        <a:lstStyle/>
        <a:p>
          <a:pPr>
            <a:defRPr sz="10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19'!$Q$8</c:f>
              <c:strCache>
                <c:ptCount val="1"/>
                <c:pt idx="0">
                  <c:v>Sovereign debt (net of international commitments)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19'!$R$8:$AH$8</c:f>
              <c:numCache>
                <c:formatCode>0.0</c:formatCode>
                <c:ptCount val="16"/>
                <c:pt idx="0">
                  <c:v>28.930505557944475</c:v>
                </c:pt>
                <c:pt idx="1">
                  <c:v>27.272637643447219</c:v>
                </c:pt>
                <c:pt idx="2">
                  <c:v>33.920179349823186</c:v>
                </c:pt>
                <c:pt idx="3">
                  <c:v>37.878481835509461</c:v>
                </c:pt>
                <c:pt idx="4">
                  <c:v>40.167184195519376</c:v>
                </c:pt>
                <c:pt idx="5">
                  <c:v>46.654746719023017</c:v>
                </c:pt>
                <c:pt idx="6">
                  <c:v>48.817132494862982</c:v>
                </c:pt>
                <c:pt idx="7">
                  <c:v>48.089433097572339</c:v>
                </c:pt>
                <c:pt idx="8">
                  <c:v>46.88970167739123</c:v>
                </c:pt>
                <c:pt idx="9">
                  <c:v>47.221046469183477</c:v>
                </c:pt>
                <c:pt idx="10">
                  <c:v>46.704761492037044</c:v>
                </c:pt>
                <c:pt idx="11">
                  <c:v>44.93313174104658</c:v>
                </c:pt>
                <c:pt idx="12">
                  <c:v>43.669371371386248</c:v>
                </c:pt>
                <c:pt idx="13">
                  <c:v>42.723063886745997</c:v>
                </c:pt>
                <c:pt idx="14">
                  <c:v>42.139964711803898</c:v>
                </c:pt>
                <c:pt idx="15">
                  <c:v>41.32141773006304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19'!$P$6</c:f>
              <c:strCache>
                <c:ptCount val="1"/>
                <c:pt idx="0">
                  <c:v>Ostatné subjekty VS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19'!$R$6:$AH$6</c:f>
              <c:numCache>
                <c:formatCode>0.0</c:formatCode>
                <c:ptCount val="16"/>
                <c:pt idx="0">
                  <c:v>1.2335122173566553</c:v>
                </c:pt>
                <c:pt idx="1">
                  <c:v>1.2622180767681173</c:v>
                </c:pt>
                <c:pt idx="2">
                  <c:v>2.4407759300615068</c:v>
                </c:pt>
                <c:pt idx="3">
                  <c:v>3.1100437924834639</c:v>
                </c:pt>
                <c:pt idx="4">
                  <c:v>3.0545906405120045</c:v>
                </c:pt>
                <c:pt idx="5">
                  <c:v>2.7070529891599797</c:v>
                </c:pt>
                <c:pt idx="6">
                  <c:v>2.6325883673081454</c:v>
                </c:pt>
                <c:pt idx="7">
                  <c:v>1.9344547125665867</c:v>
                </c:pt>
                <c:pt idx="8">
                  <c:v>1.8130035987021671</c:v>
                </c:pt>
                <c:pt idx="9">
                  <c:v>1.6692726541334202</c:v>
                </c:pt>
                <c:pt idx="10">
                  <c:v>1.6046764790115315</c:v>
                </c:pt>
                <c:pt idx="11">
                  <c:v>1.6357097423421489</c:v>
                </c:pt>
                <c:pt idx="12">
                  <c:v>1.5604730532262672</c:v>
                </c:pt>
                <c:pt idx="13">
                  <c:v>1.3660531696867297</c:v>
                </c:pt>
                <c:pt idx="14">
                  <c:v>1.1726172943059878</c:v>
                </c:pt>
                <c:pt idx="15">
                  <c:v>1.0156691820512733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87-4D56-81C2-A07EFA8118EF}"/>
            </c:ext>
          </c:extLst>
        </c:ser>
        <c:ser>
          <c:idx val="2"/>
          <c:order val="3"/>
          <c:tx>
            <c:strRef>
              <c:f>'Graf 19'!$P$7</c:f>
              <c:strCache>
                <c:ptCount val="1"/>
                <c:pt idx="0">
                  <c:v>ESFS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19'!$R$7:$AH$7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0.24238501133205015</c:v>
                </c:pt>
                <c:pt idx="5">
                  <c:v>2.3919386860992065</c:v>
                </c:pt>
                <c:pt idx="6">
                  <c:v>3.2575722536977922</c:v>
                </c:pt>
                <c:pt idx="7">
                  <c:v>3.4832828391552244</c:v>
                </c:pt>
                <c:pt idx="8">
                  <c:v>3.1844248719573325</c:v>
                </c:pt>
                <c:pt idx="9">
                  <c:v>3.1341198156702714</c:v>
                </c:pt>
                <c:pt idx="10">
                  <c:v>3.0051229270807402</c:v>
                </c:pt>
                <c:pt idx="11">
                  <c:v>2.8308210993604672</c:v>
                </c:pt>
                <c:pt idx="12">
                  <c:v>2.6994474660336016</c:v>
                </c:pt>
                <c:pt idx="13">
                  <c:v>2.7220177710193494</c:v>
                </c:pt>
                <c:pt idx="14">
                  <c:v>2.5872948845593733</c:v>
                </c:pt>
                <c:pt idx="15">
                  <c:v>2.4558842735549695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3016"/>
        <c:axId val="502303408"/>
      </c:barChart>
      <c:lineChart>
        <c:grouping val="standard"/>
        <c:varyColors val="0"/>
        <c:ser>
          <c:idx val="1"/>
          <c:order val="0"/>
          <c:tx>
            <c:strRef>
              <c:f>'Graf 19'!$Q$5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97752711482207E-2"/>
                  <c:y val="0.117122609659042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087-4D56-81C2-A07EFA8118EF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212569818418606E-2"/>
                  <c:y val="0.136201180363476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19'!$R$5:$AH$5</c:f>
              <c:numCache>
                <c:formatCode>0.0</c:formatCode>
                <c:ptCount val="16"/>
                <c:pt idx="0">
                  <c:v>30.164017775301126</c:v>
                </c:pt>
                <c:pt idx="1">
                  <c:v>28.534855720215337</c:v>
                </c:pt>
                <c:pt idx="2">
                  <c:v>36.360955279884692</c:v>
                </c:pt>
                <c:pt idx="3">
                  <c:v>40.988525627992928</c:v>
                </c:pt>
                <c:pt idx="4">
                  <c:v>43.46415984736344</c:v>
                </c:pt>
                <c:pt idx="5">
                  <c:v>51.753738394282202</c:v>
                </c:pt>
                <c:pt idx="6">
                  <c:v>54.707293115868914</c:v>
                </c:pt>
                <c:pt idx="7">
                  <c:v>53.507170649294146</c:v>
                </c:pt>
                <c:pt idx="8">
                  <c:v>51.88713014805073</c:v>
                </c:pt>
                <c:pt idx="9">
                  <c:v>52.024438938987174</c:v>
                </c:pt>
                <c:pt idx="10">
                  <c:v>51.314560898129315</c:v>
                </c:pt>
                <c:pt idx="11">
                  <c:v>49.399662582749201</c:v>
                </c:pt>
                <c:pt idx="12">
                  <c:v>47.92929189064612</c:v>
                </c:pt>
                <c:pt idx="13">
                  <c:v>46.811134827452079</c:v>
                </c:pt>
                <c:pt idx="14">
                  <c:v>45.899876890669269</c:v>
                </c:pt>
                <c:pt idx="15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19'!$Q$12</c:f>
              <c:strCache>
                <c:ptCount val="1"/>
                <c:pt idx="0">
                  <c:v>Letter of the MF minister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19'!$R$12:$AH$12</c:f>
              <c:numCache>
                <c:formatCode>General</c:formatCode>
                <c:ptCount val="16"/>
                <c:pt idx="5" formatCode="0.0">
                  <c:v>50</c:v>
                </c:pt>
                <c:pt idx="6" formatCode="0.0">
                  <c:v>50</c:v>
                </c:pt>
                <c:pt idx="7" formatCode="0.0">
                  <c:v>50</c:v>
                </c:pt>
                <c:pt idx="8" formatCode="0.0">
                  <c:v>50</c:v>
                </c:pt>
                <c:pt idx="9" formatCode="0.0">
                  <c:v>50</c:v>
                </c:pt>
                <c:pt idx="10" formatCode="0.0">
                  <c:v>50</c:v>
                </c:pt>
                <c:pt idx="11" formatCode="0.0">
                  <c:v>49</c:v>
                </c:pt>
                <c:pt idx="12" formatCode="0.0">
                  <c:v>48</c:v>
                </c:pt>
                <c:pt idx="13" formatCode="0.0">
                  <c:v>47</c:v>
                </c:pt>
                <c:pt idx="14" formatCode="0.0">
                  <c:v>46</c:v>
                </c:pt>
                <c:pt idx="15" formatCode="0.0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19'!$Q$11</c:f>
              <c:strCache>
                <c:ptCount val="1"/>
                <c:pt idx="0">
                  <c:v>Expenditure freezing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19'!$R$11:$AH$11</c:f>
              <c:numCache>
                <c:formatCode>General</c:formatCode>
                <c:ptCount val="16"/>
                <c:pt idx="5" formatCode="0.0">
                  <c:v>55</c:v>
                </c:pt>
                <c:pt idx="6" formatCode="0.0">
                  <c:v>55</c:v>
                </c:pt>
                <c:pt idx="7" formatCode="0.0">
                  <c:v>55</c:v>
                </c:pt>
                <c:pt idx="8" formatCode="0.0">
                  <c:v>55</c:v>
                </c:pt>
                <c:pt idx="9" formatCode="0.0">
                  <c:v>55</c:v>
                </c:pt>
                <c:pt idx="10" formatCode="0.0">
                  <c:v>55</c:v>
                </c:pt>
                <c:pt idx="11" formatCode="0.0">
                  <c:v>54</c:v>
                </c:pt>
                <c:pt idx="12" formatCode="0.0">
                  <c:v>53</c:v>
                </c:pt>
                <c:pt idx="13" formatCode="0.0">
                  <c:v>52</c:v>
                </c:pt>
                <c:pt idx="14" formatCode="0.0">
                  <c:v>51</c:v>
                </c:pt>
                <c:pt idx="15" formatCode="0.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19'!$Q$10</c:f>
              <c:strCache>
                <c:ptCount val="1"/>
                <c:pt idx="0">
                  <c:v>Budget balance requirement 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19'!$R$10:$AH$10</c:f>
              <c:numCache>
                <c:formatCode>General</c:formatCode>
                <c:ptCount val="16"/>
                <c:pt idx="5" formatCode="0.0">
                  <c:v>57</c:v>
                </c:pt>
                <c:pt idx="6" formatCode="0.0">
                  <c:v>57</c:v>
                </c:pt>
                <c:pt idx="7" formatCode="0.0">
                  <c:v>57</c:v>
                </c:pt>
                <c:pt idx="8" formatCode="0.0">
                  <c:v>57</c:v>
                </c:pt>
                <c:pt idx="9" formatCode="0.0">
                  <c:v>57</c:v>
                </c:pt>
                <c:pt idx="10" formatCode="0.0">
                  <c:v>57</c:v>
                </c:pt>
                <c:pt idx="11" formatCode="0.0">
                  <c:v>56</c:v>
                </c:pt>
                <c:pt idx="12" formatCode="0.0">
                  <c:v>55</c:v>
                </c:pt>
                <c:pt idx="13" formatCode="0.0">
                  <c:v>54</c:v>
                </c:pt>
                <c:pt idx="14" formatCode="0.0">
                  <c:v>53</c:v>
                </c:pt>
                <c:pt idx="15" formatCode="0.0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19'!$Q$9</c:f>
              <c:strCache>
                <c:ptCount val="1"/>
                <c:pt idx="0">
                  <c:v>Debt limit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19'!$R$4:$AH$4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 19'!$R$9:$AH$9</c:f>
              <c:numCache>
                <c:formatCode>General</c:formatCode>
                <c:ptCount val="16"/>
                <c:pt idx="5" formatCode="0.0">
                  <c:v>60</c:v>
                </c:pt>
                <c:pt idx="6" formatCode="0.0">
                  <c:v>60</c:v>
                </c:pt>
                <c:pt idx="7" formatCode="0.0">
                  <c:v>60</c:v>
                </c:pt>
                <c:pt idx="8" formatCode="0.0">
                  <c:v>60</c:v>
                </c:pt>
                <c:pt idx="9" formatCode="0.0">
                  <c:v>60</c:v>
                </c:pt>
                <c:pt idx="10" formatCode="0.0">
                  <c:v>60</c:v>
                </c:pt>
                <c:pt idx="11" formatCode="0.0">
                  <c:v>59</c:v>
                </c:pt>
                <c:pt idx="12" formatCode="0.0">
                  <c:v>58</c:v>
                </c:pt>
                <c:pt idx="13" formatCode="0.0">
                  <c:v>57</c:v>
                </c:pt>
                <c:pt idx="14" formatCode="0.0">
                  <c:v>56</c:v>
                </c:pt>
                <c:pt idx="15" formatCode="0.0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3016"/>
        <c:axId val="502303408"/>
        <c:extLst xmlns:c16r2="http://schemas.microsoft.com/office/drawing/2015/06/chart"/>
      </c:lineChart>
      <c:catAx>
        <c:axId val="502303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502303408"/>
        <c:crosses val="autoZero"/>
        <c:auto val="1"/>
        <c:lblAlgn val="ctr"/>
        <c:lblOffset val="100"/>
        <c:noMultiLvlLbl val="0"/>
      </c:catAx>
      <c:valAx>
        <c:axId val="502303408"/>
        <c:scaling>
          <c:orientation val="minMax"/>
          <c:max val="61"/>
          <c:min val="2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502303016"/>
        <c:crosses val="max"/>
        <c:crossBetween val="between"/>
        <c:majorUnit val="10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1.9175154773094224E-2"/>
          <c:y val="0.83701826889698572"/>
          <c:w val="0.98082479095088815"/>
          <c:h val="0.150583296203839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656255025766888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20'!$J$9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20'!$L$9:$S$9</c15:sqref>
                  </c15:fullRef>
                </c:ext>
              </c:extLst>
              <c:f>'Graf 20'!$M$9:$S$9</c:f>
              <c:numCache>
                <c:formatCode>0.0</c:formatCode>
                <c:ptCount val="7"/>
                <c:pt idx="0">
                  <c:v>0.78190112859981986</c:v>
                </c:pt>
                <c:pt idx="1">
                  <c:v>-0.4869351439985411</c:v>
                </c:pt>
                <c:pt idx="2">
                  <c:v>-0.28535918156293721</c:v>
                </c:pt>
                <c:pt idx="3">
                  <c:v>-0.51917154455562731</c:v>
                </c:pt>
                <c:pt idx="4">
                  <c:v>-0.5882436547276636</c:v>
                </c:pt>
                <c:pt idx="5">
                  <c:v>-0.97198437000044358</c:v>
                </c:pt>
                <c:pt idx="6">
                  <c:v>-0.93519079800215443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0B-4EAC-A523-938B4F1C5E1C}"/>
            </c:ext>
          </c:extLst>
        </c:ser>
        <c:ser>
          <c:idx val="4"/>
          <c:order val="2"/>
          <c:tx>
            <c:strRef>
              <c:f>'Graf 20'!$J$10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20'!$L$10:$S$10</c15:sqref>
                  </c15:fullRef>
                </c:ext>
              </c:extLst>
              <c:f>'Graf 20'!$M$10:$S$10</c:f>
              <c:numCache>
                <c:formatCode>0.0</c:formatCode>
                <c:ptCount val="7"/>
                <c:pt idx="0">
                  <c:v>1.6942145400020898</c:v>
                </c:pt>
                <c:pt idx="1">
                  <c:v>1.4393600435793954</c:v>
                </c:pt>
                <c:pt idx="2">
                  <c:v>1.3455395333984441</c:v>
                </c:pt>
                <c:pt idx="3">
                  <c:v>1.2063081965830886</c:v>
                </c:pt>
                <c:pt idx="4">
                  <c:v>1.0782433875733237</c:v>
                </c:pt>
                <c:pt idx="5">
                  <c:v>0.97198437000044358</c:v>
                </c:pt>
                <c:pt idx="6">
                  <c:v>0.93519079800215443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0B-4EAC-A523-938B4F1C5E1C}"/>
            </c:ext>
          </c:extLst>
        </c:ser>
        <c:ser>
          <c:idx val="6"/>
          <c:order val="3"/>
          <c:tx>
            <c:strRef>
              <c:f>'Graf 20'!$J$12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20'!$L$12:$S$12</c15:sqref>
                  </c15:fullRef>
                </c:ext>
              </c:extLst>
              <c:f>'Graf 20'!$M$12:$S$12</c:f>
              <c:numCache>
                <c:formatCode>0.0</c:formatCode>
                <c:ptCount val="7"/>
                <c:pt idx="0">
                  <c:v>-1.5191345325404284</c:v>
                </c:pt>
                <c:pt idx="1">
                  <c:v>0.47896515026768516</c:v>
                </c:pt>
                <c:pt idx="2">
                  <c:v>1.2460856276419463E-3</c:v>
                </c:pt>
                <c:pt idx="3">
                  <c:v>0.1350476887831038</c:v>
                </c:pt>
                <c:pt idx="4">
                  <c:v>0.32544050407605274</c:v>
                </c:pt>
                <c:pt idx="5">
                  <c:v>1.3178984164756384</c:v>
                </c:pt>
                <c:pt idx="6">
                  <c:v>1.1383352448514268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0B-4EAC-A523-938B4F1C5E1C}"/>
            </c:ext>
          </c:extLst>
        </c:ser>
        <c:ser>
          <c:idx val="1"/>
          <c:order val="4"/>
          <c:tx>
            <c:strRef>
              <c:f>'Graf 20'!$J$13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20'!$L$13:$S$13</c15:sqref>
                  </c15:fullRef>
                </c:ext>
              </c:extLst>
              <c:f>'Graf 20'!$M$13:$S$13</c:f>
              <c:numCache>
                <c:formatCode>0.0</c:formatCode>
                <c:ptCount val="7"/>
                <c:pt idx="0">
                  <c:v>-1.0560237043804959</c:v>
                </c:pt>
                <c:pt idx="1">
                  <c:v>-1.5435403478647378</c:v>
                </c:pt>
                <c:pt idx="2">
                  <c:v>-1.9958315360073706</c:v>
                </c:pt>
                <c:pt idx="3">
                  <c:v>-1.2034915317623791</c:v>
                </c:pt>
                <c:pt idx="4">
                  <c:v>-1.078743181108857</c:v>
                </c:pt>
                <c:pt idx="5">
                  <c:v>-1.2847335768734751</c:v>
                </c:pt>
                <c:pt idx="6">
                  <c:v>-1.2374550814940115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0B-4EAC-A523-938B4F1C5E1C}"/>
            </c:ext>
          </c:extLst>
        </c:ser>
        <c:ser>
          <c:idx val="3"/>
          <c:order val="5"/>
          <c:tx>
            <c:strRef>
              <c:f>'Graf 20'!$J$14</c:f>
              <c:strCache>
                <c:ptCount val="1"/>
                <c:pt idx="0">
                  <c:v>Deflátor HDP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20'!$L$14:$S$14</c15:sqref>
                  </c15:fullRef>
                </c:ext>
              </c:extLst>
              <c:f>'Graf 20'!$M$14:$S$14</c:f>
              <c:numCache>
                <c:formatCode>0.0</c:formatCode>
                <c:ptCount val="7"/>
                <c:pt idx="0">
                  <c:v>0.23635135925545903</c:v>
                </c:pt>
                <c:pt idx="1">
                  <c:v>-0.59772774284166075</c:v>
                </c:pt>
                <c:pt idx="2">
                  <c:v>-0.98049321683589219</c:v>
                </c:pt>
                <c:pt idx="3">
                  <c:v>-1.0890635011512675</c:v>
                </c:pt>
                <c:pt idx="4">
                  <c:v>-0.85485411900689612</c:v>
                </c:pt>
                <c:pt idx="5">
                  <c:v>-0.94442277638497374</c:v>
                </c:pt>
                <c:pt idx="6">
                  <c:v>-1.0077858683573966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0B-4EAC-A523-938B4F1C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4192"/>
        <c:axId val="502304584"/>
        <c:extLst xmlns:c16r2="http://schemas.microsoft.com/office/drawing/2015/06/chart"/>
      </c:barChart>
      <c:lineChart>
        <c:grouping val="standard"/>
        <c:varyColors val="0"/>
        <c:ser>
          <c:idx val="0"/>
          <c:order val="0"/>
          <c:tx>
            <c:strRef>
              <c:f>'Graf 20'!$J$7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rgbClr val="000000"/>
                </a:solidFill>
              </a:ln>
            </c:spPr>
          </c:marker>
          <c:dPt>
            <c:idx val="89"/>
            <c:bubble3D val="0"/>
            <c:spPr>
              <a:ln w="25400" cmpd="sng">
                <a:noFill/>
                <a:prstDash val="solid"/>
              </a:ln>
            </c:spPr>
          </c:dPt>
          <c:dPt>
            <c:idx val="90"/>
            <c:bubble3D val="0"/>
            <c:spPr>
              <a:ln w="25400" cmpd="sng">
                <a:noFill/>
                <a:prstDash val="solid"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20'!$L$7:$S$7</c15:sqref>
                  </c15:fullRef>
                </c:ext>
              </c:extLst>
              <c:f>'Graf 20'!$M$7:$S$7</c:f>
              <c:numCache>
                <c:formatCode>0.0</c:formatCode>
                <c:ptCount val="7"/>
                <c:pt idx="0">
                  <c:v>0.13730879093644432</c:v>
                </c:pt>
                <c:pt idx="1">
                  <c:v>-0.70987804085785911</c:v>
                </c:pt>
                <c:pt idx="2">
                  <c:v>-1.914898315380114</c:v>
                </c:pt>
                <c:pt idx="3">
                  <c:v>-1.4703706921030815</c:v>
                </c:pt>
                <c:pt idx="4">
                  <c:v>-1.1181570631940403</c:v>
                </c:pt>
                <c:pt idx="5">
                  <c:v>-0.91125793678281042</c:v>
                </c:pt>
                <c:pt idx="6">
                  <c:v>-1.1069057049999813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70B-4EAC-A523-938B4F1C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4192"/>
        <c:axId val="502304584"/>
      </c:lineChart>
      <c:catAx>
        <c:axId val="5023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304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30458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3041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7175805543977605"/>
          <c:w val="1"/>
          <c:h val="0.22824194456022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656255025766888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20'!$K$9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20'!$L$9:$S$9</c15:sqref>
                  </c15:fullRef>
                </c:ext>
              </c:extLst>
              <c:f>'Graf 20'!$M$9:$S$9</c:f>
              <c:numCache>
                <c:formatCode>0.0</c:formatCode>
                <c:ptCount val="7"/>
                <c:pt idx="0">
                  <c:v>0.78190112859981986</c:v>
                </c:pt>
                <c:pt idx="1">
                  <c:v>-0.4869351439985411</c:v>
                </c:pt>
                <c:pt idx="2">
                  <c:v>-0.28535918156293721</c:v>
                </c:pt>
                <c:pt idx="3">
                  <c:v>-0.51917154455562731</c:v>
                </c:pt>
                <c:pt idx="4">
                  <c:v>-0.5882436547276636</c:v>
                </c:pt>
                <c:pt idx="5">
                  <c:v>-0.97198437000044358</c:v>
                </c:pt>
                <c:pt idx="6">
                  <c:v>-0.93519079800215443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0B-4EAC-A523-938B4F1C5E1C}"/>
            </c:ext>
          </c:extLst>
        </c:ser>
        <c:ser>
          <c:idx val="4"/>
          <c:order val="2"/>
          <c:tx>
            <c:strRef>
              <c:f>'Graf 20'!$K$10</c:f>
              <c:strCache>
                <c:ptCount val="1"/>
                <c:pt idx="0">
                  <c:v>Interest expense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20'!$L$10:$S$10</c15:sqref>
                  </c15:fullRef>
                </c:ext>
              </c:extLst>
              <c:f>'Graf 20'!$M$10:$S$10</c:f>
              <c:numCache>
                <c:formatCode>0.0</c:formatCode>
                <c:ptCount val="7"/>
                <c:pt idx="0">
                  <c:v>1.6942145400020898</c:v>
                </c:pt>
                <c:pt idx="1">
                  <c:v>1.4393600435793954</c:v>
                </c:pt>
                <c:pt idx="2">
                  <c:v>1.3455395333984441</c:v>
                </c:pt>
                <c:pt idx="3">
                  <c:v>1.2063081965830886</c:v>
                </c:pt>
                <c:pt idx="4">
                  <c:v>1.0782433875733237</c:v>
                </c:pt>
                <c:pt idx="5">
                  <c:v>0.97198437000044358</c:v>
                </c:pt>
                <c:pt idx="6">
                  <c:v>0.93519079800215443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0B-4EAC-A523-938B4F1C5E1C}"/>
            </c:ext>
          </c:extLst>
        </c:ser>
        <c:ser>
          <c:idx val="6"/>
          <c:order val="3"/>
          <c:tx>
            <c:strRef>
              <c:f>'Graf 20'!$K$12</c:f>
              <c:strCache>
                <c:ptCount val="1"/>
                <c:pt idx="0">
                  <c:v>Stock - flow adjustment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20'!$L$12:$S$12</c15:sqref>
                  </c15:fullRef>
                </c:ext>
              </c:extLst>
              <c:f>'Graf 20'!$M$12:$S$12</c:f>
              <c:numCache>
                <c:formatCode>0.0</c:formatCode>
                <c:ptCount val="7"/>
                <c:pt idx="0">
                  <c:v>-1.5191345325404284</c:v>
                </c:pt>
                <c:pt idx="1">
                  <c:v>0.47896515026768516</c:v>
                </c:pt>
                <c:pt idx="2">
                  <c:v>1.2460856276419463E-3</c:v>
                </c:pt>
                <c:pt idx="3">
                  <c:v>0.1350476887831038</c:v>
                </c:pt>
                <c:pt idx="4">
                  <c:v>0.32544050407605274</c:v>
                </c:pt>
                <c:pt idx="5">
                  <c:v>1.3178984164756384</c:v>
                </c:pt>
                <c:pt idx="6">
                  <c:v>1.1383352448514268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0B-4EAC-A523-938B4F1C5E1C}"/>
            </c:ext>
          </c:extLst>
        </c:ser>
        <c:ser>
          <c:idx val="1"/>
          <c:order val="4"/>
          <c:tx>
            <c:strRef>
              <c:f>'Graf 20'!$K$13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20'!$L$13:$S$13</c15:sqref>
                  </c15:fullRef>
                </c:ext>
              </c:extLst>
              <c:f>'Graf 20'!$M$13:$S$13</c:f>
              <c:numCache>
                <c:formatCode>0.0</c:formatCode>
                <c:ptCount val="7"/>
                <c:pt idx="0">
                  <c:v>-1.0560237043804959</c:v>
                </c:pt>
                <c:pt idx="1">
                  <c:v>-1.5435403478647378</c:v>
                </c:pt>
                <c:pt idx="2">
                  <c:v>-1.9958315360073706</c:v>
                </c:pt>
                <c:pt idx="3">
                  <c:v>-1.2034915317623791</c:v>
                </c:pt>
                <c:pt idx="4">
                  <c:v>-1.078743181108857</c:v>
                </c:pt>
                <c:pt idx="5">
                  <c:v>-1.2847335768734751</c:v>
                </c:pt>
                <c:pt idx="6">
                  <c:v>-1.2374550814940115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0B-4EAC-A523-938B4F1C5E1C}"/>
            </c:ext>
          </c:extLst>
        </c:ser>
        <c:ser>
          <c:idx val="3"/>
          <c:order val="5"/>
          <c:tx>
            <c:strRef>
              <c:f>'Graf 20'!$K$14</c:f>
              <c:strCache>
                <c:ptCount val="1"/>
                <c:pt idx="0">
                  <c:v>GDP deflator </c:v>
                </c:pt>
              </c:strCache>
            </c:strRef>
          </c:tx>
          <c:spPr>
            <a:solidFill>
              <a:srgbClr val="AAD3F2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20'!$L$14:$S$14</c15:sqref>
                  </c15:fullRef>
                </c:ext>
              </c:extLst>
              <c:f>'Graf 20'!$M$14:$S$14</c:f>
              <c:numCache>
                <c:formatCode>0.0</c:formatCode>
                <c:ptCount val="7"/>
                <c:pt idx="0">
                  <c:v>0.23635135925545903</c:v>
                </c:pt>
                <c:pt idx="1">
                  <c:v>-0.59772774284166075</c:v>
                </c:pt>
                <c:pt idx="2">
                  <c:v>-0.98049321683589219</c:v>
                </c:pt>
                <c:pt idx="3">
                  <c:v>-1.0890635011512675</c:v>
                </c:pt>
                <c:pt idx="4">
                  <c:v>-0.85485411900689612</c:v>
                </c:pt>
                <c:pt idx="5">
                  <c:v>-0.94442277638497374</c:v>
                </c:pt>
                <c:pt idx="6">
                  <c:v>-1.0077858683573966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0B-4EAC-A523-938B4F1C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5368"/>
        <c:axId val="502305760"/>
        <c:extLst xmlns:c16r2="http://schemas.microsoft.com/office/drawing/2015/06/chart"/>
      </c:barChart>
      <c:lineChart>
        <c:grouping val="standard"/>
        <c:varyColors val="0"/>
        <c:ser>
          <c:idx val="0"/>
          <c:order val="0"/>
          <c:tx>
            <c:strRef>
              <c:f>'Graf 20'!$K$7</c:f>
              <c:strCache>
                <c:ptCount val="1"/>
                <c:pt idx="0">
                  <c:v>Change in gross debt of general government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rgbClr val="000000"/>
                </a:solidFill>
              </a:ln>
            </c:spPr>
          </c:marker>
          <c:dPt>
            <c:idx val="91"/>
            <c:bubble3D val="0"/>
            <c:spPr>
              <a:ln w="25400" cmpd="sng">
                <a:noFill/>
                <a:prstDash val="solid"/>
              </a:ln>
            </c:spPr>
          </c:dPt>
          <c:dPt>
            <c:idx val="92"/>
            <c:bubble3D val="0"/>
            <c:spPr>
              <a:ln w="25400" cmpd="sng">
                <a:noFill/>
                <a:prstDash val="solid"/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20'!$L$6:$S$6</c15:sqref>
                  </c15:fullRef>
                </c:ext>
              </c:extLst>
              <c:f>'Graf 20'!$M$6:$S$6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20'!$L$7:$S$7</c15:sqref>
                  </c15:fullRef>
                </c:ext>
              </c:extLst>
              <c:f>'Graf 20'!$M$7:$S$7</c:f>
              <c:numCache>
                <c:formatCode>0.0</c:formatCode>
                <c:ptCount val="7"/>
                <c:pt idx="0">
                  <c:v>0.13730879093644432</c:v>
                </c:pt>
                <c:pt idx="1">
                  <c:v>-0.70987804085785911</c:v>
                </c:pt>
                <c:pt idx="2">
                  <c:v>-1.914898315380114</c:v>
                </c:pt>
                <c:pt idx="3">
                  <c:v>-1.4703706921030815</c:v>
                </c:pt>
                <c:pt idx="4">
                  <c:v>-1.1181570631940403</c:v>
                </c:pt>
                <c:pt idx="5">
                  <c:v>-0.91125793678281042</c:v>
                </c:pt>
                <c:pt idx="6">
                  <c:v>-1.1069057049999813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70B-4EAC-A523-938B4F1C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5368"/>
        <c:axId val="502305760"/>
      </c:lineChart>
      <c:catAx>
        <c:axId val="50230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3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30576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230536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7175805543977605"/>
          <c:w val="1"/>
          <c:h val="0.22824194456022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559741277055446E-2"/>
          <c:y val="0.11622425752672419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21'!$M$7</c:f>
              <c:strCache>
                <c:ptCount val="1"/>
                <c:pt idx="0">
                  <c:v>Čistý dlh verejnej správy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21'!$O$7:$U$7</c15:sqref>
                  </c15:fullRef>
                </c:ext>
              </c:extLst>
              <c:f>'Graf 21'!$Q$7:$U$7</c:f>
              <c:numCache>
                <c:formatCode>0.0</c:formatCode>
                <c:ptCount val="5"/>
                <c:pt idx="0">
                  <c:v>43.413592059050728</c:v>
                </c:pt>
                <c:pt idx="1">
                  <c:v>42.854065419211018</c:v>
                </c:pt>
                <c:pt idx="2">
                  <c:v>42.199141101815563</c:v>
                </c:pt>
                <c:pt idx="3">
                  <c:v>40.784798999651649</c:v>
                </c:pt>
                <c:pt idx="4">
                  <c:v>38.457308519476264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F6-447F-B2DC-CD5D4BC2B74B}"/>
            </c:ext>
          </c:extLst>
        </c:ser>
        <c:ser>
          <c:idx val="2"/>
          <c:order val="1"/>
          <c:tx>
            <c:strRef>
              <c:f>'Graf 21'!$M$8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21'!$O$8:$U$8</c15:sqref>
                  </c15:fullRef>
                </c:ext>
              </c:extLst>
              <c:f>'Graf 21'!$Q$8:$U$8</c:f>
              <c:numCache>
                <c:formatCode>0.0</c:formatCode>
                <c:ptCount val="5"/>
                <c:pt idx="0">
                  <c:v>5.9860705236984728</c:v>
                </c:pt>
                <c:pt idx="1">
                  <c:v>5.0752264714351014</c:v>
                </c:pt>
                <c:pt idx="2">
                  <c:v>4.6119937256365162</c:v>
                </c:pt>
                <c:pt idx="3">
                  <c:v>5.11507789101762</c:v>
                </c:pt>
                <c:pt idx="4">
                  <c:v>6.3356626661930235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F6-447F-B2DC-CD5D4BC2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6544"/>
        <c:axId val="502306936"/>
      </c:barChart>
      <c:lineChart>
        <c:grouping val="standard"/>
        <c:varyColors val="0"/>
        <c:ser>
          <c:idx val="0"/>
          <c:order val="2"/>
          <c:tx>
            <c:strRef>
              <c:f>'Graf 21'!$M$6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21'!$O$6:$U$6</c15:sqref>
                  </c15:fullRef>
                </c:ext>
              </c:extLst>
              <c:f>'Graf 21'!$Q$6:$U$6</c:f>
              <c:numCache>
                <c:formatCode>0.0</c:formatCode>
                <c:ptCount val="5"/>
                <c:pt idx="0">
                  <c:v>49.399662582749201</c:v>
                </c:pt>
                <c:pt idx="1">
                  <c:v>47.92929189064612</c:v>
                </c:pt>
                <c:pt idx="2">
                  <c:v>46.811134827452079</c:v>
                </c:pt>
                <c:pt idx="3">
                  <c:v>45.899876890669269</c:v>
                </c:pt>
                <c:pt idx="4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F6-447F-B2DC-CD5D4BC2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6544"/>
        <c:axId val="502306936"/>
      </c:lineChart>
      <c:catAx>
        <c:axId val="5023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02306936"/>
        <c:crosses val="autoZero"/>
        <c:auto val="1"/>
        <c:lblAlgn val="ctr"/>
        <c:lblOffset val="100"/>
        <c:noMultiLvlLbl val="0"/>
      </c:catAx>
      <c:valAx>
        <c:axId val="50230693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02306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559741277055446E-2"/>
          <c:y val="0.11622425752672419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21'!$N$7</c:f>
              <c:strCache>
                <c:ptCount val="1"/>
                <c:pt idx="0">
                  <c:v>Net debt</c:v>
                </c:pt>
              </c:strCache>
            </c:strRef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21'!$O$7:$U$7</c15:sqref>
                  </c15:fullRef>
                </c:ext>
              </c:extLst>
              <c:f>'Graf 21'!$Q$7:$U$7</c:f>
              <c:numCache>
                <c:formatCode>0.0</c:formatCode>
                <c:ptCount val="5"/>
                <c:pt idx="0">
                  <c:v>43.413592059050728</c:v>
                </c:pt>
                <c:pt idx="1">
                  <c:v>42.854065419211018</c:v>
                </c:pt>
                <c:pt idx="2">
                  <c:v>42.199141101815563</c:v>
                </c:pt>
                <c:pt idx="3">
                  <c:v>40.784798999651649</c:v>
                </c:pt>
                <c:pt idx="4">
                  <c:v>38.457308519476264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F6-447F-B2DC-CD5D4BC2B74B}"/>
            </c:ext>
          </c:extLst>
        </c:ser>
        <c:ser>
          <c:idx val="2"/>
          <c:order val="1"/>
          <c:tx>
            <c:strRef>
              <c:f>'Graf 21'!$N$8</c:f>
              <c:strCache>
                <c:ptCount val="1"/>
                <c:pt idx="0">
                  <c:v>Liquid assets of GG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21'!$O$8:$U$8</c15:sqref>
                  </c15:fullRef>
                </c:ext>
              </c:extLst>
              <c:f>'Graf 21'!$Q$8:$U$8</c:f>
              <c:numCache>
                <c:formatCode>0.0</c:formatCode>
                <c:ptCount val="5"/>
                <c:pt idx="0">
                  <c:v>5.9860705236984728</c:v>
                </c:pt>
                <c:pt idx="1">
                  <c:v>5.0752264714351014</c:v>
                </c:pt>
                <c:pt idx="2">
                  <c:v>4.6119937256365162</c:v>
                </c:pt>
                <c:pt idx="3">
                  <c:v>5.11507789101762</c:v>
                </c:pt>
                <c:pt idx="4">
                  <c:v>6.3356626661930235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F6-447F-B2DC-CD5D4BC2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7720"/>
        <c:axId val="502308112"/>
      </c:barChart>
      <c:lineChart>
        <c:grouping val="standard"/>
        <c:varyColors val="0"/>
        <c:ser>
          <c:idx val="0"/>
          <c:order val="2"/>
          <c:tx>
            <c:strRef>
              <c:f>'Graf 21'!$N$6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21'!$O$5:$U$5</c15:sqref>
                  </c15:fullRef>
                </c:ext>
              </c:extLst>
              <c:f>'Graf 21'!$Q$5:$U$5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21'!$O$6:$U$6</c15:sqref>
                  </c15:fullRef>
                </c:ext>
              </c:extLst>
              <c:f>'Graf 21'!$Q$6:$U$6</c:f>
              <c:numCache>
                <c:formatCode>0.0</c:formatCode>
                <c:ptCount val="5"/>
                <c:pt idx="0">
                  <c:v>49.399662582749201</c:v>
                </c:pt>
                <c:pt idx="1">
                  <c:v>47.92929189064612</c:v>
                </c:pt>
                <c:pt idx="2">
                  <c:v>46.811134827452079</c:v>
                </c:pt>
                <c:pt idx="3">
                  <c:v>45.899876890669269</c:v>
                </c:pt>
                <c:pt idx="4">
                  <c:v>44.792971185669288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F6-447F-B2DC-CD5D4BC2B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7720"/>
        <c:axId val="502308112"/>
      </c:lineChart>
      <c:catAx>
        <c:axId val="50230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02308112"/>
        <c:crosses val="autoZero"/>
        <c:auto val="1"/>
        <c:lblAlgn val="ctr"/>
        <c:lblOffset val="100"/>
        <c:noMultiLvlLbl val="0"/>
      </c:catAx>
      <c:valAx>
        <c:axId val="502308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502307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22 '!$M$6</c:f>
              <c:strCache>
                <c:ptCount val="1"/>
                <c:pt idx="0">
                  <c:v>Prostriedky použité na krytie dlhu - Program stability SR 2019 - 2022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'!$O$6:$R$6</c:f>
              <c:numCache>
                <c:formatCode>0.0</c:formatCode>
                <c:ptCount val="4"/>
                <c:pt idx="0">
                  <c:v>-0.41530080494730753</c:v>
                </c:pt>
                <c:pt idx="1">
                  <c:v>-0.89992747175257648</c:v>
                </c:pt>
                <c:pt idx="2">
                  <c:v>-0.54907064099423009</c:v>
                </c:pt>
                <c:pt idx="3">
                  <c:v>0.13118661566123366</c:v>
                </c:pt>
              </c:numCache>
            </c:numRef>
          </c:val>
        </c:ser>
        <c:ser>
          <c:idx val="1"/>
          <c:order val="1"/>
          <c:tx>
            <c:strRef>
              <c:f>'Graf 22 '!$M$7</c:f>
              <c:strCache>
                <c:ptCount val="1"/>
                <c:pt idx="0">
                  <c:v>Prostriedky použité na krytie dlhu - Návrh rozpočtového plánu SR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'!$O$7:$R$7</c:f>
              <c:numCache>
                <c:formatCode>0.0</c:formatCode>
                <c:ptCount val="4"/>
                <c:pt idx="0">
                  <c:v>-1.455061429244991</c:v>
                </c:pt>
                <c:pt idx="1">
                  <c:v>-1.4157392539590099</c:v>
                </c:pt>
                <c:pt idx="2">
                  <c:v>-0.12560610795079968</c:v>
                </c:pt>
                <c:pt idx="3">
                  <c:v>0.57037349045417685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2308896"/>
        <c:axId val="502309288"/>
      </c:barChart>
      <c:lineChart>
        <c:grouping val="standard"/>
        <c:varyColors val="0"/>
        <c:ser>
          <c:idx val="2"/>
          <c:order val="2"/>
          <c:tx>
            <c:strRef>
              <c:f>'Graf 22 '!$M$8</c:f>
              <c:strCache>
                <c:ptCount val="1"/>
                <c:pt idx="0">
                  <c:v>Zmena hrubého dlhu oproti Programu stability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'!$O$8:$R$8</c:f>
              <c:numCache>
                <c:formatCode>0.0</c:formatCode>
                <c:ptCount val="4"/>
                <c:pt idx="0">
                  <c:v>0.42546875396641404</c:v>
                </c:pt>
                <c:pt idx="1">
                  <c:v>0.88344653645241888</c:v>
                </c:pt>
                <c:pt idx="2">
                  <c:v>0.97758264407580353</c:v>
                </c:pt>
                <c:pt idx="3">
                  <c:v>0.4214806979309873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08896"/>
        <c:axId val="502309288"/>
      </c:lineChart>
      <c:catAx>
        <c:axId val="50230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09288"/>
        <c:crosses val="autoZero"/>
        <c:auto val="1"/>
        <c:lblAlgn val="ctr"/>
        <c:lblOffset val="100"/>
        <c:noMultiLvlLbl val="0"/>
      </c:catAx>
      <c:valAx>
        <c:axId val="50230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0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22 '!$M$6</c:f>
              <c:strCache>
                <c:ptCount val="1"/>
                <c:pt idx="0">
                  <c:v>Prostriedky použité na krytie dlhu - Program stability SR 2019 - 2022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'!$O$6:$R$6</c:f>
              <c:numCache>
                <c:formatCode>0.0</c:formatCode>
                <c:ptCount val="4"/>
                <c:pt idx="0">
                  <c:v>-0.41530080494730753</c:v>
                </c:pt>
                <c:pt idx="1">
                  <c:v>-0.89992747175257648</c:v>
                </c:pt>
                <c:pt idx="2">
                  <c:v>-0.54907064099423009</c:v>
                </c:pt>
                <c:pt idx="3">
                  <c:v>0.13118661566123366</c:v>
                </c:pt>
              </c:numCache>
            </c:numRef>
          </c:val>
        </c:ser>
        <c:ser>
          <c:idx val="1"/>
          <c:order val="1"/>
          <c:tx>
            <c:strRef>
              <c:f>'Graf 22 '!$M$7</c:f>
              <c:strCache>
                <c:ptCount val="1"/>
                <c:pt idx="0">
                  <c:v>Prostriedky použité na krytie dlhu - Návrh rozpočtového plánu SR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'!$O$7:$R$7</c:f>
              <c:numCache>
                <c:formatCode>0.0</c:formatCode>
                <c:ptCount val="4"/>
                <c:pt idx="0">
                  <c:v>-1.455061429244991</c:v>
                </c:pt>
                <c:pt idx="1">
                  <c:v>-1.4157392539590099</c:v>
                </c:pt>
                <c:pt idx="2">
                  <c:v>-0.12560610795079968</c:v>
                </c:pt>
                <c:pt idx="3">
                  <c:v>0.57037349045417685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2310072"/>
        <c:axId val="502310464"/>
      </c:barChart>
      <c:lineChart>
        <c:grouping val="standard"/>
        <c:varyColors val="0"/>
        <c:ser>
          <c:idx val="2"/>
          <c:order val="2"/>
          <c:tx>
            <c:strRef>
              <c:f>'Graf 22 '!$M$8</c:f>
              <c:strCache>
                <c:ptCount val="1"/>
                <c:pt idx="0">
                  <c:v>Zmena hrubého dlhu oproti Programu stability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22 '!$O$5:$R$5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22 '!$O$8:$R$8</c:f>
              <c:numCache>
                <c:formatCode>0.0</c:formatCode>
                <c:ptCount val="4"/>
                <c:pt idx="0">
                  <c:v>0.42546875396641404</c:v>
                </c:pt>
                <c:pt idx="1">
                  <c:v>0.88344653645241888</c:v>
                </c:pt>
                <c:pt idx="2">
                  <c:v>0.97758264407580353</c:v>
                </c:pt>
                <c:pt idx="3">
                  <c:v>0.4214806979309873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10072"/>
        <c:axId val="502310464"/>
      </c:lineChart>
      <c:catAx>
        <c:axId val="50231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10464"/>
        <c:crosses val="autoZero"/>
        <c:auto val="1"/>
        <c:lblAlgn val="ctr"/>
        <c:lblOffset val="100"/>
        <c:noMultiLvlLbl val="0"/>
      </c:catAx>
      <c:valAx>
        <c:axId val="5023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1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72067901234584E-2"/>
          <c:y val="0.12627015916093498"/>
          <c:w val="0.83704320987654335"/>
          <c:h val="0.70172973524799187"/>
        </c:manualLayout>
      </c:layout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40.639241673264422</c:v>
              </c:pt>
              <c:pt idx="1">
                <c:v>34.240963048671411</c:v>
              </c:pt>
              <c:pt idx="2">
                <c:v>31.076571644898603</c:v>
              </c:pt>
              <c:pt idx="3">
                <c:v>30.216377931826617</c:v>
              </c:pt>
              <c:pt idx="4">
                <c:v>28.576073437655481</c:v>
              </c:pt>
              <c:pt idx="5">
                <c:v>36.402084560104086</c:v>
              </c:pt>
              <c:pt idx="6">
                <c:v>41.30129792104745</c:v>
              </c:pt>
              <c:pt idx="7">
                <c:v>43.825513129112217</c:v>
              </c:pt>
              <c:pt idx="8">
                <c:v>52.309198594021169</c:v>
              </c:pt>
              <c:pt idx="9">
                <c:v>54.843727452519694</c:v>
              </c:pt>
              <c:pt idx="10">
                <c:v>53.625360305843564</c:v>
              </c:pt>
              <c:pt idx="11">
                <c:v>51.88713014805073</c:v>
              </c:pt>
              <c:pt idx="12">
                <c:v>52.024438938987174</c:v>
              </c:pt>
              <c:pt idx="13">
                <c:v>51.314560898129315</c:v>
              </c:pt>
              <c:pt idx="14">
                <c:v>49.399662582749201</c:v>
              </c:pt>
              <c:pt idx="15">
                <c:v>45.422080829353909</c:v>
              </c:pt>
              <c:pt idx="16">
                <c:v>42.801221454352259</c:v>
              </c:pt>
              <c:pt idx="17">
                <c:v>40.828848418386563</c:v>
              </c:pt>
              <c:pt idx="18">
                <c:v>39.533818540632318</c:v>
              </c:pt>
            </c:numLit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0.98106197493997627</c:v>
              </c:pt>
              <c:pt idx="16">
                <c:v>1.7516029333025358</c:v>
              </c:pt>
              <c:pt idx="17">
                <c:v>2.3213057241736479</c:v>
              </c:pt>
              <c:pt idx="18">
                <c:v>3.0078008598880572</c:v>
              </c:pt>
            </c:numLit>
          </c:val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0.78873757818198698</c:v>
              </c:pt>
              <c:pt idx="16">
                <c:v>1.3325305914148728</c:v>
              </c:pt>
              <c:pt idx="17">
                <c:v>1.7452316353658475</c:v>
              </c:pt>
              <c:pt idx="18">
                <c:v>1.864598327973475</c:v>
              </c:pt>
            </c:numLit>
          </c:val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0.64412338635182209</c:v>
              </c:pt>
              <c:pt idx="16">
                <c:v>1.1221286534043884</c:v>
              </c:pt>
              <c:pt idx="17">
                <c:v>1.483844105666499</c:v>
              </c:pt>
              <c:pt idx="18">
                <c:v>1.8774543089669606</c:v>
              </c:pt>
            </c:numLit>
          </c:val>
        </c:ser>
        <c:ser>
          <c:idx val="4"/>
          <c:order val="4"/>
          <c:spPr>
            <a:solidFill>
              <a:schemeClr val="accent3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0.5903000770730884</c:v>
              </c:pt>
              <c:pt idx="16">
                <c:v>1.0015242838038674</c:v>
              </c:pt>
              <c:pt idx="17">
                <c:v>1.3594610132051201</c:v>
              </c:pt>
              <c:pt idx="18">
                <c:v>1.5795367778156617</c:v>
              </c:pt>
            </c:numLit>
          </c:val>
        </c:ser>
        <c:ser>
          <c:idx val="5"/>
          <c:order val="5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0.61805533526422352</c:v>
              </c:pt>
              <c:pt idx="16">
                <c:v>1.0023136492031455</c:v>
              </c:pt>
              <c:pt idx="17">
                <c:v>1.3566007819795445</c:v>
              </c:pt>
              <c:pt idx="18">
                <c:v>1.5664667134068395</c:v>
              </c:pt>
            </c:numLit>
          </c:val>
        </c:ser>
        <c:ser>
          <c:idx val="6"/>
          <c:order val="6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0.60022767094172735</c:v>
              </c:pt>
              <c:pt idx="16">
                <c:v>1.1028898249574581</c:v>
              </c:pt>
              <c:pt idx="17">
                <c:v>1.4882579036885559</c:v>
              </c:pt>
              <c:pt idx="18">
                <c:v>1.6630746102902094</c:v>
              </c:pt>
            </c:numLit>
          </c:val>
        </c:ser>
        <c:ser>
          <c:idx val="7"/>
          <c:order val="7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0.72076787016876409</c:v>
              </c:pt>
              <c:pt idx="16">
                <c:v>1.2385827393475921</c:v>
              </c:pt>
              <c:pt idx="17">
                <c:v>1.8037898199204534</c:v>
              </c:pt>
              <c:pt idx="18">
                <c:v>2.0025651230850272</c:v>
              </c:pt>
            </c:numLit>
          </c:val>
        </c:ser>
        <c:ser>
          <c:idx val="8"/>
          <c:order val="8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Lit>
              <c:formatCode>General</c:formatCode>
              <c:ptCount val="19"/>
              <c:pt idx="0">
                <c:v>2004.01</c:v>
              </c:pt>
              <c:pt idx="1">
                <c:v>2005.01</c:v>
              </c:pt>
              <c:pt idx="2">
                <c:v>2006.01</c:v>
              </c:pt>
              <c:pt idx="3">
                <c:v>2007.01</c:v>
              </c:pt>
              <c:pt idx="4">
                <c:v>2008.01</c:v>
              </c:pt>
              <c:pt idx="5">
                <c:v>2009.01</c:v>
              </c:pt>
              <c:pt idx="6">
                <c:v>2010.01</c:v>
              </c:pt>
              <c:pt idx="7">
                <c:v>2011.01</c:v>
              </c:pt>
              <c:pt idx="8">
                <c:v>2012.01</c:v>
              </c:pt>
              <c:pt idx="9">
                <c:v>2013.01</c:v>
              </c:pt>
              <c:pt idx="10">
                <c:v>2014.01</c:v>
              </c:pt>
              <c:pt idx="11">
                <c:v>2015.01</c:v>
              </c:pt>
              <c:pt idx="12">
                <c:v>2016.01</c:v>
              </c:pt>
              <c:pt idx="13">
                <c:v>2017.01</c:v>
              </c:pt>
              <c:pt idx="14">
                <c:v>2018.01</c:v>
              </c:pt>
              <c:pt idx="15">
                <c:v>2019.01</c:v>
              </c:pt>
              <c:pt idx="16">
                <c:v>2020.01</c:v>
              </c:pt>
              <c:pt idx="17">
                <c:v>2021.01</c:v>
              </c:pt>
              <c:pt idx="18">
                <c:v>2022.01</c:v>
              </c:pt>
            </c:numLit>
          </c:cat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1.117088813085644</c:v>
              </c:pt>
              <c:pt idx="16">
                <c:v>1.7368415407668039</c:v>
              </c:pt>
              <c:pt idx="17">
                <c:v>2.4494313607150957</c:v>
              </c:pt>
              <c:pt idx="18">
                <c:v>3.0419159981580108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311248"/>
        <c:axId val="502311640"/>
      </c:areaChart>
      <c:lineChart>
        <c:grouping val="standard"/>
        <c:varyColors val="0"/>
        <c:ser>
          <c:idx val="9"/>
          <c:order val="9"/>
          <c:tx>
            <c:v>oficiálna prognóza</c:v>
          </c:tx>
          <c:spPr>
            <a:ln w="2540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9"/>
              <c:pt idx="0">
                <c:v>40.639241673264422</c:v>
              </c:pt>
              <c:pt idx="1">
                <c:v>34.240963048671411</c:v>
              </c:pt>
              <c:pt idx="2">
                <c:v>31.076571644898603</c:v>
              </c:pt>
              <c:pt idx="3">
                <c:v>30.216377931826617</c:v>
              </c:pt>
              <c:pt idx="4">
                <c:v>28.576073437655481</c:v>
              </c:pt>
              <c:pt idx="5">
                <c:v>36.402084560104086</c:v>
              </c:pt>
              <c:pt idx="6">
                <c:v>41.30129792104745</c:v>
              </c:pt>
              <c:pt idx="7">
                <c:v>43.825513129112217</c:v>
              </c:pt>
              <c:pt idx="8">
                <c:v>52.309198594021169</c:v>
              </c:pt>
              <c:pt idx="9">
                <c:v>54.843727452519694</c:v>
              </c:pt>
              <c:pt idx="10">
                <c:v>53.625360305843564</c:v>
              </c:pt>
              <c:pt idx="11">
                <c:v>51.88713014805073</c:v>
              </c:pt>
              <c:pt idx="12">
                <c:v>52.024438938987174</c:v>
              </c:pt>
              <c:pt idx="13">
                <c:v>51.314560898129315</c:v>
              </c:pt>
              <c:pt idx="14">
                <c:v>49.399662582749201</c:v>
              </c:pt>
              <c:pt idx="15">
                <c:v>47.92929189064612</c:v>
              </c:pt>
              <c:pt idx="16">
                <c:v>46.811134827452079</c:v>
              </c:pt>
              <c:pt idx="17">
                <c:v>45.899876890669269</c:v>
              </c:pt>
              <c:pt idx="18">
                <c:v>44.792971185669288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11248"/>
        <c:axId val="502311640"/>
      </c:lineChart>
      <c:lineChart>
        <c:grouping val="standard"/>
        <c:varyColors val="0"/>
        <c:ser>
          <c:idx val="10"/>
          <c:order val="10"/>
          <c:tx>
            <c:v>alternatívna prognóza</c:v>
          </c:tx>
          <c:spPr>
            <a:ln w="25400" cap="rnd">
              <a:solidFill>
                <a:srgbClr val="2C9AD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9"/>
              <c:pt idx="0">
                <c:v>40.639241673264422</c:v>
              </c:pt>
              <c:pt idx="1">
                <c:v>34.240963048671411</c:v>
              </c:pt>
              <c:pt idx="2">
                <c:v>31.076571644898603</c:v>
              </c:pt>
              <c:pt idx="3">
                <c:v>30.216377931826617</c:v>
              </c:pt>
              <c:pt idx="4">
                <c:v>28.576073437655481</c:v>
              </c:pt>
              <c:pt idx="5">
                <c:v>36.402084560104086</c:v>
              </c:pt>
              <c:pt idx="6">
                <c:v>41.30129792104745</c:v>
              </c:pt>
              <c:pt idx="7">
                <c:v>43.825513129112217</c:v>
              </c:pt>
              <c:pt idx="8">
                <c:v>52.309198594021169</c:v>
              </c:pt>
              <c:pt idx="9">
                <c:v>54.843727452519694</c:v>
              </c:pt>
              <c:pt idx="10">
                <c:v>53.625360305843564</c:v>
              </c:pt>
              <c:pt idx="11">
                <c:v>51.88713014805073</c:v>
              </c:pt>
              <c:pt idx="12">
                <c:v>52.024438938987174</c:v>
              </c:pt>
              <c:pt idx="13">
                <c:v>51.314560898129315</c:v>
              </c:pt>
              <c:pt idx="14">
                <c:v>49.399662582749201</c:v>
              </c:pt>
              <c:pt idx="15">
                <c:v>48.433826036771983</c:v>
              </c:pt>
              <c:pt idx="16">
                <c:v>47.991220241793492</c:v>
              </c:pt>
              <c:pt idx="17">
                <c:v>47.773828088659847</c:v>
              </c:pt>
              <c:pt idx="18">
                <c:v>47.840044349082198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57432"/>
        <c:axId val="502312032"/>
      </c:lineChart>
      <c:catAx>
        <c:axId val="5023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11640"/>
        <c:crosses val="autoZero"/>
        <c:auto val="1"/>
        <c:lblAlgn val="ctr"/>
        <c:lblOffset val="100"/>
        <c:noMultiLvlLbl val="0"/>
      </c:catAx>
      <c:valAx>
        <c:axId val="502311640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2311248"/>
        <c:crosses val="autoZero"/>
        <c:crossBetween val="midCat"/>
      </c:valAx>
      <c:valAx>
        <c:axId val="502312032"/>
        <c:scaling>
          <c:orientation val="minMax"/>
          <c:max val="60"/>
          <c:min val="2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57432"/>
        <c:crosses val="max"/>
        <c:crossBetween val="between"/>
      </c:valAx>
      <c:catAx>
        <c:axId val="500857432"/>
        <c:scaling>
          <c:orientation val="minMax"/>
        </c:scaling>
        <c:delete val="1"/>
        <c:axPos val="b"/>
        <c:majorTickMark val="out"/>
        <c:minorTickMark val="none"/>
        <c:tickLblPos val="nextTo"/>
        <c:crossAx val="5023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1437654320987656E-2"/>
          <c:y val="0.14937805555555556"/>
          <c:w val="0.27567947530864201"/>
          <c:h val="0.157860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92842268985387E-2"/>
          <c:y val="4.3533312784300546E-2"/>
          <c:w val="0.90511703580912051"/>
          <c:h val="0.73398006743818944"/>
        </c:manualLayout>
      </c:layout>
      <c:lineChart>
        <c:grouping val="standard"/>
        <c:varyColors val="0"/>
        <c:ser>
          <c:idx val="0"/>
          <c:order val="0"/>
          <c:tx>
            <c:strRef>
              <c:f>'Graf 24+25'!$L$8</c:f>
              <c:strCache>
                <c:ptCount val="1"/>
                <c:pt idx="0">
                  <c:v>Základný scenár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24+25'!$N$8:$Q$8</c:f>
              <c:numCache>
                <c:formatCode>0.0</c:formatCode>
                <c:ptCount val="4"/>
                <c:pt idx="0">
                  <c:v>-0.69</c:v>
                </c:pt>
                <c:pt idx="1">
                  <c:v>-0.49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F-4D32-B84E-8E5EACA20AFF}"/>
            </c:ext>
          </c:extLst>
        </c:ser>
        <c:ser>
          <c:idx val="1"/>
          <c:order val="1"/>
          <c:tx>
            <c:strRef>
              <c:f>'Graf 24+25'!$L$9</c:f>
              <c:strCache>
                <c:ptCount val="1"/>
                <c:pt idx="0">
                  <c:v>Stagnácia dopytu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24+25'!$N$9:$Q$9</c:f>
              <c:numCache>
                <c:formatCode>0.0</c:formatCode>
                <c:ptCount val="4"/>
                <c:pt idx="0">
                  <c:v>-0.69</c:v>
                </c:pt>
                <c:pt idx="1">
                  <c:v>-0.71218918627020811</c:v>
                </c:pt>
                <c:pt idx="2">
                  <c:v>-0.3902567334440169</c:v>
                </c:pt>
                <c:pt idx="3">
                  <c:v>-0.27468732681472008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FF-4D32-B84E-8E5EACA20AFF}"/>
            </c:ext>
          </c:extLst>
        </c:ser>
        <c:ser>
          <c:idx val="2"/>
          <c:order val="2"/>
          <c:tx>
            <c:strRef>
              <c:f>'Graf 24+25'!$L$10</c:f>
              <c:strCache>
                <c:ptCount val="1"/>
                <c:pt idx="0">
                  <c:v>Pokles úrokov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24+25'!$N$10:$Q$10</c:f>
              <c:numCache>
                <c:formatCode>0.0</c:formatCode>
                <c:ptCount val="4"/>
                <c:pt idx="0">
                  <c:v>-0.69</c:v>
                </c:pt>
                <c:pt idx="1">
                  <c:v>-0.42936016830618878</c:v>
                </c:pt>
                <c:pt idx="2">
                  <c:v>5.554426990732593E-2</c:v>
                </c:pt>
                <c:pt idx="3">
                  <c:v>4.8885818232084779E-2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F5-4D83-B5F0-EE2047940A24}"/>
            </c:ext>
          </c:extLst>
        </c:ser>
        <c:ser>
          <c:idx val="3"/>
          <c:order val="3"/>
          <c:tx>
            <c:strRef>
              <c:f>'Graf 24+25'!$L$11</c:f>
              <c:strCache>
                <c:ptCount val="1"/>
                <c:pt idx="0">
                  <c:v>Spomalenie produkcie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24+25'!$N$11:$Q$11</c:f>
              <c:numCache>
                <c:formatCode>0.0</c:formatCode>
                <c:ptCount val="4"/>
                <c:pt idx="0">
                  <c:v>-0.69</c:v>
                </c:pt>
                <c:pt idx="1">
                  <c:v>-0.52712867365288207</c:v>
                </c:pt>
                <c:pt idx="2">
                  <c:v>-3.4300873323705204E-2</c:v>
                </c:pt>
                <c:pt idx="3">
                  <c:v>-5.1004322866356908E-2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F5-4D83-B5F0-EE204794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58216"/>
        <c:axId val="500858608"/>
      </c:lineChart>
      <c:catAx>
        <c:axId val="50085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58608"/>
        <c:crosses val="autoZero"/>
        <c:auto val="1"/>
        <c:lblAlgn val="ctr"/>
        <c:lblOffset val="100"/>
        <c:noMultiLvlLbl val="0"/>
      </c:catAx>
      <c:valAx>
        <c:axId val="500858608"/>
        <c:scaling>
          <c:orientation val="minMax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58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7114754985523721E-2"/>
          <c:y val="0.86858816155443253"/>
          <c:w val="0.84873349433124978"/>
          <c:h val="9.4098405609746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90113224151064E-2"/>
          <c:y val="4.5202474690663665E-2"/>
          <c:w val="0.8973197648539547"/>
          <c:h val="0.72455793025871762"/>
        </c:manualLayout>
      </c:layout>
      <c:lineChart>
        <c:grouping val="standard"/>
        <c:varyColors val="0"/>
        <c:ser>
          <c:idx val="0"/>
          <c:order val="0"/>
          <c:tx>
            <c:strRef>
              <c:f>'Graf 24+25'!$L$16</c:f>
              <c:strCache>
                <c:ptCount val="1"/>
                <c:pt idx="0">
                  <c:v>Základný scenár</c:v>
                </c:pt>
              </c:strCache>
            </c:strRef>
          </c:tx>
          <c:spPr>
            <a:ln w="28575" cap="rnd">
              <a:solidFill>
                <a:srgbClr val="2C9AD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24+25'!$N$16:$Q$16</c:f>
              <c:numCache>
                <c:formatCode>0.0</c:formatCode>
                <c:ptCount val="4"/>
                <c:pt idx="0">
                  <c:v>47.93</c:v>
                </c:pt>
                <c:pt idx="1">
                  <c:v>46.81</c:v>
                </c:pt>
                <c:pt idx="2">
                  <c:v>45.9</c:v>
                </c:pt>
                <c:pt idx="3">
                  <c:v>44.79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F-4D32-B84E-8E5EACA20AFF}"/>
            </c:ext>
          </c:extLst>
        </c:ser>
        <c:ser>
          <c:idx val="1"/>
          <c:order val="1"/>
          <c:tx>
            <c:strRef>
              <c:f>'Graf 24+25'!$L$17</c:f>
              <c:strCache>
                <c:ptCount val="1"/>
                <c:pt idx="0">
                  <c:v>Stagnácia dopytu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24+25'!$N$17:$Q$17</c:f>
              <c:numCache>
                <c:formatCode>0.0</c:formatCode>
                <c:ptCount val="4"/>
                <c:pt idx="0">
                  <c:v>47.93</c:v>
                </c:pt>
                <c:pt idx="1">
                  <c:v>47.536801181436196</c:v>
                </c:pt>
                <c:pt idx="2">
                  <c:v>47.163558578146514</c:v>
                </c:pt>
                <c:pt idx="3">
                  <c:v>46.382370676665772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FF-4D32-B84E-8E5EACA20AFF}"/>
            </c:ext>
          </c:extLst>
        </c:ser>
        <c:ser>
          <c:idx val="2"/>
          <c:order val="2"/>
          <c:tx>
            <c:strRef>
              <c:f>'Graf 24+25'!$L$18</c:f>
              <c:strCache>
                <c:ptCount val="1"/>
                <c:pt idx="0">
                  <c:v>Pokles úrokov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24+25'!$N$18:$Q$18</c:f>
              <c:numCache>
                <c:formatCode>0.0</c:formatCode>
                <c:ptCount val="4"/>
                <c:pt idx="0">
                  <c:v>47.93</c:v>
                </c:pt>
                <c:pt idx="1">
                  <c:v>46.731687262228512</c:v>
                </c:pt>
                <c:pt idx="2">
                  <c:v>45.738024629148008</c:v>
                </c:pt>
                <c:pt idx="3">
                  <c:v>44.553714347911153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73-44BE-BAB0-A84977761637}"/>
            </c:ext>
          </c:extLst>
        </c:ser>
        <c:ser>
          <c:idx val="3"/>
          <c:order val="3"/>
          <c:tx>
            <c:strRef>
              <c:f>'Graf 24+25'!$L$19</c:f>
              <c:strCache>
                <c:ptCount val="1"/>
                <c:pt idx="0">
                  <c:v>Spomalenie produkcie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24+25'!$N$19:$Q$19</c:f>
              <c:numCache>
                <c:formatCode>0.0</c:formatCode>
                <c:ptCount val="4"/>
                <c:pt idx="0">
                  <c:v>47.93</c:v>
                </c:pt>
                <c:pt idx="1">
                  <c:v>46.863486345491808</c:v>
                </c:pt>
                <c:pt idx="2">
                  <c:v>46.06500424996414</c:v>
                </c:pt>
                <c:pt idx="3">
                  <c:v>45.105458435846579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73-44BE-BAB0-A84977761637}"/>
            </c:ext>
          </c:extLst>
        </c:ser>
        <c:ser>
          <c:idx val="4"/>
          <c:order val="4"/>
          <c:tx>
            <c:strRef>
              <c:f>'Graf 24+25'!$L$20</c:f>
              <c:strCache>
                <c:ptCount val="1"/>
                <c:pt idx="0">
                  <c:v>1. Sankčné pásmo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24+25'!$N$20:$Q$20</c:f>
              <c:numCache>
                <c:formatCode>0.0</c:formatCode>
                <c:ptCount val="4"/>
                <c:pt idx="0">
                  <c:v>48</c:v>
                </c:pt>
                <c:pt idx="1">
                  <c:v>47</c:v>
                </c:pt>
                <c:pt idx="2">
                  <c:v>46</c:v>
                </c:pt>
                <c:pt idx="3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69-47D6-BE67-5E72A5851AE7}"/>
            </c:ext>
          </c:extLst>
        </c:ser>
        <c:ser>
          <c:idx val="5"/>
          <c:order val="5"/>
          <c:tx>
            <c:strRef>
              <c:f>'Graf 24+25'!$L$21</c:f>
              <c:strCache>
                <c:ptCount val="1"/>
                <c:pt idx="0">
                  <c:v>2. Sankčné pásmo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24+25'!$N$21:$Q$21</c:f>
              <c:numCache>
                <c:formatCode>0.0</c:formatCode>
                <c:ptCount val="4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69-47D6-BE67-5E72A585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59392"/>
        <c:axId val="500859784"/>
      </c:lineChart>
      <c:catAx>
        <c:axId val="5008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59784"/>
        <c:crosses val="autoZero"/>
        <c:auto val="1"/>
        <c:lblAlgn val="ctr"/>
        <c:lblOffset val="100"/>
        <c:noMultiLvlLbl val="0"/>
      </c:catAx>
      <c:valAx>
        <c:axId val="500859784"/>
        <c:scaling>
          <c:orientation val="minMax"/>
          <c:max val="5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7732037881229759E-2"/>
          <c:y val="0.87335020622422199"/>
          <c:w val="0.93520078995973432"/>
          <c:h val="0.12664979377577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3+4'!$J$19</c:f>
              <c:strCache>
                <c:ptCount val="1"/>
                <c:pt idx="0">
                  <c:v>Okrem VW + JLR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3+4'!$L$19:$Q$19</c:f>
              <c:numCache>
                <c:formatCode>0.0</c:formatCode>
                <c:ptCount val="6"/>
                <c:pt idx="0">
                  <c:v>3.0647367155260885</c:v>
                </c:pt>
                <c:pt idx="1">
                  <c:v>3.3517828942347312</c:v>
                </c:pt>
                <c:pt idx="2">
                  <c:v>2.1925440988373692</c:v>
                </c:pt>
                <c:pt idx="3">
                  <c:v>1.8167082912513506</c:v>
                </c:pt>
                <c:pt idx="4">
                  <c:v>2.4459030567576581</c:v>
                </c:pt>
                <c:pt idx="5">
                  <c:v>2.7490220356119739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99-42E2-81CB-3C4D97C4BFAF}"/>
            </c:ext>
          </c:extLst>
        </c:ser>
        <c:ser>
          <c:idx val="2"/>
          <c:order val="2"/>
          <c:tx>
            <c:strRef>
              <c:f>'Graf 3+4'!$J$20</c:f>
              <c:strCache>
                <c:ptCount val="1"/>
                <c:pt idx="0">
                  <c:v>Vplyv VW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3+4'!$L$20:$Q$20</c:f>
              <c:numCache>
                <c:formatCode>0.0</c:formatCode>
                <c:ptCount val="6"/>
                <c:pt idx="0">
                  <c:v>-0.12154209972238099</c:v>
                </c:pt>
                <c:pt idx="1">
                  <c:v>0.40216501348481293</c:v>
                </c:pt>
                <c:pt idx="2">
                  <c:v>0.32941685053672043</c:v>
                </c:pt>
                <c:pt idx="3">
                  <c:v>-1.6658238013912856E-2</c:v>
                </c:pt>
                <c:pt idx="4">
                  <c:v>-1.8264122493139974E-2</c:v>
                </c:pt>
                <c:pt idx="5">
                  <c:v>-1.8910280775616291E-2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99-42E2-81CB-3C4D97C4BFAF}"/>
            </c:ext>
          </c:extLst>
        </c:ser>
        <c:ser>
          <c:idx val="3"/>
          <c:order val="3"/>
          <c:tx>
            <c:strRef>
              <c:f>'Graf 3+4'!$J$21</c:f>
              <c:strCache>
                <c:ptCount val="1"/>
                <c:pt idx="0">
                  <c:v>Vplyv JLR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3+4'!$L$21:$Q$21</c:f>
              <c:numCache>
                <c:formatCode>0.0</c:formatCode>
                <c:ptCount val="6"/>
                <c:pt idx="0">
                  <c:v>9.7533724334067748E-2</c:v>
                </c:pt>
                <c:pt idx="1">
                  <c:v>0.27975513566513804</c:v>
                </c:pt>
                <c:pt idx="2">
                  <c:v>-8.2693490901993752E-2</c:v>
                </c:pt>
                <c:pt idx="3">
                  <c:v>0.45950777815351462</c:v>
                </c:pt>
                <c:pt idx="4">
                  <c:v>0.33415713583106738</c:v>
                </c:pt>
                <c:pt idx="5">
                  <c:v>-2.3637850969520365E-2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99-42E2-81CB-3C4D97C4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112232"/>
        <c:axId val="488112624"/>
      </c:barChart>
      <c:lineChart>
        <c:grouping val="standard"/>
        <c:varyColors val="0"/>
        <c:ser>
          <c:idx val="0"/>
          <c:order val="0"/>
          <c:tx>
            <c:strRef>
              <c:f>'Graf 3+4'!$J$18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4345436507936505E-2"/>
                  <c:y val="-7.1128888888888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F99-42E2-81CB-3C4D97C4BFAF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3+4'!$L$18:$Q$18</c:f>
              <c:numCache>
                <c:formatCode>0.0</c:formatCode>
                <c:ptCount val="6"/>
                <c:pt idx="0">
                  <c:v>3.0407283401377994</c:v>
                </c:pt>
                <c:pt idx="1">
                  <c:v>4.0337030433846399</c:v>
                </c:pt>
                <c:pt idx="2">
                  <c:v>2.4392674584721163</c:v>
                </c:pt>
                <c:pt idx="3">
                  <c:v>2.259557831390957</c:v>
                </c:pt>
                <c:pt idx="4">
                  <c:v>2.7617960700955679</c:v>
                </c:pt>
                <c:pt idx="5">
                  <c:v>2.7064739038668462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F99-42E2-81CB-3C4D97C4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12232"/>
        <c:axId val="488112624"/>
      </c:lineChart>
      <c:catAx>
        <c:axId val="48811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488112624"/>
        <c:crosses val="autoZero"/>
        <c:auto val="1"/>
        <c:lblAlgn val="ctr"/>
        <c:lblOffset val="100"/>
        <c:noMultiLvlLbl val="0"/>
      </c:catAx>
      <c:valAx>
        <c:axId val="488112624"/>
        <c:scaling>
          <c:orientation val="minMax"/>
          <c:max val="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48811223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7.5595238095238094E-3"/>
          <c:y val="0.74005572727679969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92842268985387E-2"/>
          <c:y val="4.3533312784300546E-2"/>
          <c:w val="0.90511703580912051"/>
          <c:h val="0.73398006743818944"/>
        </c:manualLayout>
      </c:layout>
      <c:lineChart>
        <c:grouping val="standard"/>
        <c:varyColors val="0"/>
        <c:ser>
          <c:idx val="0"/>
          <c:order val="0"/>
          <c:tx>
            <c:strRef>
              <c:f>'Graf 24+25'!$M$8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24+25'!$N$8:$Q$8</c:f>
              <c:numCache>
                <c:formatCode>0.0</c:formatCode>
                <c:ptCount val="4"/>
                <c:pt idx="0">
                  <c:v>-0.69</c:v>
                </c:pt>
                <c:pt idx="1">
                  <c:v>-0.49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F-4D32-B84E-8E5EACA20AFF}"/>
            </c:ext>
          </c:extLst>
        </c:ser>
        <c:ser>
          <c:idx val="1"/>
          <c:order val="1"/>
          <c:tx>
            <c:strRef>
              <c:f>'Graf 24+25'!$M$9</c:f>
              <c:strCache>
                <c:ptCount val="1"/>
                <c:pt idx="0">
                  <c:v>Stagnation of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24+25'!$N$9:$Q$9</c:f>
              <c:numCache>
                <c:formatCode>0.0</c:formatCode>
                <c:ptCount val="4"/>
                <c:pt idx="0">
                  <c:v>-0.69</c:v>
                </c:pt>
                <c:pt idx="1">
                  <c:v>-0.71218918627020811</c:v>
                </c:pt>
                <c:pt idx="2">
                  <c:v>-0.3902567334440169</c:v>
                </c:pt>
                <c:pt idx="3">
                  <c:v>-0.27468732681472008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FF-4D32-B84E-8E5EACA20AFF}"/>
            </c:ext>
          </c:extLst>
        </c:ser>
        <c:ser>
          <c:idx val="2"/>
          <c:order val="2"/>
          <c:tx>
            <c:strRef>
              <c:f>'Graf 24+25'!$M$10</c:f>
              <c:strCache>
                <c:ptCount val="1"/>
                <c:pt idx="0">
                  <c:v>Drop in interest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24+25'!$N$10:$Q$10</c:f>
              <c:numCache>
                <c:formatCode>0.0</c:formatCode>
                <c:ptCount val="4"/>
                <c:pt idx="0">
                  <c:v>-0.69</c:v>
                </c:pt>
                <c:pt idx="1">
                  <c:v>-0.42936016830618878</c:v>
                </c:pt>
                <c:pt idx="2">
                  <c:v>5.554426990732593E-2</c:v>
                </c:pt>
                <c:pt idx="3">
                  <c:v>4.8885818232084779E-2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F5-4D83-B5F0-EE2047940A24}"/>
            </c:ext>
          </c:extLst>
        </c:ser>
        <c:ser>
          <c:idx val="3"/>
          <c:order val="3"/>
          <c:tx>
            <c:strRef>
              <c:f>'Graf 24+25'!$M$11</c:f>
              <c:strCache>
                <c:ptCount val="1"/>
                <c:pt idx="0">
                  <c:v>Production slowdown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24+25'!$N$11:$Q$11</c:f>
              <c:numCache>
                <c:formatCode>0.0</c:formatCode>
                <c:ptCount val="4"/>
                <c:pt idx="0">
                  <c:v>-0.69</c:v>
                </c:pt>
                <c:pt idx="1">
                  <c:v>-0.52712867365288207</c:v>
                </c:pt>
                <c:pt idx="2">
                  <c:v>-3.4300873323705204E-2</c:v>
                </c:pt>
                <c:pt idx="3">
                  <c:v>-5.1004322866356908E-2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F5-4D83-B5F0-EE204794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60568"/>
        <c:axId val="500860960"/>
      </c:lineChart>
      <c:catAx>
        <c:axId val="50086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0960"/>
        <c:crosses val="autoZero"/>
        <c:auto val="1"/>
        <c:lblAlgn val="ctr"/>
        <c:lblOffset val="100"/>
        <c:noMultiLvlLbl val="0"/>
      </c:catAx>
      <c:valAx>
        <c:axId val="500860960"/>
        <c:scaling>
          <c:orientation val="minMax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7114754985523721E-2"/>
          <c:y val="0.86858816155443253"/>
          <c:w val="0.84873349433124978"/>
          <c:h val="9.4098405609746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90113224151064E-2"/>
          <c:y val="4.5202474690663665E-2"/>
          <c:w val="0.8973197648539547"/>
          <c:h val="0.72455793025871762"/>
        </c:manualLayout>
      </c:layout>
      <c:lineChart>
        <c:grouping val="standard"/>
        <c:varyColors val="0"/>
        <c:ser>
          <c:idx val="0"/>
          <c:order val="0"/>
          <c:tx>
            <c:strRef>
              <c:f>'Graf 24+25'!$M$16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2C9AD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24+25'!$N$16:$Q$16</c:f>
              <c:numCache>
                <c:formatCode>0.0</c:formatCode>
                <c:ptCount val="4"/>
                <c:pt idx="0">
                  <c:v>47.93</c:v>
                </c:pt>
                <c:pt idx="1">
                  <c:v>46.81</c:v>
                </c:pt>
                <c:pt idx="2">
                  <c:v>45.9</c:v>
                </c:pt>
                <c:pt idx="3">
                  <c:v>44.79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F-4D32-B84E-8E5EACA20AFF}"/>
            </c:ext>
          </c:extLst>
        </c:ser>
        <c:ser>
          <c:idx val="1"/>
          <c:order val="1"/>
          <c:tx>
            <c:strRef>
              <c:f>'Graf 24+25'!$M$17</c:f>
              <c:strCache>
                <c:ptCount val="1"/>
                <c:pt idx="0">
                  <c:v>Stagnation of 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24+25'!$N$17:$Q$17</c:f>
              <c:numCache>
                <c:formatCode>0.0</c:formatCode>
                <c:ptCount val="4"/>
                <c:pt idx="0">
                  <c:v>47.93</c:v>
                </c:pt>
                <c:pt idx="1">
                  <c:v>47.536801181436196</c:v>
                </c:pt>
                <c:pt idx="2">
                  <c:v>47.163558578146514</c:v>
                </c:pt>
                <c:pt idx="3">
                  <c:v>46.382370676665772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FF-4D32-B84E-8E5EACA20AFF}"/>
            </c:ext>
          </c:extLst>
        </c:ser>
        <c:ser>
          <c:idx val="2"/>
          <c:order val="2"/>
          <c:tx>
            <c:strRef>
              <c:f>'Graf 24+25'!$M$18</c:f>
              <c:strCache>
                <c:ptCount val="1"/>
                <c:pt idx="0">
                  <c:v>Drop in interest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24+25'!$N$18:$Q$18</c:f>
              <c:numCache>
                <c:formatCode>0.0</c:formatCode>
                <c:ptCount val="4"/>
                <c:pt idx="0">
                  <c:v>47.93</c:v>
                </c:pt>
                <c:pt idx="1">
                  <c:v>46.731687262228512</c:v>
                </c:pt>
                <c:pt idx="2">
                  <c:v>45.738024629148008</c:v>
                </c:pt>
                <c:pt idx="3">
                  <c:v>44.553714347911153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73-44BE-BAB0-A84977761637}"/>
            </c:ext>
          </c:extLst>
        </c:ser>
        <c:ser>
          <c:idx val="3"/>
          <c:order val="3"/>
          <c:tx>
            <c:strRef>
              <c:f>'Graf 24+25'!$M$19</c:f>
              <c:strCache>
                <c:ptCount val="1"/>
                <c:pt idx="0">
                  <c:v>Production slowdown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24+25'!$N$19:$Q$19</c:f>
              <c:numCache>
                <c:formatCode>0.0</c:formatCode>
                <c:ptCount val="4"/>
                <c:pt idx="0">
                  <c:v>47.93</c:v>
                </c:pt>
                <c:pt idx="1">
                  <c:v>46.863486345491808</c:v>
                </c:pt>
                <c:pt idx="2">
                  <c:v>46.06500424996414</c:v>
                </c:pt>
                <c:pt idx="3">
                  <c:v>45.105458435846579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73-44BE-BAB0-A84977761637}"/>
            </c:ext>
          </c:extLst>
        </c:ser>
        <c:ser>
          <c:idx val="4"/>
          <c:order val="4"/>
          <c:tx>
            <c:strRef>
              <c:f>'Graf 24+25'!$M$20</c:f>
              <c:strCache>
                <c:ptCount val="1"/>
                <c:pt idx="0">
                  <c:v>First treshold of debt brake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24+25'!$N$20:$Q$20</c:f>
              <c:numCache>
                <c:formatCode>0.0</c:formatCode>
                <c:ptCount val="4"/>
                <c:pt idx="0">
                  <c:v>48</c:v>
                </c:pt>
                <c:pt idx="1">
                  <c:v>47</c:v>
                </c:pt>
                <c:pt idx="2">
                  <c:v>46</c:v>
                </c:pt>
                <c:pt idx="3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69-47D6-BE67-5E72A5851AE7}"/>
            </c:ext>
          </c:extLst>
        </c:ser>
        <c:ser>
          <c:idx val="5"/>
          <c:order val="5"/>
          <c:tx>
            <c:strRef>
              <c:f>'Graf 24+25'!$M$21</c:f>
              <c:strCache>
                <c:ptCount val="1"/>
                <c:pt idx="0">
                  <c:v>Second treshold of debt brake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24+25'!$N$15:$Q$15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24+25'!$N$21:$Q$21</c:f>
              <c:numCache>
                <c:formatCode>0.0</c:formatCode>
                <c:ptCount val="4"/>
                <c:pt idx="0">
                  <c:v>51</c:v>
                </c:pt>
                <c:pt idx="1">
                  <c:v>50</c:v>
                </c:pt>
                <c:pt idx="2">
                  <c:v>49</c:v>
                </c:pt>
                <c:pt idx="3">
                  <c:v>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69-47D6-BE67-5E72A585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61744"/>
        <c:axId val="500862136"/>
      </c:lineChart>
      <c:catAx>
        <c:axId val="50086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2136"/>
        <c:crosses val="autoZero"/>
        <c:auto val="1"/>
        <c:lblAlgn val="ctr"/>
        <c:lblOffset val="100"/>
        <c:noMultiLvlLbl val="0"/>
      </c:catAx>
      <c:valAx>
        <c:axId val="500862136"/>
        <c:scaling>
          <c:orientation val="minMax"/>
          <c:max val="52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7732037881229759E-2"/>
          <c:y val="0.87335020622422199"/>
          <c:w val="0.93520078995973432"/>
          <c:h val="0.12664979377577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59676721034040436"/>
        </c:manualLayout>
      </c:layout>
      <c:lineChart>
        <c:grouping val="standard"/>
        <c:varyColors val="0"/>
        <c:ser>
          <c:idx val="0"/>
          <c:order val="0"/>
          <c:tx>
            <c:strRef>
              <c:f>'Graf 26+27'!$I$10</c:f>
              <c:strCache>
                <c:ptCount val="1"/>
                <c:pt idx="0">
                  <c:v>SK (bez nešpecifických opatrení)</c:v>
                </c:pt>
              </c:strCache>
            </c:strRef>
          </c:tx>
          <c:spPr>
            <a:ln w="22225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B5-4D40-A301-084203A29B7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B5-4D40-A301-084203A29B76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B5-4D40-A301-084203A29B76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B5-4D40-A301-084203A29B76}"/>
              </c:ext>
            </c:extLst>
          </c:dPt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26+27'!$K$10:$Z$10</c:f>
              <c:numCache>
                <c:formatCode>0.0</c:formatCode>
                <c:ptCount val="16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34.746494513001366</c:v>
                </c:pt>
                <c:pt idx="4">
                  <c:v>36.986596542634011</c:v>
                </c:pt>
                <c:pt idx="5">
                  <c:v>36.598398488309435</c:v>
                </c:pt>
                <c:pt idx="6">
                  <c:v>39.415607685013669</c:v>
                </c:pt>
                <c:pt idx="7">
                  <c:v>40.090696772192821</c:v>
                </c:pt>
                <c:pt idx="8">
                  <c:v>43.003896602578699</c:v>
                </c:pt>
                <c:pt idx="9">
                  <c:v>40.137057776044607</c:v>
                </c:pt>
                <c:pt idx="10">
                  <c:v>40.489987784115165</c:v>
                </c:pt>
                <c:pt idx="11">
                  <c:v>40.759292580470685</c:v>
                </c:pt>
                <c:pt idx="12">
                  <c:v>40.112027820500451</c:v>
                </c:pt>
                <c:pt idx="13">
                  <c:v>39.641833014782449</c:v>
                </c:pt>
                <c:pt idx="14">
                  <c:v>39.27154258374091</c:v>
                </c:pt>
                <c:pt idx="15">
                  <c:v>39.174673356316688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8B5-4D40-A301-084203A29B76}"/>
            </c:ext>
          </c:extLst>
        </c:ser>
        <c:ser>
          <c:idx val="1"/>
          <c:order val="1"/>
          <c:tx>
            <c:strRef>
              <c:f>'Graf 26+27'!$I$12</c:f>
              <c:strCache>
                <c:ptCount val="1"/>
                <c:pt idx="0">
                  <c:v>Priemer eurozóny (19 krajín)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26+27'!$K$12:$X$12</c:f>
              <c:numCache>
                <c:formatCode>0</c:formatCode>
                <c:ptCount val="14"/>
                <c:pt idx="0">
                  <c:v>44.7</c:v>
                </c:pt>
                <c:pt idx="1">
                  <c:v>44.4</c:v>
                </c:pt>
                <c:pt idx="2">
                  <c:v>44.5</c:v>
                </c:pt>
                <c:pt idx="3">
                  <c:v>44.4</c:v>
                </c:pt>
                <c:pt idx="4">
                  <c:v>45</c:v>
                </c:pt>
                <c:pt idx="5">
                  <c:v>46.1</c:v>
                </c:pt>
                <c:pt idx="6">
                  <c:v>46.8</c:v>
                </c:pt>
                <c:pt idx="7">
                  <c:v>46.7</c:v>
                </c:pt>
                <c:pt idx="8">
                  <c:v>46.2</c:v>
                </c:pt>
                <c:pt idx="9">
                  <c:v>46</c:v>
                </c:pt>
                <c:pt idx="10">
                  <c:v>46</c:v>
                </c:pt>
                <c:pt idx="11">
                  <c:v>46.3</c:v>
                </c:pt>
                <c:pt idx="12">
                  <c:v>46.057052200000001</c:v>
                </c:pt>
                <c:pt idx="13">
                  <c:v>45.824977599999997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8B5-4D40-A301-084203A29B76}"/>
            </c:ext>
          </c:extLst>
        </c:ser>
        <c:ser>
          <c:idx val="2"/>
          <c:order val="2"/>
          <c:tx>
            <c:strRef>
              <c:f>'Graf 26+27'!$I$14</c:f>
              <c:strCache>
                <c:ptCount val="1"/>
                <c:pt idx="0">
                  <c:v>V4 bez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26+27'!$K$14:$X$14</c:f>
              <c:numCache>
                <c:formatCode>0</c:formatCode>
                <c:ptCount val="14"/>
                <c:pt idx="0">
                  <c:v>41.966666666666669</c:v>
                </c:pt>
                <c:pt idx="1">
                  <c:v>41.466666666666669</c:v>
                </c:pt>
                <c:pt idx="2">
                  <c:v>40.799999999999997</c:v>
                </c:pt>
                <c:pt idx="3">
                  <c:v>40.866666666666667</c:v>
                </c:pt>
                <c:pt idx="4">
                  <c:v>41.166666666666664</c:v>
                </c:pt>
                <c:pt idx="5">
                  <c:v>41.9</c:v>
                </c:pt>
                <c:pt idx="6">
                  <c:v>42.199999999999996</c:v>
                </c:pt>
                <c:pt idx="7">
                  <c:v>41.966666666666661</c:v>
                </c:pt>
                <c:pt idx="8">
                  <c:v>42.766666666666673</c:v>
                </c:pt>
                <c:pt idx="9">
                  <c:v>41.400000000000006</c:v>
                </c:pt>
                <c:pt idx="10">
                  <c:v>41.633333333333333</c:v>
                </c:pt>
                <c:pt idx="11">
                  <c:v>42.300000000000004</c:v>
                </c:pt>
                <c:pt idx="12">
                  <c:v>42.507319833333334</c:v>
                </c:pt>
                <c:pt idx="13">
                  <c:v>42.307085699999995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8B5-4D40-A301-084203A29B76}"/>
            </c:ext>
          </c:extLst>
        </c:ser>
        <c:ser>
          <c:idx val="3"/>
          <c:order val="3"/>
          <c:tx>
            <c:strRef>
              <c:f>'Graf 26+27'!$I$13</c:f>
              <c:strCache>
                <c:ptCount val="1"/>
                <c:pt idx="0">
                  <c:v>Priemer EÚ (28 krajín)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26+27'!$K$13:$X$13</c:f>
              <c:numCache>
                <c:formatCode>0</c:formatCode>
                <c:ptCount val="14"/>
                <c:pt idx="0">
                  <c:v>43.7</c:v>
                </c:pt>
                <c:pt idx="1">
                  <c:v>43.7</c:v>
                </c:pt>
                <c:pt idx="2">
                  <c:v>43.4</c:v>
                </c:pt>
                <c:pt idx="3">
                  <c:v>43.5</c:v>
                </c:pt>
                <c:pt idx="4">
                  <c:v>44</c:v>
                </c:pt>
                <c:pt idx="5">
                  <c:v>44.6</c:v>
                </c:pt>
                <c:pt idx="6">
                  <c:v>45.3</c:v>
                </c:pt>
                <c:pt idx="7">
                  <c:v>45</c:v>
                </c:pt>
                <c:pt idx="8">
                  <c:v>44.6</c:v>
                </c:pt>
                <c:pt idx="9">
                  <c:v>44.6</c:v>
                </c:pt>
                <c:pt idx="10">
                  <c:v>44.8</c:v>
                </c:pt>
                <c:pt idx="11">
                  <c:v>45</c:v>
                </c:pt>
                <c:pt idx="12">
                  <c:v>44.829558300000002</c:v>
                </c:pt>
                <c:pt idx="13">
                  <c:v>44.675218600000001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8B5-4D40-A301-084203A29B76}"/>
            </c:ext>
          </c:extLst>
        </c:ser>
        <c:ser>
          <c:idx val="4"/>
          <c:order val="4"/>
          <c:tx>
            <c:strRef>
              <c:f>'Graf 26+27'!$I$11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26+27'!$K$11:$Z$11</c:f>
              <c:numCache>
                <c:formatCode>0.0</c:formatCode>
                <c:ptCount val="16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34.746494513001366</c:v>
                </c:pt>
                <c:pt idx="4">
                  <c:v>36.986596542634011</c:v>
                </c:pt>
                <c:pt idx="5">
                  <c:v>36.598398488309435</c:v>
                </c:pt>
                <c:pt idx="6">
                  <c:v>39.415607685013669</c:v>
                </c:pt>
                <c:pt idx="7">
                  <c:v>40.090696772192821</c:v>
                </c:pt>
                <c:pt idx="8">
                  <c:v>43.003896602578699</c:v>
                </c:pt>
                <c:pt idx="9">
                  <c:v>40.137057776044607</c:v>
                </c:pt>
                <c:pt idx="10">
                  <c:v>40.489987784115165</c:v>
                </c:pt>
                <c:pt idx="11">
                  <c:v>40.759292580470685</c:v>
                </c:pt>
                <c:pt idx="12">
                  <c:v>40.10489083923899</c:v>
                </c:pt>
                <c:pt idx="13">
                  <c:v>39.641833014782449</c:v>
                </c:pt>
                <c:pt idx="14">
                  <c:v>39.645589034933245</c:v>
                </c:pt>
                <c:pt idx="15">
                  <c:v>39.750262940882628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62920"/>
        <c:axId val="500863312"/>
      </c:lineChart>
      <c:catAx>
        <c:axId val="50086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3312"/>
        <c:crosses val="autoZero"/>
        <c:auto val="1"/>
        <c:lblAlgn val="ctr"/>
        <c:lblOffset val="100"/>
        <c:noMultiLvlLbl val="0"/>
      </c:catAx>
      <c:valAx>
        <c:axId val="500863312"/>
        <c:scaling>
          <c:orientation val="minMax"/>
          <c:max val="50"/>
          <c:min val="3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29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84842016231351E-2"/>
          <c:y val="0.81252296588956907"/>
          <c:w val="0.97817910868558322"/>
          <c:h val="0.18747686272451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'Graf 26+27'!$I$35</c:f>
              <c:strCache>
                <c:ptCount val="1"/>
                <c:pt idx="0">
                  <c:v>iné vplvyvy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26+27'!$K$35:$O$35</c:f>
              <c:numCache>
                <c:formatCode>0.0</c:formatCode>
                <c:ptCount val="5"/>
                <c:pt idx="0">
                  <c:v>-0.18128896226795985</c:v>
                </c:pt>
                <c:pt idx="1">
                  <c:v>-0.11059655646233225</c:v>
                </c:pt>
                <c:pt idx="2">
                  <c:v>0</c:v>
                </c:pt>
                <c:pt idx="3">
                  <c:v>0</c:v>
                </c:pt>
                <c:pt idx="4">
                  <c:v>3.6737028618400669E-2</c:v>
                </c:pt>
              </c:numCache>
            </c:numRef>
          </c:val>
        </c:ser>
        <c:ser>
          <c:idx val="0"/>
          <c:order val="1"/>
          <c:tx>
            <c:strRef>
              <c:f>'Graf 26+27'!$I$31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26+27'!$K$31:$O$31</c:f>
              <c:numCache>
                <c:formatCode>0.0</c:formatCode>
                <c:ptCount val="5"/>
                <c:pt idx="0">
                  <c:v>6.7191075228774197</c:v>
                </c:pt>
                <c:pt idx="1">
                  <c:v>5.9215615949262812</c:v>
                </c:pt>
                <c:pt idx="2">
                  <c:v>4.1302611105841818</c:v>
                </c:pt>
                <c:pt idx="3">
                  <c:v>4.4151421580863062</c:v>
                </c:pt>
                <c:pt idx="4">
                  <c:v>4.3473960075562683</c:v>
                </c:pt>
              </c:numCache>
            </c:numRef>
          </c:val>
        </c:ser>
        <c:ser>
          <c:idx val="1"/>
          <c:order val="2"/>
          <c:tx>
            <c:strRef>
              <c:f>'Graf 26+27'!$I$32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8.3238752117835348E-3"/>
                  <c:y val="-1.8719422026790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26+27'!$K$32:$O$32</c:f>
              <c:numCache>
                <c:formatCode>0.0</c:formatCode>
                <c:ptCount val="5"/>
                <c:pt idx="0">
                  <c:v>0.79787853846681023</c:v>
                </c:pt>
                <c:pt idx="1">
                  <c:v>0.65234868862023387</c:v>
                </c:pt>
                <c:pt idx="2">
                  <c:v>0.33437201075622258</c:v>
                </c:pt>
                <c:pt idx="3">
                  <c:v>0.34768253516308473</c:v>
                </c:pt>
                <c:pt idx="4">
                  <c:v>0.13964716167074473</c:v>
                </c:pt>
              </c:numCache>
            </c:numRef>
          </c:val>
        </c:ser>
        <c:ser>
          <c:idx val="2"/>
          <c:order val="3"/>
          <c:tx>
            <c:strRef>
              <c:f>'Graf 26+27'!$I$33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26+27'!$K$33:$O$33</c:f>
              <c:numCache>
                <c:formatCode>0.0</c:formatCode>
                <c:ptCount val="5"/>
                <c:pt idx="0">
                  <c:v>-0.23471524726645052</c:v>
                </c:pt>
                <c:pt idx="1">
                  <c:v>-0.26865996917972201</c:v>
                </c:pt>
                <c:pt idx="2">
                  <c:v>-0.89604092405411684</c:v>
                </c:pt>
                <c:pt idx="3">
                  <c:v>-0.62543171433308553</c:v>
                </c:pt>
                <c:pt idx="4">
                  <c:v>3.9207929449716572E-2</c:v>
                </c:pt>
              </c:numCache>
            </c:numRef>
          </c:val>
        </c:ser>
        <c:ser>
          <c:idx val="3"/>
          <c:order val="4"/>
          <c:tx>
            <c:strRef>
              <c:f>'Graf 26+27'!$I$34</c:f>
              <c:strCache>
                <c:ptCount val="1"/>
                <c:pt idx="0">
                  <c:v>jednorazové vplyvy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26+27'!$K$34:$O$34</c:f>
              <c:numCache>
                <c:formatCode>0.0</c:formatCode>
                <c:ptCount val="5"/>
                <c:pt idx="0">
                  <c:v>0.7478235349760356</c:v>
                </c:pt>
                <c:pt idx="1">
                  <c:v>-0.63561539679830059</c:v>
                </c:pt>
                <c:pt idx="2">
                  <c:v>4.6295294813535242E-3</c:v>
                </c:pt>
                <c:pt idx="3">
                  <c:v>-2.9438477490212361E-2</c:v>
                </c:pt>
                <c:pt idx="4">
                  <c:v>3.2967490029729991E-2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64096"/>
        <c:axId val="500864488"/>
      </c:barChart>
      <c:lineChart>
        <c:grouping val="standard"/>
        <c:varyColors val="0"/>
        <c:ser>
          <c:idx val="5"/>
          <c:order val="5"/>
          <c:tx>
            <c:strRef>
              <c:f>'Graf 26+27'!$I$36</c:f>
              <c:strCache>
                <c:ptCount val="1"/>
                <c:pt idx="0">
                  <c:v>celkom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26+27'!$K$36:$O$36</c:f>
              <c:numCache>
                <c:formatCode>0.0</c:formatCode>
                <c:ptCount val="5"/>
                <c:pt idx="0">
                  <c:v>7.8488053867858554</c:v>
                </c:pt>
                <c:pt idx="1">
                  <c:v>5.5590383611061611</c:v>
                </c:pt>
                <c:pt idx="2">
                  <c:v>3.5732217267676418</c:v>
                </c:pt>
                <c:pt idx="3">
                  <c:v>4.107954501426093</c:v>
                </c:pt>
                <c:pt idx="4">
                  <c:v>4.5959556173248615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64096"/>
        <c:axId val="500864488"/>
      </c:lineChart>
      <c:catAx>
        <c:axId val="5008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4488"/>
        <c:crosses val="autoZero"/>
        <c:auto val="1"/>
        <c:lblAlgn val="ctr"/>
        <c:lblOffset val="100"/>
        <c:noMultiLvlLbl val="0"/>
      </c:catAx>
      <c:valAx>
        <c:axId val="500864488"/>
        <c:scaling>
          <c:orientation val="minMax"/>
          <c:max val="10"/>
          <c:min val="-2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59676721034040436"/>
        </c:manualLayout>
      </c:layout>
      <c:lineChart>
        <c:grouping val="standard"/>
        <c:varyColors val="0"/>
        <c:ser>
          <c:idx val="0"/>
          <c:order val="0"/>
          <c:tx>
            <c:strRef>
              <c:f>'Graf 26+27'!$J$10</c:f>
              <c:strCache>
                <c:ptCount val="1"/>
                <c:pt idx="0">
                  <c:v>SK (bez nešpecifických opatrení)</c:v>
                </c:pt>
              </c:strCache>
            </c:strRef>
          </c:tx>
          <c:spPr>
            <a:ln w="22225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B5-4D40-A301-084203A29B76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B5-4D40-A301-084203A29B76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B5-4D40-A301-084203A29B76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2225" cap="rnd">
                <a:solidFill>
                  <a:srgbClr val="2C9ADC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B5-4D40-A301-084203A29B76}"/>
              </c:ext>
            </c:extLst>
          </c:dPt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26+27'!$K$10:$Z$10</c:f>
              <c:numCache>
                <c:formatCode>0.0</c:formatCode>
                <c:ptCount val="16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34.746494513001366</c:v>
                </c:pt>
                <c:pt idx="4">
                  <c:v>36.986596542634011</c:v>
                </c:pt>
                <c:pt idx="5">
                  <c:v>36.598398488309435</c:v>
                </c:pt>
                <c:pt idx="6">
                  <c:v>39.415607685013669</c:v>
                </c:pt>
                <c:pt idx="7">
                  <c:v>40.090696772192821</c:v>
                </c:pt>
                <c:pt idx="8">
                  <c:v>43.003896602578699</c:v>
                </c:pt>
                <c:pt idx="9">
                  <c:v>40.137057776044607</c:v>
                </c:pt>
                <c:pt idx="10">
                  <c:v>40.489987784115165</c:v>
                </c:pt>
                <c:pt idx="11">
                  <c:v>40.759292580470685</c:v>
                </c:pt>
                <c:pt idx="12">
                  <c:v>40.112027820500451</c:v>
                </c:pt>
                <c:pt idx="13">
                  <c:v>39.641833014782449</c:v>
                </c:pt>
                <c:pt idx="14">
                  <c:v>39.27154258374091</c:v>
                </c:pt>
                <c:pt idx="15">
                  <c:v>39.174673356316688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8B5-4D40-A301-084203A29B76}"/>
            </c:ext>
          </c:extLst>
        </c:ser>
        <c:ser>
          <c:idx val="1"/>
          <c:order val="1"/>
          <c:tx>
            <c:strRef>
              <c:f>'Graf 26+27'!$J$12</c:f>
              <c:strCache>
                <c:ptCount val="1"/>
                <c:pt idx="0">
                  <c:v>Average of Eurozone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26+27'!$K$12:$X$12</c:f>
              <c:numCache>
                <c:formatCode>0</c:formatCode>
                <c:ptCount val="14"/>
                <c:pt idx="0">
                  <c:v>44.7</c:v>
                </c:pt>
                <c:pt idx="1">
                  <c:v>44.4</c:v>
                </c:pt>
                <c:pt idx="2">
                  <c:v>44.5</c:v>
                </c:pt>
                <c:pt idx="3">
                  <c:v>44.4</c:v>
                </c:pt>
                <c:pt idx="4">
                  <c:v>45</c:v>
                </c:pt>
                <c:pt idx="5">
                  <c:v>46.1</c:v>
                </c:pt>
                <c:pt idx="6">
                  <c:v>46.8</c:v>
                </c:pt>
                <c:pt idx="7">
                  <c:v>46.7</c:v>
                </c:pt>
                <c:pt idx="8">
                  <c:v>46.2</c:v>
                </c:pt>
                <c:pt idx="9">
                  <c:v>46</c:v>
                </c:pt>
                <c:pt idx="10">
                  <c:v>46</c:v>
                </c:pt>
                <c:pt idx="11">
                  <c:v>46.3</c:v>
                </c:pt>
                <c:pt idx="12">
                  <c:v>46.057052200000001</c:v>
                </c:pt>
                <c:pt idx="13">
                  <c:v>45.824977599999997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8B5-4D40-A301-084203A29B76}"/>
            </c:ext>
          </c:extLst>
        </c:ser>
        <c:ser>
          <c:idx val="2"/>
          <c:order val="2"/>
          <c:tx>
            <c:strRef>
              <c:f>'Graf 26+27'!$J$14</c:f>
              <c:strCache>
                <c:ptCount val="1"/>
                <c:pt idx="0">
                  <c:v>V4 without SK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26+27'!$K$14:$X$14</c:f>
              <c:numCache>
                <c:formatCode>0</c:formatCode>
                <c:ptCount val="14"/>
                <c:pt idx="0">
                  <c:v>41.966666666666669</c:v>
                </c:pt>
                <c:pt idx="1">
                  <c:v>41.466666666666669</c:v>
                </c:pt>
                <c:pt idx="2">
                  <c:v>40.799999999999997</c:v>
                </c:pt>
                <c:pt idx="3">
                  <c:v>40.866666666666667</c:v>
                </c:pt>
                <c:pt idx="4">
                  <c:v>41.166666666666664</c:v>
                </c:pt>
                <c:pt idx="5">
                  <c:v>41.9</c:v>
                </c:pt>
                <c:pt idx="6">
                  <c:v>42.199999999999996</c:v>
                </c:pt>
                <c:pt idx="7">
                  <c:v>41.966666666666661</c:v>
                </c:pt>
                <c:pt idx="8">
                  <c:v>42.766666666666673</c:v>
                </c:pt>
                <c:pt idx="9">
                  <c:v>41.400000000000006</c:v>
                </c:pt>
                <c:pt idx="10">
                  <c:v>41.633333333333333</c:v>
                </c:pt>
                <c:pt idx="11">
                  <c:v>42.300000000000004</c:v>
                </c:pt>
                <c:pt idx="12">
                  <c:v>42.507319833333334</c:v>
                </c:pt>
                <c:pt idx="13">
                  <c:v>42.307085699999995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8B5-4D40-A301-084203A29B76}"/>
            </c:ext>
          </c:extLst>
        </c:ser>
        <c:ser>
          <c:idx val="3"/>
          <c:order val="3"/>
          <c:tx>
            <c:strRef>
              <c:f>'Graf 26+27'!$J$13</c:f>
              <c:strCache>
                <c:ptCount val="1"/>
                <c:pt idx="0">
                  <c:v>Average of EU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26+27'!$K$13:$X$13</c:f>
              <c:numCache>
                <c:formatCode>0</c:formatCode>
                <c:ptCount val="14"/>
                <c:pt idx="0">
                  <c:v>43.7</c:v>
                </c:pt>
                <c:pt idx="1">
                  <c:v>43.7</c:v>
                </c:pt>
                <c:pt idx="2">
                  <c:v>43.4</c:v>
                </c:pt>
                <c:pt idx="3">
                  <c:v>43.5</c:v>
                </c:pt>
                <c:pt idx="4">
                  <c:v>44</c:v>
                </c:pt>
                <c:pt idx="5">
                  <c:v>44.6</c:v>
                </c:pt>
                <c:pt idx="6">
                  <c:v>45.3</c:v>
                </c:pt>
                <c:pt idx="7">
                  <c:v>45</c:v>
                </c:pt>
                <c:pt idx="8">
                  <c:v>44.6</c:v>
                </c:pt>
                <c:pt idx="9">
                  <c:v>44.6</c:v>
                </c:pt>
                <c:pt idx="10">
                  <c:v>44.8</c:v>
                </c:pt>
                <c:pt idx="11">
                  <c:v>45</c:v>
                </c:pt>
                <c:pt idx="12">
                  <c:v>44.829558300000002</c:v>
                </c:pt>
                <c:pt idx="13">
                  <c:v>44.675218600000001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8B5-4D40-A301-084203A29B76}"/>
            </c:ext>
          </c:extLst>
        </c:ser>
        <c:ser>
          <c:idx val="4"/>
          <c:order val="4"/>
          <c:tx>
            <c:strRef>
              <c:f>'Graf 26+27'!$J$11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26+27'!$K$6:$Z$6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2019F</c:v>
                </c:pt>
                <c:pt idx="13">
                  <c:v>2020F</c:v>
                </c:pt>
                <c:pt idx="14">
                  <c:v>2021F</c:v>
                </c:pt>
                <c:pt idx="15">
                  <c:v>2022F</c:v>
                </c:pt>
              </c:strCache>
            </c:strRef>
          </c:cat>
          <c:val>
            <c:numRef>
              <c:f>'Graf 26+27'!$K$11:$Z$11</c:f>
              <c:numCache>
                <c:formatCode>0.0</c:formatCode>
                <c:ptCount val="16"/>
                <c:pt idx="0">
                  <c:v>34.390418356358602</c:v>
                </c:pt>
                <c:pt idx="1">
                  <c:v>34.51007130801441</c:v>
                </c:pt>
                <c:pt idx="2">
                  <c:v>36.280186370231995</c:v>
                </c:pt>
                <c:pt idx="3">
                  <c:v>34.746494513001366</c:v>
                </c:pt>
                <c:pt idx="4">
                  <c:v>36.986596542634011</c:v>
                </c:pt>
                <c:pt idx="5">
                  <c:v>36.598398488309435</c:v>
                </c:pt>
                <c:pt idx="6">
                  <c:v>39.415607685013669</c:v>
                </c:pt>
                <c:pt idx="7">
                  <c:v>40.090696772192821</c:v>
                </c:pt>
                <c:pt idx="8">
                  <c:v>43.003896602578699</c:v>
                </c:pt>
                <c:pt idx="9">
                  <c:v>40.137057776044607</c:v>
                </c:pt>
                <c:pt idx="10">
                  <c:v>40.489987784115165</c:v>
                </c:pt>
                <c:pt idx="11">
                  <c:v>40.759292580470685</c:v>
                </c:pt>
                <c:pt idx="12">
                  <c:v>40.10489083923899</c:v>
                </c:pt>
                <c:pt idx="13">
                  <c:v>39.641833014782449</c:v>
                </c:pt>
                <c:pt idx="14">
                  <c:v>39.645589034933245</c:v>
                </c:pt>
                <c:pt idx="15">
                  <c:v>39.750262940882628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65272"/>
        <c:axId val="500865664"/>
      </c:lineChart>
      <c:catAx>
        <c:axId val="50086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5664"/>
        <c:crosses val="autoZero"/>
        <c:auto val="1"/>
        <c:lblAlgn val="ctr"/>
        <c:lblOffset val="100"/>
        <c:noMultiLvlLbl val="0"/>
      </c:catAx>
      <c:valAx>
        <c:axId val="500865664"/>
        <c:scaling>
          <c:orientation val="minMax"/>
          <c:max val="50"/>
          <c:min val="3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52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84842016231351E-2"/>
          <c:y val="0.81252296588956907"/>
          <c:w val="0.97817910868558322"/>
          <c:h val="0.18747686272451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'Graf 26+27'!$I$35</c:f>
              <c:strCache>
                <c:ptCount val="1"/>
                <c:pt idx="0">
                  <c:v>iné vplvyvy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26+27'!$K$35:$O$35</c:f>
              <c:numCache>
                <c:formatCode>0.0</c:formatCode>
                <c:ptCount val="5"/>
                <c:pt idx="0">
                  <c:v>-0.18128896226795985</c:v>
                </c:pt>
                <c:pt idx="1">
                  <c:v>-0.11059655646233225</c:v>
                </c:pt>
                <c:pt idx="2">
                  <c:v>0</c:v>
                </c:pt>
                <c:pt idx="3">
                  <c:v>0</c:v>
                </c:pt>
                <c:pt idx="4">
                  <c:v>3.6737028618400669E-2</c:v>
                </c:pt>
              </c:numCache>
            </c:numRef>
          </c:val>
        </c:ser>
        <c:ser>
          <c:idx val="0"/>
          <c:order val="1"/>
          <c:tx>
            <c:strRef>
              <c:f>'Graf 26+27'!$I$31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26+27'!$K$31:$O$31</c:f>
              <c:numCache>
                <c:formatCode>0.0</c:formatCode>
                <c:ptCount val="5"/>
                <c:pt idx="0">
                  <c:v>6.7191075228774197</c:v>
                </c:pt>
                <c:pt idx="1">
                  <c:v>5.9215615949262812</c:v>
                </c:pt>
                <c:pt idx="2">
                  <c:v>4.1302611105841818</c:v>
                </c:pt>
                <c:pt idx="3">
                  <c:v>4.4151421580863062</c:v>
                </c:pt>
                <c:pt idx="4">
                  <c:v>4.3473960075562683</c:v>
                </c:pt>
              </c:numCache>
            </c:numRef>
          </c:val>
        </c:ser>
        <c:ser>
          <c:idx val="1"/>
          <c:order val="2"/>
          <c:tx>
            <c:strRef>
              <c:f>'Graf 26+27'!$I$32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8.3238752117835348E-3"/>
                  <c:y val="-1.8719422026790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26+27'!$K$32:$O$32</c:f>
              <c:numCache>
                <c:formatCode>0.0</c:formatCode>
                <c:ptCount val="5"/>
                <c:pt idx="0">
                  <c:v>0.79787853846681023</c:v>
                </c:pt>
                <c:pt idx="1">
                  <c:v>0.65234868862023387</c:v>
                </c:pt>
                <c:pt idx="2">
                  <c:v>0.33437201075622258</c:v>
                </c:pt>
                <c:pt idx="3">
                  <c:v>0.34768253516308473</c:v>
                </c:pt>
                <c:pt idx="4">
                  <c:v>0.13964716167074473</c:v>
                </c:pt>
              </c:numCache>
            </c:numRef>
          </c:val>
        </c:ser>
        <c:ser>
          <c:idx val="2"/>
          <c:order val="3"/>
          <c:tx>
            <c:strRef>
              <c:f>'Graf 26+27'!$I$33</c:f>
              <c:strCache>
                <c:ptCount val="1"/>
                <c:pt idx="0">
                  <c:v>vplyv legislatívy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26+27'!$K$33:$O$33</c:f>
              <c:numCache>
                <c:formatCode>0.0</c:formatCode>
                <c:ptCount val="5"/>
                <c:pt idx="0">
                  <c:v>-0.23471524726645052</c:v>
                </c:pt>
                <c:pt idx="1">
                  <c:v>-0.26865996917972201</c:v>
                </c:pt>
                <c:pt idx="2">
                  <c:v>-0.89604092405411684</c:v>
                </c:pt>
                <c:pt idx="3">
                  <c:v>-0.62543171433308553</c:v>
                </c:pt>
                <c:pt idx="4">
                  <c:v>3.9207929449716572E-2</c:v>
                </c:pt>
              </c:numCache>
            </c:numRef>
          </c:val>
        </c:ser>
        <c:ser>
          <c:idx val="3"/>
          <c:order val="4"/>
          <c:tx>
            <c:strRef>
              <c:f>'Graf 26+27'!$I$34</c:f>
              <c:strCache>
                <c:ptCount val="1"/>
                <c:pt idx="0">
                  <c:v>jednorazové vplyvy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26+27'!$K$34:$O$34</c:f>
              <c:numCache>
                <c:formatCode>0.0</c:formatCode>
                <c:ptCount val="5"/>
                <c:pt idx="0">
                  <c:v>0.7478235349760356</c:v>
                </c:pt>
                <c:pt idx="1">
                  <c:v>-0.63561539679830059</c:v>
                </c:pt>
                <c:pt idx="2">
                  <c:v>4.6295294813535242E-3</c:v>
                </c:pt>
                <c:pt idx="3">
                  <c:v>-2.9438477490212361E-2</c:v>
                </c:pt>
                <c:pt idx="4">
                  <c:v>3.2967490029729991E-2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66448"/>
        <c:axId val="500866840"/>
      </c:barChart>
      <c:lineChart>
        <c:grouping val="standard"/>
        <c:varyColors val="0"/>
        <c:ser>
          <c:idx val="5"/>
          <c:order val="5"/>
          <c:tx>
            <c:strRef>
              <c:f>'Graf 26+27'!$I$36</c:f>
              <c:strCache>
                <c:ptCount val="1"/>
                <c:pt idx="0">
                  <c:v>celkom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26+27'!$K$30:$O$30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26+27'!$K$36:$O$36</c:f>
              <c:numCache>
                <c:formatCode>0.0</c:formatCode>
                <c:ptCount val="5"/>
                <c:pt idx="0">
                  <c:v>7.8488053867858554</c:v>
                </c:pt>
                <c:pt idx="1">
                  <c:v>5.5590383611061611</c:v>
                </c:pt>
                <c:pt idx="2">
                  <c:v>3.5732217267676418</c:v>
                </c:pt>
                <c:pt idx="3">
                  <c:v>4.107954501426093</c:v>
                </c:pt>
                <c:pt idx="4">
                  <c:v>4.5959556173248615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66448"/>
        <c:axId val="500866840"/>
      </c:lineChart>
      <c:catAx>
        <c:axId val="50086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6840"/>
        <c:crosses val="autoZero"/>
        <c:auto val="1"/>
        <c:lblAlgn val="ctr"/>
        <c:lblOffset val="100"/>
        <c:noMultiLvlLbl val="0"/>
      </c:catAx>
      <c:valAx>
        <c:axId val="500866840"/>
        <c:scaling>
          <c:orientation val="minMax"/>
          <c:max val="10"/>
          <c:min val="-2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28'!$B$26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28'!$D$26:$H$26</c:f>
              <c:numCache>
                <c:formatCode>0.0</c:formatCode>
                <c:ptCount val="5"/>
                <c:pt idx="0">
                  <c:v>3.564896075009067</c:v>
                </c:pt>
                <c:pt idx="1">
                  <c:v>3.737238861013628</c:v>
                </c:pt>
                <c:pt idx="2">
                  <c:v>3.6616338030940172</c:v>
                </c:pt>
                <c:pt idx="3">
                  <c:v>3.7157013916651249</c:v>
                </c:pt>
                <c:pt idx="4">
                  <c:v>3.7149258791842525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D5-4F3A-A571-094B6FAA4E93}"/>
            </c:ext>
          </c:extLst>
        </c:ser>
        <c:ser>
          <c:idx val="1"/>
          <c:order val="1"/>
          <c:tx>
            <c:strRef>
              <c:f>'Graf 28'!$B$27</c:f>
              <c:strCache>
                <c:ptCount val="1"/>
                <c:pt idx="0">
                  <c:v>DPPO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28'!$D$27:$H$27</c:f>
              <c:numCache>
                <c:formatCode>0.0</c:formatCode>
                <c:ptCount val="5"/>
                <c:pt idx="0">
                  <c:v>3.0836351048828434</c:v>
                </c:pt>
                <c:pt idx="1">
                  <c:v>2.958956435381189</c:v>
                </c:pt>
                <c:pt idx="2">
                  <c:v>2.849790266325773</c:v>
                </c:pt>
                <c:pt idx="3">
                  <c:v>2.8636893920676929</c:v>
                </c:pt>
                <c:pt idx="4">
                  <c:v>2.8037801506945219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D5-4F3A-A571-094B6FAA4E93}"/>
            </c:ext>
          </c:extLst>
        </c:ser>
        <c:ser>
          <c:idx val="2"/>
          <c:order val="2"/>
          <c:tx>
            <c:strRef>
              <c:f>'Graf 28'!$B$28</c:f>
              <c:strCache>
                <c:ptCount val="1"/>
                <c:pt idx="0">
                  <c:v>DPH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28'!$D$28:$H$28</c:f>
              <c:numCache>
                <c:formatCode>0.0</c:formatCode>
                <c:ptCount val="5"/>
                <c:pt idx="0">
                  <c:v>7.0022518951176451</c:v>
                </c:pt>
                <c:pt idx="1">
                  <c:v>7.0493481226078796</c:v>
                </c:pt>
                <c:pt idx="2">
                  <c:v>7.0209021283322706</c:v>
                </c:pt>
                <c:pt idx="3">
                  <c:v>7.0023705990475236</c:v>
                </c:pt>
                <c:pt idx="4">
                  <c:v>7.0136458489002855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D5-4F3A-A571-094B6FAA4E93}"/>
            </c:ext>
          </c:extLst>
        </c:ser>
        <c:ser>
          <c:idx val="3"/>
          <c:order val="3"/>
          <c:tx>
            <c:strRef>
              <c:f>'Graf 28'!$B$29</c:f>
              <c:strCache>
                <c:ptCount val="1"/>
                <c:pt idx="0">
                  <c:v>Spotrebné dane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28'!$D$29:$H$29</c:f>
              <c:numCache>
                <c:formatCode>0.0</c:formatCode>
                <c:ptCount val="5"/>
                <c:pt idx="0">
                  <c:v>2.5668549293834406</c:v>
                </c:pt>
                <c:pt idx="1">
                  <c:v>2.5063339159805587</c:v>
                </c:pt>
                <c:pt idx="2">
                  <c:v>2.5223000348862228</c:v>
                </c:pt>
                <c:pt idx="3">
                  <c:v>2.4726642297718979</c:v>
                </c:pt>
                <c:pt idx="4">
                  <c:v>2.3878251149314291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D5-4F3A-A571-094B6FAA4E93}"/>
            </c:ext>
          </c:extLst>
        </c:ser>
        <c:ser>
          <c:idx val="4"/>
          <c:order val="4"/>
          <c:tx>
            <c:strRef>
              <c:f>'Graf 28'!$B$30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28'!$D$30:$H$30</c:f>
              <c:numCache>
                <c:formatCode>0.0</c:formatCode>
                <c:ptCount val="5"/>
                <c:pt idx="0">
                  <c:v>8.6916777627512243</c:v>
                </c:pt>
                <c:pt idx="1">
                  <c:v>8.6448085945737585</c:v>
                </c:pt>
                <c:pt idx="2">
                  <c:v>8.6455601039151819</c:v>
                </c:pt>
                <c:pt idx="3">
                  <c:v>8.5886912880068245</c:v>
                </c:pt>
                <c:pt idx="4">
                  <c:v>8.5873122745838373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D5-4F3A-A571-094B6FAA4E93}"/>
            </c:ext>
          </c:extLst>
        </c:ser>
        <c:ser>
          <c:idx val="5"/>
          <c:order val="5"/>
          <c:tx>
            <c:strRef>
              <c:f>'Graf 28'!$B$31</c:f>
              <c:strCache>
                <c:ptCount val="1"/>
                <c:pt idx="0">
                  <c:v>Zdravotné odvody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28'!$D$31:$H$31</c:f>
              <c:numCache>
                <c:formatCode>0.0</c:formatCode>
                <c:ptCount val="5"/>
                <c:pt idx="0">
                  <c:v>4.0471872136503553</c:v>
                </c:pt>
                <c:pt idx="1">
                  <c:v>4.2370294035936586</c:v>
                </c:pt>
                <c:pt idx="2">
                  <c:v>4.2729246884107415</c:v>
                </c:pt>
                <c:pt idx="3">
                  <c:v>4.2911411929046821</c:v>
                </c:pt>
                <c:pt idx="4">
                  <c:v>4.2888072907530415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DD5-4F3A-A571-094B6FAA4E93}"/>
            </c:ext>
          </c:extLst>
        </c:ser>
        <c:ser>
          <c:idx val="6"/>
          <c:order val="6"/>
          <c:tx>
            <c:strRef>
              <c:f>'Graf 28'!$B$32</c:f>
              <c:strCache>
                <c:ptCount val="1"/>
                <c:pt idx="0">
                  <c:v>Ostatné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28'!$D$32:$H$32</c:f>
              <c:numCache>
                <c:formatCode>0.0</c:formatCode>
                <c:ptCount val="5"/>
                <c:pt idx="0">
                  <c:v>1.5331051894337189</c:v>
                </c:pt>
                <c:pt idx="1">
                  <c:v>1.5571917566539761</c:v>
                </c:pt>
                <c:pt idx="2">
                  <c:v>1.5320540079826248</c:v>
                </c:pt>
                <c:pt idx="3">
                  <c:v>1.3117079740412663</c:v>
                </c:pt>
                <c:pt idx="4">
                  <c:v>1.2922495361685038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DD5-4F3A-A571-094B6FAA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67624"/>
        <c:axId val="500868016"/>
      </c:barChart>
      <c:lineChart>
        <c:grouping val="standard"/>
        <c:varyColors val="0"/>
        <c:ser>
          <c:idx val="7"/>
          <c:order val="7"/>
          <c:tx>
            <c:strRef>
              <c:f>'Graf 28'!$B$33</c:f>
              <c:strCache>
                <c:ptCount val="1"/>
                <c:pt idx="0">
                  <c:v>Celkom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668077269527404E-2"/>
                  <c:y val="-9.663415826123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DD5-4F3A-A571-094B6FAA4E9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28'!$D$21:$I$21</c:f>
              <c:numCache>
                <c:formatCode>#\ ##0.000</c:formatCode>
                <c:ptCount val="6"/>
              </c:numCache>
            </c:numRef>
          </c:cat>
          <c:val>
            <c:numRef>
              <c:f>'Graf 28'!$D$33:$H$33</c:f>
              <c:numCache>
                <c:formatCode>0.0</c:formatCode>
                <c:ptCount val="5"/>
                <c:pt idx="0">
                  <c:v>30.489608170228294</c:v>
                </c:pt>
                <c:pt idx="1">
                  <c:v>30.69090708980465</c:v>
                </c:pt>
                <c:pt idx="2">
                  <c:v>30.505165032946827</c:v>
                </c:pt>
                <c:pt idx="3">
                  <c:v>30.245966067505012</c:v>
                </c:pt>
                <c:pt idx="4">
                  <c:v>30.088546095215875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DD5-4F3A-A571-094B6FAA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67624"/>
        <c:axId val="500868016"/>
      </c:lineChart>
      <c:catAx>
        <c:axId val="500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8016"/>
        <c:crosses val="autoZero"/>
        <c:auto val="1"/>
        <c:lblAlgn val="ctr"/>
        <c:lblOffset val="100"/>
        <c:noMultiLvlLbl val="0"/>
      </c:catAx>
      <c:valAx>
        <c:axId val="50086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0192585301837271"/>
        </c:manualLayout>
      </c:layout>
      <c:barChart>
        <c:barDir val="col"/>
        <c:grouping val="stacked"/>
        <c:varyColors val="0"/>
        <c:ser>
          <c:idx val="5"/>
          <c:order val="0"/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28'!#REF!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42-42A0-A2BC-2D07E92E041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1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28'!#REF!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42-42A0-A2BC-2D07E92E041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2"/>
          <c:spPr>
            <a:solidFill>
              <a:srgbClr val="1F497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28'!#REF!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42-42A0-A2BC-2D07E92E0417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'Graf 28'!#REF!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68800"/>
        <c:axId val="500869192"/>
      </c:barChart>
      <c:catAx>
        <c:axId val="5008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00869192"/>
        <c:crosses val="autoZero"/>
        <c:auto val="1"/>
        <c:lblAlgn val="ctr"/>
        <c:lblOffset val="100"/>
        <c:noMultiLvlLbl val="0"/>
      </c:catAx>
      <c:valAx>
        <c:axId val="50086919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50086880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7.9127515310586177E-2"/>
          <c:y val="0.89778762029746284"/>
          <c:w val="0.82428696412948377"/>
          <c:h val="9.95122484689413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28'!$C$26</c:f>
              <c:strCache>
                <c:ptCount val="1"/>
                <c:pt idx="0">
                  <c:v>PIT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28'!$D$26:$H$26</c:f>
              <c:numCache>
                <c:formatCode>0.0</c:formatCode>
                <c:ptCount val="5"/>
                <c:pt idx="0">
                  <c:v>3.564896075009067</c:v>
                </c:pt>
                <c:pt idx="1">
                  <c:v>3.737238861013628</c:v>
                </c:pt>
                <c:pt idx="2">
                  <c:v>3.6616338030940172</c:v>
                </c:pt>
                <c:pt idx="3">
                  <c:v>3.7157013916651249</c:v>
                </c:pt>
                <c:pt idx="4">
                  <c:v>3.7149258791842525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D5-4F3A-A571-094B6FAA4E93}"/>
            </c:ext>
          </c:extLst>
        </c:ser>
        <c:ser>
          <c:idx val="1"/>
          <c:order val="1"/>
          <c:tx>
            <c:strRef>
              <c:f>'Graf 28'!$C$27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28'!$D$27:$H$27</c:f>
              <c:numCache>
                <c:formatCode>0.0</c:formatCode>
                <c:ptCount val="5"/>
                <c:pt idx="0">
                  <c:v>3.0836351048828434</c:v>
                </c:pt>
                <c:pt idx="1">
                  <c:v>2.958956435381189</c:v>
                </c:pt>
                <c:pt idx="2">
                  <c:v>2.849790266325773</c:v>
                </c:pt>
                <c:pt idx="3">
                  <c:v>2.8636893920676929</c:v>
                </c:pt>
                <c:pt idx="4">
                  <c:v>2.8037801506945219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D5-4F3A-A571-094B6FAA4E93}"/>
            </c:ext>
          </c:extLst>
        </c:ser>
        <c:ser>
          <c:idx val="2"/>
          <c:order val="2"/>
          <c:tx>
            <c:strRef>
              <c:f>'Graf 28'!$C$28</c:f>
              <c:strCache>
                <c:ptCount val="1"/>
                <c:pt idx="0">
                  <c:v>VAT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28'!$D$28:$H$28</c:f>
              <c:numCache>
                <c:formatCode>0.0</c:formatCode>
                <c:ptCount val="5"/>
                <c:pt idx="0">
                  <c:v>7.0022518951176451</c:v>
                </c:pt>
                <c:pt idx="1">
                  <c:v>7.0493481226078796</c:v>
                </c:pt>
                <c:pt idx="2">
                  <c:v>7.0209021283322706</c:v>
                </c:pt>
                <c:pt idx="3">
                  <c:v>7.0023705990475236</c:v>
                </c:pt>
                <c:pt idx="4">
                  <c:v>7.0136458489002855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D5-4F3A-A571-094B6FAA4E93}"/>
            </c:ext>
          </c:extLst>
        </c:ser>
        <c:ser>
          <c:idx val="3"/>
          <c:order val="3"/>
          <c:tx>
            <c:strRef>
              <c:f>'Graf 28'!$C$29</c:f>
              <c:strCache>
                <c:ptCount val="1"/>
                <c:pt idx="0">
                  <c:v>Excesive duties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28'!$D$29:$H$29</c:f>
              <c:numCache>
                <c:formatCode>0.0</c:formatCode>
                <c:ptCount val="5"/>
                <c:pt idx="0">
                  <c:v>2.5668549293834406</c:v>
                </c:pt>
                <c:pt idx="1">
                  <c:v>2.5063339159805587</c:v>
                </c:pt>
                <c:pt idx="2">
                  <c:v>2.5223000348862228</c:v>
                </c:pt>
                <c:pt idx="3">
                  <c:v>2.4726642297718979</c:v>
                </c:pt>
                <c:pt idx="4">
                  <c:v>2.3878251149314291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D5-4F3A-A571-094B6FAA4E93}"/>
            </c:ext>
          </c:extLst>
        </c:ser>
        <c:ser>
          <c:idx val="4"/>
          <c:order val="4"/>
          <c:tx>
            <c:strRef>
              <c:f>'Graf 28'!$C$30</c:f>
              <c:strCache>
                <c:ptCount val="1"/>
                <c:pt idx="0">
                  <c:v>SIC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28'!$D$30:$H$30</c:f>
              <c:numCache>
                <c:formatCode>0.0</c:formatCode>
                <c:ptCount val="5"/>
                <c:pt idx="0">
                  <c:v>8.6916777627512243</c:v>
                </c:pt>
                <c:pt idx="1">
                  <c:v>8.6448085945737585</c:v>
                </c:pt>
                <c:pt idx="2">
                  <c:v>8.6455601039151819</c:v>
                </c:pt>
                <c:pt idx="3">
                  <c:v>8.5886912880068245</c:v>
                </c:pt>
                <c:pt idx="4">
                  <c:v>8.5873122745838373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D5-4F3A-A571-094B6FAA4E93}"/>
            </c:ext>
          </c:extLst>
        </c:ser>
        <c:ser>
          <c:idx val="5"/>
          <c:order val="5"/>
          <c:tx>
            <c:strRef>
              <c:f>'Graf 28'!$C$31</c:f>
              <c:strCache>
                <c:ptCount val="1"/>
                <c:pt idx="0">
                  <c:v>HIC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28'!$D$31:$H$31</c:f>
              <c:numCache>
                <c:formatCode>0.0</c:formatCode>
                <c:ptCount val="5"/>
                <c:pt idx="0">
                  <c:v>4.0471872136503553</c:v>
                </c:pt>
                <c:pt idx="1">
                  <c:v>4.2370294035936586</c:v>
                </c:pt>
                <c:pt idx="2">
                  <c:v>4.2729246884107415</c:v>
                </c:pt>
                <c:pt idx="3">
                  <c:v>4.2911411929046821</c:v>
                </c:pt>
                <c:pt idx="4">
                  <c:v>4.2888072907530415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DD5-4F3A-A571-094B6FAA4E93}"/>
            </c:ext>
          </c:extLst>
        </c:ser>
        <c:ser>
          <c:idx val="6"/>
          <c:order val="6"/>
          <c:tx>
            <c:strRef>
              <c:f>'Graf 28'!$C$32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28'!$D$25:$H$25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28'!$D$32:$H$32</c:f>
              <c:numCache>
                <c:formatCode>0.0</c:formatCode>
                <c:ptCount val="5"/>
                <c:pt idx="0">
                  <c:v>1.5331051894337189</c:v>
                </c:pt>
                <c:pt idx="1">
                  <c:v>1.5571917566539761</c:v>
                </c:pt>
                <c:pt idx="2">
                  <c:v>1.5320540079826248</c:v>
                </c:pt>
                <c:pt idx="3">
                  <c:v>1.3117079740412663</c:v>
                </c:pt>
                <c:pt idx="4">
                  <c:v>1.2922495361685038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DD5-4F3A-A571-094B6FAA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69976"/>
        <c:axId val="500870368"/>
      </c:barChart>
      <c:lineChart>
        <c:grouping val="standard"/>
        <c:varyColors val="0"/>
        <c:ser>
          <c:idx val="7"/>
          <c:order val="7"/>
          <c:tx>
            <c:strRef>
              <c:f>'Graf 28'!$C$33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668077269527404E-2"/>
                  <c:y val="-9.663415826123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DD5-4F3A-A571-094B6FAA4E9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28'!$D$21:$I$21</c:f>
              <c:numCache>
                <c:formatCode>#\ ##0.000</c:formatCode>
                <c:ptCount val="6"/>
              </c:numCache>
            </c:numRef>
          </c:cat>
          <c:val>
            <c:numRef>
              <c:f>'Graf 28'!$D$33:$H$33</c:f>
              <c:numCache>
                <c:formatCode>0.0</c:formatCode>
                <c:ptCount val="5"/>
                <c:pt idx="0">
                  <c:v>30.489608170228294</c:v>
                </c:pt>
                <c:pt idx="1">
                  <c:v>30.69090708980465</c:v>
                </c:pt>
                <c:pt idx="2">
                  <c:v>30.505165032946827</c:v>
                </c:pt>
                <c:pt idx="3">
                  <c:v>30.245966067505012</c:v>
                </c:pt>
                <c:pt idx="4">
                  <c:v>30.088546095215875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DD5-4F3A-A571-094B6FAA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69976"/>
        <c:axId val="500870368"/>
      </c:lineChart>
      <c:catAx>
        <c:axId val="50086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70368"/>
        <c:crosses val="autoZero"/>
        <c:auto val="1"/>
        <c:lblAlgn val="ctr"/>
        <c:lblOffset val="100"/>
        <c:noMultiLvlLbl val="0"/>
      </c:catAx>
      <c:valAx>
        <c:axId val="50087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6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29 '!$B$25</c:f>
              <c:strCache>
                <c:ptCount val="1"/>
                <c:pt idx="0">
                  <c:v>Daňová medzera podľa MFSR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3B-4012-8D30-52965B7763B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'!$D$24:$V$24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'Graf 29 '!$D$25:$V$25</c:f>
              <c:numCache>
                <c:formatCode>0.0</c:formatCode>
                <c:ptCount val="19"/>
                <c:pt idx="0">
                  <c:v>20.5</c:v>
                </c:pt>
                <c:pt idx="1">
                  <c:v>18</c:v>
                </c:pt>
                <c:pt idx="2">
                  <c:v>20.3</c:v>
                </c:pt>
                <c:pt idx="3">
                  <c:v>15.5</c:v>
                </c:pt>
                <c:pt idx="4">
                  <c:v>23.3</c:v>
                </c:pt>
                <c:pt idx="5">
                  <c:v>21.3</c:v>
                </c:pt>
                <c:pt idx="6">
                  <c:v>26.4</c:v>
                </c:pt>
                <c:pt idx="7">
                  <c:v>31.3</c:v>
                </c:pt>
                <c:pt idx="8">
                  <c:v>31.1</c:v>
                </c:pt>
                <c:pt idx="9">
                  <c:v>34.700000000000003</c:v>
                </c:pt>
                <c:pt idx="10">
                  <c:v>34.799999999999997</c:v>
                </c:pt>
                <c:pt idx="11">
                  <c:v>36.1</c:v>
                </c:pt>
                <c:pt idx="12">
                  <c:v>40.299999999999997</c:v>
                </c:pt>
                <c:pt idx="13">
                  <c:v>36.4</c:v>
                </c:pt>
                <c:pt idx="14">
                  <c:v>32</c:v>
                </c:pt>
                <c:pt idx="15">
                  <c:v>31.1</c:v>
                </c:pt>
                <c:pt idx="16">
                  <c:v>28.9</c:v>
                </c:pt>
                <c:pt idx="17">
                  <c:v>27</c:v>
                </c:pt>
                <c:pt idx="18">
                  <c:v>26.9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3B-4012-8D30-52965B7763B3}"/>
            </c:ext>
          </c:extLst>
        </c:ser>
        <c:ser>
          <c:idx val="1"/>
          <c:order val="1"/>
          <c:tx>
            <c:strRef>
              <c:f>'Graf 29 '!$B$26</c:f>
              <c:strCache>
                <c:ptCount val="1"/>
                <c:pt idx="0">
                  <c:v>Daňová medzera podľa EK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29 '!$D$24:$V$24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'Graf 29 '!$D$26:$V$26</c:f>
              <c:numCache>
                <c:formatCode>0</c:formatCode>
                <c:ptCount val="19"/>
                <c:pt idx="12" formatCode="0.0">
                  <c:v>37.799999999999997</c:v>
                </c:pt>
                <c:pt idx="13" formatCode="0.0">
                  <c:v>33.4</c:v>
                </c:pt>
                <c:pt idx="14" formatCode="0.0">
                  <c:v>30.5</c:v>
                </c:pt>
                <c:pt idx="15" formatCode="0.0">
                  <c:v>29.4</c:v>
                </c:pt>
                <c:pt idx="16" formatCode="0.0">
                  <c:v>25.671969281404277</c:v>
                </c:pt>
                <c:pt idx="17" formatCode="0.0">
                  <c:v>23.2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3B-4012-8D30-52965B77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71152"/>
        <c:axId val="500871544"/>
      </c:lineChart>
      <c:catAx>
        <c:axId val="50087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71544"/>
        <c:crosses val="autoZero"/>
        <c:auto val="1"/>
        <c:lblAlgn val="ctr"/>
        <c:lblOffset val="100"/>
        <c:noMultiLvlLbl val="0"/>
      </c:catAx>
      <c:valAx>
        <c:axId val="500871544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087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3+4'!$J$9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3+4'!$L$9:$Q$9</c:f>
              <c:numCache>
                <c:formatCode>0.0</c:formatCode>
                <c:ptCount val="6"/>
                <c:pt idx="0">
                  <c:v>2.3779820599251282</c:v>
                </c:pt>
                <c:pt idx="1">
                  <c:v>2.1530631606671147</c:v>
                </c:pt>
                <c:pt idx="2">
                  <c:v>0.86794837889932497</c:v>
                </c:pt>
                <c:pt idx="3">
                  <c:v>1.0766686566403971</c:v>
                </c:pt>
                <c:pt idx="4">
                  <c:v>1.2832161769719417</c:v>
                </c:pt>
                <c:pt idx="5">
                  <c:v>1.0647582266554541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6D-456C-AE46-43B79A611F9D}"/>
            </c:ext>
          </c:extLst>
        </c:ser>
        <c:ser>
          <c:idx val="2"/>
          <c:order val="2"/>
          <c:tx>
            <c:strRef>
              <c:f>'Graf 3+4'!$J$10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3+4'!$L$10:$Q$10</c:f>
              <c:numCache>
                <c:formatCode>0.0</c:formatCode>
                <c:ptCount val="6"/>
                <c:pt idx="0">
                  <c:v>0.19123571852292412</c:v>
                </c:pt>
                <c:pt idx="1">
                  <c:v>4.1884331952471647E-2</c:v>
                </c:pt>
                <c:pt idx="2">
                  <c:v>0.55327031145336303</c:v>
                </c:pt>
                <c:pt idx="3">
                  <c:v>0.19770362452170709</c:v>
                </c:pt>
                <c:pt idx="4">
                  <c:v>0.22447169213698923</c:v>
                </c:pt>
                <c:pt idx="5">
                  <c:v>0.29745936147768137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6D-456C-AE46-43B79A611F9D}"/>
            </c:ext>
          </c:extLst>
        </c:ser>
        <c:ser>
          <c:idx val="3"/>
          <c:order val="3"/>
          <c:tx>
            <c:strRef>
              <c:f>'Graf 3+4'!$J$11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3+4'!$L$11:$Q$11</c:f>
              <c:numCache>
                <c:formatCode>0.0</c:formatCode>
                <c:ptCount val="6"/>
                <c:pt idx="0">
                  <c:v>0.81987595270107738</c:v>
                </c:pt>
                <c:pt idx="1">
                  <c:v>0.77955939743660452</c:v>
                </c:pt>
                <c:pt idx="2">
                  <c:v>0.42716705749149619</c:v>
                </c:pt>
                <c:pt idx="3">
                  <c:v>0.80854349548855131</c:v>
                </c:pt>
                <c:pt idx="4">
                  <c:v>0.74989340172801877</c:v>
                </c:pt>
                <c:pt idx="5">
                  <c:v>0.85906284831304325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6D-456C-AE46-43B79A611F9D}"/>
            </c:ext>
          </c:extLst>
        </c:ser>
        <c:ser>
          <c:idx val="4"/>
          <c:order val="4"/>
          <c:tx>
            <c:strRef>
              <c:f>'Graf 3+4'!$J$12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3+4'!$L$12:$Q$12</c:f>
              <c:numCache>
                <c:formatCode>0.0</c:formatCode>
                <c:ptCount val="6"/>
                <c:pt idx="0">
                  <c:v>-0.17846252547240357</c:v>
                </c:pt>
                <c:pt idx="1">
                  <c:v>0.54368257626325478</c:v>
                </c:pt>
                <c:pt idx="2">
                  <c:v>-0.18866819532916823</c:v>
                </c:pt>
                <c:pt idx="3">
                  <c:v>1.503452001419834</c:v>
                </c:pt>
                <c:pt idx="4">
                  <c:v>1.1269331176345876</c:v>
                </c:pt>
                <c:pt idx="5">
                  <c:v>0.71538779460115676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D-456C-AE46-43B79A611F9D}"/>
            </c:ext>
          </c:extLst>
        </c:ser>
        <c:ser>
          <c:idx val="5"/>
          <c:order val="5"/>
          <c:tx>
            <c:strRef>
              <c:f>'Graf 3+4'!$J$13</c:f>
              <c:strCache>
                <c:ptCount val="1"/>
                <c:pt idx="0">
                  <c:v>Zásoby a štat. disk.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3+4'!$L$13:$Q$13</c:f>
              <c:numCache>
                <c:formatCode>0.0</c:formatCode>
                <c:ptCount val="6"/>
                <c:pt idx="0">
                  <c:v>-0.16990286553893119</c:v>
                </c:pt>
                <c:pt idx="1">
                  <c:v>0.51551357706520573</c:v>
                </c:pt>
                <c:pt idx="2">
                  <c:v>0.77954990595710738</c:v>
                </c:pt>
                <c:pt idx="3">
                  <c:v>-1.3268099466795409</c:v>
                </c:pt>
                <c:pt idx="4">
                  <c:v>-0.62271831837596248</c:v>
                </c:pt>
                <c:pt idx="5">
                  <c:v>-0.23019432718050092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110272"/>
        <c:axId val="488109880"/>
      </c:barChart>
      <c:lineChart>
        <c:grouping val="standard"/>
        <c:varyColors val="0"/>
        <c:ser>
          <c:idx val="0"/>
          <c:order val="0"/>
          <c:tx>
            <c:strRef>
              <c:f>'Graf 3+4'!$J$8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3+4'!$L$8:$Q$8</c:f>
              <c:numCache>
                <c:formatCode>0.0</c:formatCode>
                <c:ptCount val="6"/>
                <c:pt idx="0">
                  <c:v>3.0407283401377949</c:v>
                </c:pt>
                <c:pt idx="1">
                  <c:v>4.0337030433846515</c:v>
                </c:pt>
                <c:pt idx="2">
                  <c:v>2.4392674584721252</c:v>
                </c:pt>
                <c:pt idx="3">
                  <c:v>2.2595578313909477</c:v>
                </c:pt>
                <c:pt idx="4">
                  <c:v>2.7617960700955697</c:v>
                </c:pt>
                <c:pt idx="5">
                  <c:v>2.7064739038668408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10272"/>
        <c:axId val="488109880"/>
      </c:lineChart>
      <c:catAx>
        <c:axId val="4881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488109880"/>
        <c:crosses val="autoZero"/>
        <c:auto val="1"/>
        <c:lblAlgn val="ctr"/>
        <c:lblOffset val="100"/>
        <c:noMultiLvlLbl val="0"/>
      </c:catAx>
      <c:valAx>
        <c:axId val="488109880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48811027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30+31'!$J$13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30+31'!$L$13:$AB$13</c:f>
              <c:numCache>
                <c:formatCode>#\ ##0.0</c:formatCode>
                <c:ptCount val="15"/>
                <c:pt idx="0">
                  <c:v>36.883029661206599</c:v>
                </c:pt>
                <c:pt idx="1">
                  <c:v>44.03452135242091</c:v>
                </c:pt>
                <c:pt idx="2">
                  <c:v>41.825832401714806</c:v>
                </c:pt>
                <c:pt idx="3">
                  <c:v>40.480334402092097</c:v>
                </c:pt>
                <c:pt idx="4">
                  <c:v>40.198618139377658</c:v>
                </c:pt>
                <c:pt idx="5">
                  <c:v>41.337657283799054</c:v>
                </c:pt>
                <c:pt idx="6">
                  <c:v>41.942340795440039</c:v>
                </c:pt>
                <c:pt idx="7">
                  <c:v>44.739981462469849</c:v>
                </c:pt>
                <c:pt idx="8">
                  <c:v>41.546452946695787</c:v>
                </c:pt>
                <c:pt idx="9">
                  <c:v>40.35484220009927</c:v>
                </c:pt>
                <c:pt idx="10">
                  <c:v>40.844416501512946</c:v>
                </c:pt>
                <c:pt idx="11">
                  <c:v>40.792027002359326</c:v>
                </c:pt>
                <c:pt idx="12">
                  <c:v>40.131832747628124</c:v>
                </c:pt>
                <c:pt idx="13">
                  <c:v>39.645589034933238</c:v>
                </c:pt>
                <c:pt idx="14">
                  <c:v>39.750262940882621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D-4A3D-AEDC-F932A094D373}"/>
            </c:ext>
          </c:extLst>
        </c:ser>
        <c:ser>
          <c:idx val="5"/>
          <c:order val="1"/>
          <c:tx>
            <c:strRef>
              <c:f>'Graf 30+31'!$J$15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30+31'!$L$15:$AB$15</c:f>
              <c:numCache>
                <c:formatCode>#\ ##0.0</c:formatCode>
                <c:ptCount val="15"/>
                <c:pt idx="0">
                  <c:v>44.533333333333339</c:v>
                </c:pt>
                <c:pt idx="1">
                  <c:v>46.533333333333331</c:v>
                </c:pt>
                <c:pt idx="2">
                  <c:v>46.199999999999996</c:v>
                </c:pt>
                <c:pt idx="3">
                  <c:v>45.466666666666669</c:v>
                </c:pt>
                <c:pt idx="4">
                  <c:v>45.300000000000004</c:v>
                </c:pt>
                <c:pt idx="5">
                  <c:v>44.866666666666667</c:v>
                </c:pt>
                <c:pt idx="6">
                  <c:v>44.766666666666673</c:v>
                </c:pt>
                <c:pt idx="7">
                  <c:v>44.5</c:v>
                </c:pt>
                <c:pt idx="8">
                  <c:v>42.466666666666669</c:v>
                </c:pt>
                <c:pt idx="9">
                  <c:v>42.333333333333336</c:v>
                </c:pt>
                <c:pt idx="10">
                  <c:v>42.866666666666667</c:v>
                </c:pt>
                <c:pt idx="11">
                  <c:v>43.580871633333338</c:v>
                </c:pt>
                <c:pt idx="12">
                  <c:v>43.37108203333333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D-4A3D-AEDC-F932A094D373}"/>
            </c:ext>
          </c:extLst>
        </c:ser>
        <c:ser>
          <c:idx val="0"/>
          <c:order val="2"/>
          <c:tx>
            <c:strRef>
              <c:f>'Graf 30+31'!$J$9</c:f>
              <c:strCache>
                <c:ptCount val="1"/>
                <c:pt idx="0">
                  <c:v>Eurozóna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</c:dPt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30+31'!$L$9:$AB$9</c:f>
              <c:numCache>
                <c:formatCode>#\ ##0.0</c:formatCode>
                <c:ptCount val="15"/>
                <c:pt idx="0">
                  <c:v>46.6</c:v>
                </c:pt>
                <c:pt idx="1">
                  <c:v>50.7</c:v>
                </c:pt>
                <c:pt idx="2">
                  <c:v>50.6</c:v>
                </c:pt>
                <c:pt idx="3">
                  <c:v>49.2</c:v>
                </c:pt>
                <c:pt idx="4">
                  <c:v>49.7</c:v>
                </c:pt>
                <c:pt idx="5">
                  <c:v>49.8</c:v>
                </c:pt>
                <c:pt idx="6">
                  <c:v>49.1</c:v>
                </c:pt>
                <c:pt idx="7">
                  <c:v>48.3</c:v>
                </c:pt>
                <c:pt idx="8">
                  <c:v>47.5</c:v>
                </c:pt>
                <c:pt idx="9">
                  <c:v>47</c:v>
                </c:pt>
                <c:pt idx="10">
                  <c:v>46.8</c:v>
                </c:pt>
                <c:pt idx="11">
                  <c:v>46.957678600000001</c:v>
                </c:pt>
                <c:pt idx="12">
                  <c:v>46.753266799999999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7D-4A3D-AEDC-F932A094D373}"/>
            </c:ext>
          </c:extLst>
        </c:ser>
        <c:ser>
          <c:idx val="1"/>
          <c:order val="3"/>
          <c:tx>
            <c:strRef>
              <c:f>'Graf 30+31'!$J$14</c:f>
              <c:strCache>
                <c:ptCount val="1"/>
                <c:pt idx="0">
                  <c:v>SK (bez dodatočných opatrení)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ysDash"/>
            </a:ln>
          </c:spPr>
          <c:marker>
            <c:symbol val="none"/>
          </c:marker>
          <c:val>
            <c:numRef>
              <c:f>'Graf 30+31'!$N$14:$AB$14</c:f>
              <c:numCache>
                <c:formatCode>#\ ##0.0</c:formatCode>
                <c:ptCount val="15"/>
                <c:pt idx="0">
                  <c:v>36.883029661206599</c:v>
                </c:pt>
                <c:pt idx="1">
                  <c:v>44.03452135242091</c:v>
                </c:pt>
                <c:pt idx="2">
                  <c:v>41.825832401714806</c:v>
                </c:pt>
                <c:pt idx="3">
                  <c:v>40.480334402092097</c:v>
                </c:pt>
                <c:pt idx="4">
                  <c:v>40.198618139377658</c:v>
                </c:pt>
                <c:pt idx="5">
                  <c:v>41.337657283799054</c:v>
                </c:pt>
                <c:pt idx="6">
                  <c:v>41.942340795440039</c:v>
                </c:pt>
                <c:pt idx="7">
                  <c:v>44.739981462469849</c:v>
                </c:pt>
                <c:pt idx="8">
                  <c:v>41.546452946695787</c:v>
                </c:pt>
                <c:pt idx="9">
                  <c:v>40.35484220009927</c:v>
                </c:pt>
                <c:pt idx="10">
                  <c:v>40.844416501512946</c:v>
                </c:pt>
                <c:pt idx="11">
                  <c:v>40.792027002359326</c:v>
                </c:pt>
                <c:pt idx="12">
                  <c:v>40.131832747628124</c:v>
                </c:pt>
                <c:pt idx="13">
                  <c:v>40.019635486125573</c:v>
                </c:pt>
                <c:pt idx="14">
                  <c:v>40.325852525448553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872328"/>
        <c:axId val="500872720"/>
      </c:lineChart>
      <c:catAx>
        <c:axId val="500872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500872720"/>
        <c:crosses val="autoZero"/>
        <c:auto val="1"/>
        <c:lblAlgn val="ctr"/>
        <c:lblOffset val="100"/>
        <c:noMultiLvlLbl val="0"/>
      </c:catAx>
      <c:valAx>
        <c:axId val="500872720"/>
        <c:scaling>
          <c:orientation val="minMax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08723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7108058485899497"/>
          <c:y val="0.66960721678699375"/>
          <c:w val="0.80527218548776691"/>
          <c:h val="0.12234338895224588"/>
        </c:manualLayout>
      </c:layout>
      <c:overlay val="1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30+31'!$J$25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30+31'!$L$25:$AB$25</c:f>
              <c:numCache>
                <c:formatCode>#\ ##0.0</c:formatCode>
                <c:ptCount val="15"/>
                <c:pt idx="0">
                  <c:v>3.3643767812042404</c:v>
                </c:pt>
                <c:pt idx="1">
                  <c:v>3.8800840352037715</c:v>
                </c:pt>
                <c:pt idx="2">
                  <c:v>3.5849342672173878</c:v>
                </c:pt>
                <c:pt idx="3">
                  <c:v>3.779796630138796</c:v>
                </c:pt>
                <c:pt idx="4">
                  <c:v>3.3147581790179603</c:v>
                </c:pt>
                <c:pt idx="5">
                  <c:v>3.3166365957726089</c:v>
                </c:pt>
                <c:pt idx="6">
                  <c:v>3.9648233704176117</c:v>
                </c:pt>
                <c:pt idx="7">
                  <c:v>6.2070672659881314</c:v>
                </c:pt>
                <c:pt idx="8" formatCode="0.0">
                  <c:v>3.2078269976254092</c:v>
                </c:pt>
                <c:pt idx="9" formatCode="0.0">
                  <c:v>3.1933999554290882</c:v>
                </c:pt>
                <c:pt idx="10" formatCode="0.0">
                  <c:v>3.5868697393912212</c:v>
                </c:pt>
                <c:pt idx="11" formatCode="0.0">
                  <c:v>2.8783525140582014</c:v>
                </c:pt>
                <c:pt idx="12" formatCode="0.0">
                  <c:v>1.895234297421728</c:v>
                </c:pt>
                <c:pt idx="13" formatCode="0.0">
                  <c:v>2.0883857063563416</c:v>
                </c:pt>
                <c:pt idx="14" formatCode="0.0">
                  <c:v>3.1629609242129839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51-4320-919B-F6F59E68B8B8}"/>
            </c:ext>
          </c:extLst>
        </c:ser>
        <c:ser>
          <c:idx val="5"/>
          <c:order val="1"/>
          <c:tx>
            <c:strRef>
              <c:f>'Graf 30+31'!$J$26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30+31'!$L$26:$AA$26</c:f>
              <c:numCache>
                <c:formatCode>#\ ##0.0</c:formatCode>
                <c:ptCount val="14"/>
                <c:pt idx="0">
                  <c:v>4.4333333333333336</c:v>
                </c:pt>
                <c:pt idx="1">
                  <c:v>4.8</c:v>
                </c:pt>
                <c:pt idx="2">
                  <c:v>4.8</c:v>
                </c:pt>
                <c:pt idx="3">
                  <c:v>4.5666666666666664</c:v>
                </c:pt>
                <c:pt idx="4">
                  <c:v>4.2</c:v>
                </c:pt>
                <c:pt idx="5">
                  <c:v>4.0666666666666673</c:v>
                </c:pt>
                <c:pt idx="6">
                  <c:v>4.6999999999999993</c:v>
                </c:pt>
                <c:pt idx="7">
                  <c:v>5.3999999999999995</c:v>
                </c:pt>
                <c:pt idx="8">
                  <c:v>3.2333333333333329</c:v>
                </c:pt>
                <c:pt idx="9" formatCode="0.0">
                  <c:v>3.9333333333333336</c:v>
                </c:pt>
                <c:pt idx="10" formatCode="0.0">
                  <c:v>4.8666666666666663</c:v>
                </c:pt>
                <c:pt idx="11" formatCode="0.0">
                  <c:v>5.2268611333333332</c:v>
                </c:pt>
                <c:pt idx="12" formatCode="0.0">
                  <c:v>5.0415216333333328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51-4320-919B-F6F59E68B8B8}"/>
            </c:ext>
          </c:extLst>
        </c:ser>
        <c:ser>
          <c:idx val="0"/>
          <c:order val="2"/>
          <c:tx>
            <c:strRef>
              <c:f>'Graf 30+31'!$J$21</c:f>
              <c:strCache>
                <c:ptCount val="1"/>
                <c:pt idx="0">
                  <c:v>EA19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</c:dPt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30+31'!$L$21:$AA$21</c:f>
              <c:numCache>
                <c:formatCode>#\ ##0.0</c:formatCode>
                <c:ptCount val="14"/>
                <c:pt idx="0">
                  <c:v>3.3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 formatCode="General">
                  <c:v>2.6</c:v>
                </c:pt>
                <c:pt idx="9" formatCode="0.0">
                  <c:v>2.6</c:v>
                </c:pt>
                <c:pt idx="10" formatCode="0.0">
                  <c:v>2.7</c:v>
                </c:pt>
                <c:pt idx="11" formatCode="0.0">
                  <c:v>2.7561765999999999</c:v>
                </c:pt>
                <c:pt idx="12" formatCode="0.0">
                  <c:v>2.7947956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A51-4320-919B-F6F59E68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74304"/>
        <c:axId val="505974696"/>
      </c:lineChart>
      <c:catAx>
        <c:axId val="50597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505974696"/>
        <c:crosses val="autoZero"/>
        <c:auto val="1"/>
        <c:lblAlgn val="ctr"/>
        <c:lblOffset val="100"/>
        <c:noMultiLvlLbl val="0"/>
      </c:catAx>
      <c:valAx>
        <c:axId val="505974696"/>
        <c:scaling>
          <c:orientation val="minMax"/>
          <c:max val="7"/>
          <c:min val="1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74304"/>
        <c:crosses val="autoZero"/>
        <c:crossBetween val="midCat"/>
        <c:majorUnit val="1"/>
      </c:valAx>
    </c:plotArea>
    <c:legend>
      <c:legendPos val="l"/>
      <c:layout>
        <c:manualLayout>
          <c:xMode val="edge"/>
          <c:yMode val="edge"/>
          <c:x val="0.79639639639639637"/>
          <c:y val="2.0718645624457303E-2"/>
          <c:w val="0.18639686931025515"/>
          <c:h val="0.29002475769446034"/>
        </c:manualLayout>
      </c:layout>
      <c:overlay val="1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30+31'!$J$13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30+31'!$L$13:$AB$13</c:f>
              <c:numCache>
                <c:formatCode>#\ ##0.0</c:formatCode>
                <c:ptCount val="15"/>
                <c:pt idx="0">
                  <c:v>36.883029661206599</c:v>
                </c:pt>
                <c:pt idx="1">
                  <c:v>44.03452135242091</c:v>
                </c:pt>
                <c:pt idx="2">
                  <c:v>41.825832401714806</c:v>
                </c:pt>
                <c:pt idx="3">
                  <c:v>40.480334402092097</c:v>
                </c:pt>
                <c:pt idx="4">
                  <c:v>40.198618139377658</c:v>
                </c:pt>
                <c:pt idx="5">
                  <c:v>41.337657283799054</c:v>
                </c:pt>
                <c:pt idx="6">
                  <c:v>41.942340795440039</c:v>
                </c:pt>
                <c:pt idx="7">
                  <c:v>44.739981462469849</c:v>
                </c:pt>
                <c:pt idx="8">
                  <c:v>41.546452946695787</c:v>
                </c:pt>
                <c:pt idx="9">
                  <c:v>40.35484220009927</c:v>
                </c:pt>
                <c:pt idx="10">
                  <c:v>40.844416501512946</c:v>
                </c:pt>
                <c:pt idx="11">
                  <c:v>40.792027002359326</c:v>
                </c:pt>
                <c:pt idx="12">
                  <c:v>40.131832747628124</c:v>
                </c:pt>
                <c:pt idx="13">
                  <c:v>39.645589034933238</c:v>
                </c:pt>
                <c:pt idx="14">
                  <c:v>39.750262940882621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D-4A3D-AEDC-F932A094D373}"/>
            </c:ext>
          </c:extLst>
        </c:ser>
        <c:ser>
          <c:idx val="5"/>
          <c:order val="1"/>
          <c:tx>
            <c:strRef>
              <c:f>'Graf 30+31'!$J$15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30+31'!$L$15:$AB$15</c:f>
              <c:numCache>
                <c:formatCode>#\ ##0.0</c:formatCode>
                <c:ptCount val="15"/>
                <c:pt idx="0">
                  <c:v>44.533333333333339</c:v>
                </c:pt>
                <c:pt idx="1">
                  <c:v>46.533333333333331</c:v>
                </c:pt>
                <c:pt idx="2">
                  <c:v>46.199999999999996</c:v>
                </c:pt>
                <c:pt idx="3">
                  <c:v>45.466666666666669</c:v>
                </c:pt>
                <c:pt idx="4">
                  <c:v>45.300000000000004</c:v>
                </c:pt>
                <c:pt idx="5">
                  <c:v>44.866666666666667</c:v>
                </c:pt>
                <c:pt idx="6">
                  <c:v>44.766666666666673</c:v>
                </c:pt>
                <c:pt idx="7">
                  <c:v>44.5</c:v>
                </c:pt>
                <c:pt idx="8">
                  <c:v>42.466666666666669</c:v>
                </c:pt>
                <c:pt idx="9">
                  <c:v>42.333333333333336</c:v>
                </c:pt>
                <c:pt idx="10">
                  <c:v>42.866666666666667</c:v>
                </c:pt>
                <c:pt idx="11">
                  <c:v>43.580871633333338</c:v>
                </c:pt>
                <c:pt idx="12">
                  <c:v>43.37108203333333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D-4A3D-AEDC-F932A094D373}"/>
            </c:ext>
          </c:extLst>
        </c:ser>
        <c:ser>
          <c:idx val="0"/>
          <c:order val="2"/>
          <c:tx>
            <c:strRef>
              <c:f>'Graf 30+31'!$K$9</c:f>
              <c:strCache>
                <c:ptCount val="1"/>
                <c:pt idx="0">
                  <c:v>Eurozone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</c:dPt>
          <c:cat>
            <c:strRef>
              <c:f>'Graf 30+31'!$L$8:$AB$8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30+31'!$L$9:$AB$9</c:f>
              <c:numCache>
                <c:formatCode>#\ ##0.0</c:formatCode>
                <c:ptCount val="15"/>
                <c:pt idx="0">
                  <c:v>46.6</c:v>
                </c:pt>
                <c:pt idx="1">
                  <c:v>50.7</c:v>
                </c:pt>
                <c:pt idx="2">
                  <c:v>50.6</c:v>
                </c:pt>
                <c:pt idx="3">
                  <c:v>49.2</c:v>
                </c:pt>
                <c:pt idx="4">
                  <c:v>49.7</c:v>
                </c:pt>
                <c:pt idx="5">
                  <c:v>49.8</c:v>
                </c:pt>
                <c:pt idx="6">
                  <c:v>49.1</c:v>
                </c:pt>
                <c:pt idx="7">
                  <c:v>48.3</c:v>
                </c:pt>
                <c:pt idx="8">
                  <c:v>47.5</c:v>
                </c:pt>
                <c:pt idx="9">
                  <c:v>47</c:v>
                </c:pt>
                <c:pt idx="10">
                  <c:v>46.8</c:v>
                </c:pt>
                <c:pt idx="11">
                  <c:v>46.957678600000001</c:v>
                </c:pt>
                <c:pt idx="12">
                  <c:v>46.753266799999999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7D-4A3D-AEDC-F932A094D373}"/>
            </c:ext>
          </c:extLst>
        </c:ser>
        <c:ser>
          <c:idx val="1"/>
          <c:order val="3"/>
          <c:tx>
            <c:strRef>
              <c:f>'Graf 30+31'!$K$14</c:f>
              <c:strCache>
                <c:ptCount val="1"/>
                <c:pt idx="0">
                  <c:v>SK (without additional measures)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ysDash"/>
            </a:ln>
          </c:spPr>
          <c:marker>
            <c:symbol val="none"/>
          </c:marker>
          <c:val>
            <c:numRef>
              <c:f>'Graf 30+31'!$N$14:$AB$14</c:f>
              <c:numCache>
                <c:formatCode>#\ ##0.0</c:formatCode>
                <c:ptCount val="15"/>
                <c:pt idx="0">
                  <c:v>36.883029661206599</c:v>
                </c:pt>
                <c:pt idx="1">
                  <c:v>44.03452135242091</c:v>
                </c:pt>
                <c:pt idx="2">
                  <c:v>41.825832401714806</c:v>
                </c:pt>
                <c:pt idx="3">
                  <c:v>40.480334402092097</c:v>
                </c:pt>
                <c:pt idx="4">
                  <c:v>40.198618139377658</c:v>
                </c:pt>
                <c:pt idx="5">
                  <c:v>41.337657283799054</c:v>
                </c:pt>
                <c:pt idx="6">
                  <c:v>41.942340795440039</c:v>
                </c:pt>
                <c:pt idx="7">
                  <c:v>44.739981462469849</c:v>
                </c:pt>
                <c:pt idx="8">
                  <c:v>41.546452946695787</c:v>
                </c:pt>
                <c:pt idx="9">
                  <c:v>40.35484220009927</c:v>
                </c:pt>
                <c:pt idx="10">
                  <c:v>40.844416501512946</c:v>
                </c:pt>
                <c:pt idx="11">
                  <c:v>40.792027002359326</c:v>
                </c:pt>
                <c:pt idx="12">
                  <c:v>40.131832747628124</c:v>
                </c:pt>
                <c:pt idx="13">
                  <c:v>40.019635486125573</c:v>
                </c:pt>
                <c:pt idx="14">
                  <c:v>40.325852525448553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75480"/>
        <c:axId val="505975872"/>
      </c:lineChart>
      <c:catAx>
        <c:axId val="505975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505975872"/>
        <c:crosses val="autoZero"/>
        <c:auto val="1"/>
        <c:lblAlgn val="ctr"/>
        <c:lblOffset val="100"/>
        <c:noMultiLvlLbl val="0"/>
      </c:catAx>
      <c:valAx>
        <c:axId val="505975872"/>
        <c:scaling>
          <c:orientation val="minMax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7548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7108058485899497"/>
          <c:y val="0.66960721678699375"/>
          <c:w val="0.80527218548776691"/>
          <c:h val="0.12234338895224588"/>
        </c:manualLayout>
      </c:layout>
      <c:overlay val="1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313624234470691"/>
          <c:h val="0.82682123067949842"/>
        </c:manualLayout>
      </c:layout>
      <c:lineChart>
        <c:grouping val="standard"/>
        <c:varyColors val="0"/>
        <c:ser>
          <c:idx val="3"/>
          <c:order val="0"/>
          <c:tx>
            <c:strRef>
              <c:f>'Graf 30+31'!$J$25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30+31'!$L$25:$AB$25</c:f>
              <c:numCache>
                <c:formatCode>#\ ##0.0</c:formatCode>
                <c:ptCount val="15"/>
                <c:pt idx="0">
                  <c:v>3.3643767812042404</c:v>
                </c:pt>
                <c:pt idx="1">
                  <c:v>3.8800840352037715</c:v>
                </c:pt>
                <c:pt idx="2">
                  <c:v>3.5849342672173878</c:v>
                </c:pt>
                <c:pt idx="3">
                  <c:v>3.779796630138796</c:v>
                </c:pt>
                <c:pt idx="4">
                  <c:v>3.3147581790179603</c:v>
                </c:pt>
                <c:pt idx="5">
                  <c:v>3.3166365957726089</c:v>
                </c:pt>
                <c:pt idx="6">
                  <c:v>3.9648233704176117</c:v>
                </c:pt>
                <c:pt idx="7">
                  <c:v>6.2070672659881314</c:v>
                </c:pt>
                <c:pt idx="8" formatCode="0.0">
                  <c:v>3.2078269976254092</c:v>
                </c:pt>
                <c:pt idx="9" formatCode="0.0">
                  <c:v>3.1933999554290882</c:v>
                </c:pt>
                <c:pt idx="10" formatCode="0.0">
                  <c:v>3.5868697393912212</c:v>
                </c:pt>
                <c:pt idx="11" formatCode="0.0">
                  <c:v>2.8783525140582014</c:v>
                </c:pt>
                <c:pt idx="12" formatCode="0.0">
                  <c:v>1.895234297421728</c:v>
                </c:pt>
                <c:pt idx="13" formatCode="0.0">
                  <c:v>2.0883857063563416</c:v>
                </c:pt>
                <c:pt idx="14" formatCode="0.0">
                  <c:v>3.1629609242129839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51-4320-919B-F6F59E68B8B8}"/>
            </c:ext>
          </c:extLst>
        </c:ser>
        <c:ser>
          <c:idx val="5"/>
          <c:order val="1"/>
          <c:tx>
            <c:strRef>
              <c:f>'Graf 30+31'!$J$26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ysClr val="windowText" lastClr="000000">
                  <a:lumMod val="65000"/>
                  <a:lumOff val="35000"/>
                </a:sysClr>
              </a:solidFill>
              <a:prstDash val="solid"/>
            </a:ln>
          </c:spPr>
          <c:marker>
            <c:symbol val="none"/>
          </c:marker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30+31'!$L$26:$AA$26</c:f>
              <c:numCache>
                <c:formatCode>#\ ##0.0</c:formatCode>
                <c:ptCount val="14"/>
                <c:pt idx="0">
                  <c:v>4.4333333333333336</c:v>
                </c:pt>
                <c:pt idx="1">
                  <c:v>4.8</c:v>
                </c:pt>
                <c:pt idx="2">
                  <c:v>4.8</c:v>
                </c:pt>
                <c:pt idx="3">
                  <c:v>4.5666666666666664</c:v>
                </c:pt>
                <c:pt idx="4">
                  <c:v>4.2</c:v>
                </c:pt>
                <c:pt idx="5">
                  <c:v>4.0666666666666673</c:v>
                </c:pt>
                <c:pt idx="6">
                  <c:v>4.6999999999999993</c:v>
                </c:pt>
                <c:pt idx="7">
                  <c:v>5.3999999999999995</c:v>
                </c:pt>
                <c:pt idx="8">
                  <c:v>3.2333333333333329</c:v>
                </c:pt>
                <c:pt idx="9" formatCode="0.0">
                  <c:v>3.9333333333333336</c:v>
                </c:pt>
                <c:pt idx="10" formatCode="0.0">
                  <c:v>4.8666666666666663</c:v>
                </c:pt>
                <c:pt idx="11" formatCode="0.0">
                  <c:v>5.2268611333333332</c:v>
                </c:pt>
                <c:pt idx="12" formatCode="0.0">
                  <c:v>5.0415216333333328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51-4320-919B-F6F59E68B8B8}"/>
            </c:ext>
          </c:extLst>
        </c:ser>
        <c:ser>
          <c:idx val="0"/>
          <c:order val="2"/>
          <c:tx>
            <c:strRef>
              <c:f>'Graf 30+31'!$J$21</c:f>
              <c:strCache>
                <c:ptCount val="1"/>
                <c:pt idx="0">
                  <c:v>EA19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100"/>
            <c:bubble3D val="0"/>
          </c:dPt>
          <c:cat>
            <c:strRef>
              <c:f>'Graf 30+31'!$L$20:$AB$20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'Graf 30+31'!$L$21:$AA$21</c:f>
              <c:numCache>
                <c:formatCode>#\ ##0.0</c:formatCode>
                <c:ptCount val="14"/>
                <c:pt idx="0">
                  <c:v>3.3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 formatCode="General">
                  <c:v>2.6</c:v>
                </c:pt>
                <c:pt idx="9" formatCode="0.0">
                  <c:v>2.6</c:v>
                </c:pt>
                <c:pt idx="10" formatCode="0.0">
                  <c:v>2.7</c:v>
                </c:pt>
                <c:pt idx="11" formatCode="0.0">
                  <c:v>2.7561765999999999</c:v>
                </c:pt>
                <c:pt idx="12" formatCode="0.0">
                  <c:v>2.7947956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A51-4320-919B-F6F59E68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76656"/>
        <c:axId val="505977048"/>
      </c:lineChart>
      <c:catAx>
        <c:axId val="50597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505977048"/>
        <c:crosses val="autoZero"/>
        <c:auto val="1"/>
        <c:lblAlgn val="ctr"/>
        <c:lblOffset val="100"/>
        <c:noMultiLvlLbl val="0"/>
      </c:catAx>
      <c:valAx>
        <c:axId val="505977048"/>
        <c:scaling>
          <c:orientation val="minMax"/>
          <c:max val="7"/>
          <c:min val="1.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76656"/>
        <c:crosses val="autoZero"/>
        <c:crossBetween val="midCat"/>
        <c:majorUnit val="1"/>
      </c:valAx>
    </c:plotArea>
    <c:legend>
      <c:legendPos val="l"/>
      <c:layout>
        <c:manualLayout>
          <c:xMode val="edge"/>
          <c:yMode val="edge"/>
          <c:x val="0.79639639639639637"/>
          <c:y val="2.0718645624457303E-2"/>
          <c:w val="0.18639686931025515"/>
          <c:h val="0.29002475769446034"/>
        </c:manualLayout>
      </c:layout>
      <c:overlay val="1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704286964129"/>
          <c:y val="6.6066066066066104E-2"/>
          <c:w val="0.81197472538155002"/>
          <c:h val="0.64626894611146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32+33'!$N$6</c:f>
              <c:strCache>
                <c:ptCount val="1"/>
                <c:pt idx="0">
                  <c:v>Program Stability 2019-2022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32+33'!$P$6:$U$6</c15:sqref>
                  </c15:fullRef>
                </c:ext>
              </c:extLst>
              <c:f>'Graf 32+33'!$Q$6:$U$6</c:f>
              <c:numCache>
                <c:formatCode>0.0</c:formatCode>
                <c:ptCount val="5"/>
                <c:pt idx="0">
                  <c:v>-1.0446831241312096</c:v>
                </c:pt>
                <c:pt idx="1">
                  <c:v>-0.4462209638173571</c:v>
                </c:pt>
                <c:pt idx="2">
                  <c:v>-0.43110242782119268</c:v>
                </c:pt>
                <c:pt idx="3">
                  <c:v>-0.36613172534577199</c:v>
                </c:pt>
                <c:pt idx="4">
                  <c:v>-0.21725681816170722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74-40AB-9C5A-98582FCBE040}"/>
            </c:ext>
          </c:extLst>
        </c:ser>
        <c:ser>
          <c:idx val="1"/>
          <c:order val="1"/>
          <c:tx>
            <c:strRef>
              <c:f>'Graf 32+33'!$N$7</c:f>
              <c:strCache>
                <c:ptCount val="1"/>
                <c:pt idx="0">
                  <c:v>Návrh rozpočtového plánu na rok 2020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32+33'!$P$7:$U$7</c15:sqref>
                  </c15:fullRef>
                </c:ext>
              </c:extLst>
              <c:f>'Graf 32+33'!$Q$7:$U$7</c:f>
              <c:numCache>
                <c:formatCode>0.0</c:formatCode>
                <c:ptCount val="5"/>
                <c:pt idx="0">
                  <c:v>-1.5493995855584819</c:v>
                </c:pt>
                <c:pt idx="1">
                  <c:v>-0.89677298584209775</c:v>
                </c:pt>
                <c:pt idx="2">
                  <c:v>-0.50376653778628566</c:v>
                </c:pt>
                <c:pt idx="3">
                  <c:v>-8.9913323199984366E-2</c:v>
                </c:pt>
                <c:pt idx="4">
                  <c:v>-0.17592601845438224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74-40AB-9C5A-98582FCB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77832"/>
        <c:axId val="505978224"/>
      </c:barChart>
      <c:catAx>
        <c:axId val="50597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78224"/>
        <c:crosses val="autoZero"/>
        <c:auto val="1"/>
        <c:lblAlgn val="ctr"/>
        <c:lblOffset val="100"/>
        <c:noMultiLvlLbl val="0"/>
      </c:catAx>
      <c:valAx>
        <c:axId val="50597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7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5574900963467"/>
          <c:y val="0.82777019539224261"/>
          <c:w val="0.73432915330028203"/>
          <c:h val="0.172229552387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72448060975"/>
          <c:y val="6.4046579330422099E-2"/>
          <c:w val="0.82725746841957359"/>
          <c:h val="0.73762685613172962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32+33'!$N$9</c:f>
              <c:strCache>
                <c:ptCount val="1"/>
                <c:pt idx="0">
                  <c:v>Zmena cyklickej zložky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32+33'!$P$9:$U$9</c15:sqref>
                  </c15:fullRef>
                </c:ext>
              </c:extLst>
              <c:f>'Graf 32+33'!$Q$9:$U$9</c:f>
              <c:numCache>
                <c:formatCode>0.0</c:formatCode>
                <c:ptCount val="5"/>
                <c:pt idx="0">
                  <c:v>-0.14236817473884983</c:v>
                </c:pt>
                <c:pt idx="1">
                  <c:v>0.22944715983413003</c:v>
                </c:pt>
                <c:pt idx="2">
                  <c:v>0.41733562288056697</c:v>
                </c:pt>
                <c:pt idx="3">
                  <c:v>0.27621840214578763</c:v>
                </c:pt>
                <c:pt idx="4">
                  <c:v>4.1331093743222913E-2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F-441E-ACED-8C92DC3D25E8}"/>
            </c:ext>
          </c:extLst>
        </c:ser>
        <c:ser>
          <c:idx val="4"/>
          <c:order val="4"/>
          <c:tx>
            <c:strRef>
              <c:f>'Graf 32+33'!$N$10</c:f>
              <c:strCache>
                <c:ptCount val="1"/>
                <c:pt idx="0">
                  <c:v>Zmena nominálneho salda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32+33'!$P$10:$U$10</c15:sqref>
                  </c15:fullRef>
                </c:ext>
              </c:extLst>
              <c:f>'Graf 32+33'!$Q$10:$U$10</c:f>
              <c:numCache>
                <c:formatCode>0.0</c:formatCode>
                <c:ptCount val="5"/>
                <c:pt idx="0">
                  <c:v>-0.36234828668842234</c:v>
                </c:pt>
                <c:pt idx="1">
                  <c:v>-0.67999918185887065</c:v>
                </c:pt>
                <c:pt idx="2">
                  <c:v>-0.48999973284565995</c:v>
                </c:pt>
                <c:pt idx="3">
                  <c:v>0</c:v>
                </c:pt>
                <c:pt idx="4">
                  <c:v>-2.9403589792570325E-7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F-441E-ACED-8C92DC3D25E8}"/>
            </c:ext>
          </c:extLst>
        </c:ser>
        <c:ser>
          <c:idx val="5"/>
          <c:order val="5"/>
          <c:tx>
            <c:strRef>
              <c:f>'Graf 32+33'!$N$11</c:f>
              <c:strCache>
                <c:ptCount val="1"/>
                <c:pt idx="0">
                  <c:v>Zmena jednorazových opatrení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32+33'!$P$11:$T$11</c15:sqref>
                  </c15:fullRef>
                </c:ext>
              </c:extLst>
              <c:f>'Graf 32+33'!$Q$11:$T$11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8F-441E-ACED-8C92DC3D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979008"/>
        <c:axId val="5059794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32+33'!$N$7</c15:sqref>
                        </c15:formulaRef>
                      </c:ext>
                    </c:extLst>
                    <c:strCache>
                      <c:ptCount val="1"/>
                      <c:pt idx="0">
                        <c:v>Návrh rozpočtového plánu na rok 2020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32+33'!$P$5:$U$5</c15:sqref>
                        </c15:fullRef>
                        <c15:formulaRef>
                          <c15:sqref>'Graf 32+33'!$Q$5:$U$5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32+33'!$P$7:$S$7</c15:sqref>
                        </c15:fullRef>
                        <c15:formulaRef>
                          <c15:sqref>'Graf 32+33'!$Q$7:$S$7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-1.5493995855584819</c:v>
                      </c:pt>
                      <c:pt idx="1">
                        <c:v>-0.89677298584209775</c:v>
                      </c:pt>
                      <c:pt idx="2">
                        <c:v>-0.50376653778628566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8E8F-441E-ACED-8C92DC3D25E8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'Graf 32+33'!$N$6</c15:sqref>
                        </c15:formulaRef>
                      </c:ext>
                    </c:extLst>
                    <c:strCache>
                      <c:ptCount val="1"/>
                      <c:pt idx="0">
                        <c:v>Program Stability 2019-2022</c:v>
                      </c:pt>
                    </c:strCache>
                  </c:strRef>
                </c:tx>
                <c:spPr>
                  <a:solidFill>
                    <a:srgbClr val="2C9AD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32+33'!$P$5:$U$5</c15:sqref>
                        </c15:fullRef>
                        <c15:formulaRef>
                          <c15:sqref>'Graf 32+33'!$Q$5:$U$5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32+33'!$P$6:$S$6</c15:sqref>
                        </c15:fullRef>
                        <c15:formulaRef>
                          <c15:sqref>'Graf 32+33'!$Q$6:$S$6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-1.0446831241312096</c:v>
                      </c:pt>
                      <c:pt idx="1">
                        <c:v>-0.4462209638173571</c:v>
                      </c:pt>
                      <c:pt idx="2">
                        <c:v>-0.43110242782119268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E8F-441E-ACED-8C92DC3D25E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'Graf 32+33'!$N$8</c:f>
              <c:strCache>
                <c:ptCount val="1"/>
                <c:pt idx="0">
                  <c:v>Revízia štrukturálneho salda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32+33'!$P$8:$U$8</c15:sqref>
                  </c15:fullRef>
                </c:ext>
              </c:extLst>
              <c:f>'Graf 32+33'!$Q$8:$U$8</c:f>
              <c:numCache>
                <c:formatCode>0.0</c:formatCode>
                <c:ptCount val="5"/>
                <c:pt idx="0">
                  <c:v>-0.50471646142727233</c:v>
                </c:pt>
                <c:pt idx="1">
                  <c:v>-0.45055202202474065</c:v>
                </c:pt>
                <c:pt idx="2">
                  <c:v>-7.2664109965092982E-2</c:v>
                </c:pt>
                <c:pt idx="3">
                  <c:v>0.27621840214578763</c:v>
                </c:pt>
                <c:pt idx="4">
                  <c:v>4.1330799707324978E-2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8F-441E-ACED-8C92DC3D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79008"/>
        <c:axId val="505979400"/>
      </c:lineChart>
      <c:catAx>
        <c:axId val="50597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79400"/>
        <c:crosses val="autoZero"/>
        <c:auto val="1"/>
        <c:lblAlgn val="ctr"/>
        <c:lblOffset val="100"/>
        <c:noMultiLvlLbl val="0"/>
      </c:catAx>
      <c:valAx>
        <c:axId val="50597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7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0451000606709697E-2"/>
          <c:y val="0.87100569562500263"/>
          <c:w val="0.95954908316526721"/>
          <c:h val="0.12899430437499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3704286964129"/>
          <c:y val="6.6066066066066104E-2"/>
          <c:w val="0.81197472538155002"/>
          <c:h val="0.64626894611146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32+33'!$O$6</c:f>
              <c:strCache>
                <c:ptCount val="1"/>
                <c:pt idx="0">
                  <c:v>Stability Programme 2019-2022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32+33'!$P$6:$U$6</c15:sqref>
                  </c15:fullRef>
                </c:ext>
              </c:extLst>
              <c:f>'Graf 32+33'!$Q$6:$U$6</c:f>
              <c:numCache>
                <c:formatCode>0.0</c:formatCode>
                <c:ptCount val="5"/>
                <c:pt idx="0">
                  <c:v>-1.0446831241312096</c:v>
                </c:pt>
                <c:pt idx="1">
                  <c:v>-0.4462209638173571</c:v>
                </c:pt>
                <c:pt idx="2">
                  <c:v>-0.43110242782119268</c:v>
                </c:pt>
                <c:pt idx="3">
                  <c:v>-0.36613172534577199</c:v>
                </c:pt>
                <c:pt idx="4">
                  <c:v>-0.21725681816170722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74-40AB-9C5A-98582FCBE040}"/>
            </c:ext>
          </c:extLst>
        </c:ser>
        <c:ser>
          <c:idx val="1"/>
          <c:order val="1"/>
          <c:tx>
            <c:strRef>
              <c:f>'Graf 32+33'!$O$7</c:f>
              <c:strCache>
                <c:ptCount val="1"/>
                <c:pt idx="0">
                  <c:v>Draft Budget 2020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32+33'!$P$7:$U$7</c15:sqref>
                  </c15:fullRef>
                </c:ext>
              </c:extLst>
              <c:f>'Graf 32+33'!$Q$7:$U$7</c:f>
              <c:numCache>
                <c:formatCode>0.0</c:formatCode>
                <c:ptCount val="5"/>
                <c:pt idx="0">
                  <c:v>-1.5493995855584819</c:v>
                </c:pt>
                <c:pt idx="1">
                  <c:v>-0.89677298584209775</c:v>
                </c:pt>
                <c:pt idx="2">
                  <c:v>-0.50376653778628566</c:v>
                </c:pt>
                <c:pt idx="3">
                  <c:v>-8.9913323199984366E-2</c:v>
                </c:pt>
                <c:pt idx="4">
                  <c:v>-0.17592601845438224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74-40AB-9C5A-98582FCB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80184"/>
        <c:axId val="505980576"/>
      </c:barChart>
      <c:catAx>
        <c:axId val="50598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80576"/>
        <c:crosses val="autoZero"/>
        <c:auto val="1"/>
        <c:lblAlgn val="ctr"/>
        <c:lblOffset val="100"/>
        <c:noMultiLvlLbl val="0"/>
      </c:catAx>
      <c:valAx>
        <c:axId val="50598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8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35574900963467"/>
          <c:y val="0.82777019539224261"/>
          <c:w val="0.73432915330028203"/>
          <c:h val="0.172229552387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072448060975"/>
          <c:y val="6.4046579330422099E-2"/>
          <c:w val="0.82725746841957359"/>
          <c:h val="0.73762685613172962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32+33'!$O$9</c:f>
              <c:strCache>
                <c:ptCount val="1"/>
                <c:pt idx="0">
                  <c:v>Cyclical component</c:v>
                </c:pt>
              </c:strCache>
            </c:strRef>
          </c:tx>
          <c:spPr>
            <a:solidFill>
              <a:srgbClr val="AAD3F2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32+33'!$P$9:$U$9</c15:sqref>
                  </c15:fullRef>
                </c:ext>
              </c:extLst>
              <c:f>'Graf 32+33'!$Q$9:$U$9</c:f>
              <c:numCache>
                <c:formatCode>0.0</c:formatCode>
                <c:ptCount val="5"/>
                <c:pt idx="0">
                  <c:v>-0.14236817473884983</c:v>
                </c:pt>
                <c:pt idx="1">
                  <c:v>0.22944715983413003</c:v>
                </c:pt>
                <c:pt idx="2">
                  <c:v>0.41733562288056697</c:v>
                </c:pt>
                <c:pt idx="3">
                  <c:v>0.27621840214578763</c:v>
                </c:pt>
                <c:pt idx="4">
                  <c:v>4.1331093743222913E-2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F-441E-ACED-8C92DC3D25E8}"/>
            </c:ext>
          </c:extLst>
        </c:ser>
        <c:ser>
          <c:idx val="4"/>
          <c:order val="4"/>
          <c:tx>
            <c:strRef>
              <c:f>'Graf 32+33'!$O$10</c:f>
              <c:strCache>
                <c:ptCount val="1"/>
                <c:pt idx="0">
                  <c:v>Change of nominal balance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32+33'!$P$10:$U$10</c15:sqref>
                  </c15:fullRef>
                </c:ext>
              </c:extLst>
              <c:f>'Graf 32+33'!$Q$10:$U$10</c:f>
              <c:numCache>
                <c:formatCode>0.0</c:formatCode>
                <c:ptCount val="5"/>
                <c:pt idx="0">
                  <c:v>-0.36234828668842234</c:v>
                </c:pt>
                <c:pt idx="1">
                  <c:v>-0.67999918185887065</c:v>
                </c:pt>
                <c:pt idx="2">
                  <c:v>-0.48999973284565995</c:v>
                </c:pt>
                <c:pt idx="3">
                  <c:v>0</c:v>
                </c:pt>
                <c:pt idx="4">
                  <c:v>-2.9403589792570325E-7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F-441E-ACED-8C92DC3D25E8}"/>
            </c:ext>
          </c:extLst>
        </c:ser>
        <c:ser>
          <c:idx val="5"/>
          <c:order val="5"/>
          <c:tx>
            <c:strRef>
              <c:f>'Graf 32+33'!$N$11</c:f>
              <c:strCache>
                <c:ptCount val="1"/>
                <c:pt idx="0">
                  <c:v>Zmena jednorazových opatrení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32+33'!$P$11:$T$11</c15:sqref>
                  </c15:fullRef>
                </c:ext>
              </c:extLst>
              <c:f>'Graf 32+33'!$Q$11:$T$11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8F-441E-ACED-8C92DC3D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981360"/>
        <c:axId val="5059817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32+33'!$N$7</c15:sqref>
                        </c15:formulaRef>
                      </c:ext>
                    </c:extLst>
                    <c:strCache>
                      <c:ptCount val="1"/>
                      <c:pt idx="0">
                        <c:v>Návrh rozpočtového plánu na rok 2020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32+33'!$P$5:$U$5</c15:sqref>
                        </c15:fullRef>
                        <c15:formulaRef>
                          <c15:sqref>'Graf 32+33'!$Q$5:$U$5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32+33'!$P$7:$S$7</c15:sqref>
                        </c15:fullRef>
                        <c15:formulaRef>
                          <c15:sqref>'Graf 32+33'!$Q$7:$S$7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-1.5493995855584819</c:v>
                      </c:pt>
                      <c:pt idx="1">
                        <c:v>-0.89677298584209775</c:v>
                      </c:pt>
                      <c:pt idx="2">
                        <c:v>-0.50376653778628566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8E8F-441E-ACED-8C92DC3D25E8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'Graf 32+33'!$N$6</c15:sqref>
                        </c15:formulaRef>
                      </c:ext>
                    </c:extLst>
                    <c:strCache>
                      <c:ptCount val="1"/>
                      <c:pt idx="0">
                        <c:v>Program Stability 2019-2022</c:v>
                      </c:pt>
                    </c:strCache>
                  </c:strRef>
                </c:tx>
                <c:spPr>
                  <a:solidFill>
                    <a:srgbClr val="2C9AD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32+33'!$P$5:$U$5</c15:sqref>
                        </c15:fullRef>
                        <c15:formulaRef>
                          <c15:sqref>'Graf 32+33'!$Q$5:$U$5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32+33'!$P$6:$S$6</c15:sqref>
                        </c15:fullRef>
                        <c15:formulaRef>
                          <c15:sqref>'Graf 32+33'!$Q$6:$S$6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-1.0446831241312096</c:v>
                      </c:pt>
                      <c:pt idx="1">
                        <c:v>-0.4462209638173571</c:v>
                      </c:pt>
                      <c:pt idx="2">
                        <c:v>-0.43110242782119268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E8F-441E-ACED-8C92DC3D25E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2"/>
          <c:tx>
            <c:strRef>
              <c:f>'Graf 32+33'!$O$8</c:f>
              <c:strCache>
                <c:ptCount val="1"/>
                <c:pt idx="0">
                  <c:v>Structural balance revision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32+33'!$P$5:$U$5</c15:sqref>
                  </c15:fullRef>
                </c:ext>
              </c:extLst>
              <c:f>'Graf 32+33'!$Q$5:$U$5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32+33'!$P$8:$U$8</c15:sqref>
                  </c15:fullRef>
                </c:ext>
              </c:extLst>
              <c:f>'Graf 32+33'!$Q$8:$U$8</c:f>
              <c:numCache>
                <c:formatCode>0.0</c:formatCode>
                <c:ptCount val="5"/>
                <c:pt idx="0">
                  <c:v>-0.50471646142727233</c:v>
                </c:pt>
                <c:pt idx="1">
                  <c:v>-0.45055202202474065</c:v>
                </c:pt>
                <c:pt idx="2">
                  <c:v>-7.2664109965092982E-2</c:v>
                </c:pt>
                <c:pt idx="3">
                  <c:v>0.27621840214578763</c:v>
                </c:pt>
                <c:pt idx="4">
                  <c:v>4.1330799707324978E-2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8F-441E-ACED-8C92DC3D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81360"/>
        <c:axId val="505981752"/>
      </c:lineChart>
      <c:catAx>
        <c:axId val="50598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81752"/>
        <c:crosses val="autoZero"/>
        <c:auto val="1"/>
        <c:lblAlgn val="ctr"/>
        <c:lblOffset val="100"/>
        <c:noMultiLvlLbl val="0"/>
      </c:catAx>
      <c:valAx>
        <c:axId val="50598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50598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0451000606709697E-2"/>
          <c:y val="0.87100569562500263"/>
          <c:w val="0.95954908316526721"/>
          <c:h val="0.12899430437499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8.4437714516454598E-2"/>
          <c:w val="0.91819511922711805"/>
          <c:h val="0.79938104898816931"/>
        </c:manualLayout>
      </c:layout>
      <c:areaChart>
        <c:grouping val="stacked"/>
        <c:varyColors val="0"/>
        <c:ser>
          <c:idx val="3"/>
          <c:order val="0"/>
          <c:tx>
            <c:strRef>
              <c:f>'Graf 34'!$M$8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34'!$O$8:$T$8</c:f>
              <c:numCache>
                <c:formatCode>0.0</c:formatCode>
                <c:ptCount val="6"/>
                <c:pt idx="0">
                  <c:v>5.4</c:v>
                </c:pt>
                <c:pt idx="1">
                  <c:v>6.5993309791546784</c:v>
                </c:pt>
                <c:pt idx="2">
                  <c:v>5.6253270801620765</c:v>
                </c:pt>
                <c:pt idx="3">
                  <c:v>3.6422257726018956</c:v>
                </c:pt>
                <c:pt idx="4">
                  <c:v>3.3327225852992841</c:v>
                </c:pt>
                <c:pt idx="5">
                  <c:v>3.8273970984181047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94-4FAD-AC02-9EFF8E7585F0}"/>
            </c:ext>
          </c:extLst>
        </c:ser>
        <c:ser>
          <c:idx val="5"/>
          <c:order val="1"/>
          <c:tx>
            <c:strRef>
              <c:f>'Graf 34'!$M$9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rgbClr val="2C9ADC"/>
            </a:solidFill>
            <a:ln w="28575">
              <a:noFill/>
            </a:ln>
          </c:spP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34'!$O$9:$T$9</c:f>
              <c:numCache>
                <c:formatCode>0.0</c:formatCode>
                <c:ptCount val="6"/>
                <c:pt idx="0">
                  <c:v>4.3932519567296602E-2</c:v>
                </c:pt>
                <c:pt idx="1">
                  <c:v>2.1045154563578805E-2</c:v>
                </c:pt>
                <c:pt idx="2">
                  <c:v>1.2005872284566381</c:v>
                </c:pt>
                <c:pt idx="3">
                  <c:v>2.7620455511055435</c:v>
                </c:pt>
                <c:pt idx="4">
                  <c:v>2.2558913407298524</c:v>
                </c:pt>
                <c:pt idx="5">
                  <c:v>1.3279313761623102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94-4FAD-AC02-9EFF8E75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982536"/>
        <c:axId val="505982928"/>
      </c:areaChart>
      <c:lineChart>
        <c:grouping val="standard"/>
        <c:varyColors val="0"/>
        <c:ser>
          <c:idx val="1"/>
          <c:order val="2"/>
          <c:tx>
            <c:strRef>
              <c:f>'Graf 34'!$M$10</c:f>
              <c:strCache>
                <c:ptCount val="1"/>
                <c:pt idx="0">
                  <c:v>prognóza MF SR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34'!$O$10:$T$10</c:f>
              <c:numCache>
                <c:formatCode>0.0</c:formatCode>
                <c:ptCount val="6"/>
                <c:pt idx="0">
                  <c:v>5.443932519567297</c:v>
                </c:pt>
                <c:pt idx="1">
                  <c:v>6.5993309791546784</c:v>
                </c:pt>
                <c:pt idx="2">
                  <c:v>6.1225212488298926</c:v>
                </c:pt>
                <c:pt idx="3">
                  <c:v>4.307000818046518</c:v>
                </c:pt>
                <c:pt idx="4">
                  <c:v>4.8183054800664795</c:v>
                </c:pt>
                <c:pt idx="5">
                  <c:v>4.527920601147283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94-4FAD-AC02-9EFF8E7585F0}"/>
            </c:ext>
          </c:extLst>
        </c:ser>
        <c:ser>
          <c:idx val="0"/>
          <c:order val="3"/>
          <c:tx>
            <c:strRef>
              <c:f>'Graf 34'!$M$11</c:f>
              <c:strCache>
                <c:ptCount val="1"/>
                <c:pt idx="0">
                  <c:v>medián Výboru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34'!$O$11:$T$11</c:f>
              <c:numCache>
                <c:formatCode>0.0</c:formatCode>
                <c:ptCount val="6"/>
                <c:pt idx="0">
                  <c:v>5.4432491448034703</c:v>
                </c:pt>
                <c:pt idx="1">
                  <c:v>6.6019686382288532</c:v>
                </c:pt>
                <c:pt idx="2">
                  <c:v>6.3070142930231725</c:v>
                </c:pt>
                <c:pt idx="3">
                  <c:v>4.5665453691593125</c:v>
                </c:pt>
                <c:pt idx="4">
                  <c:v>4.6665571432025015</c:v>
                </c:pt>
                <c:pt idx="5">
                  <c:v>4.5187341108959096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694-4FAD-AC02-9EFF8E75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82536"/>
        <c:axId val="505982928"/>
      </c:lineChart>
      <c:catAx>
        <c:axId val="505982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82928"/>
        <c:crosses val="autoZero"/>
        <c:auto val="1"/>
        <c:lblAlgn val="ctr"/>
        <c:lblOffset val="100"/>
        <c:noMultiLvlLbl val="0"/>
      </c:catAx>
      <c:valAx>
        <c:axId val="5059829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8253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77260796945805E-2"/>
          <c:y val="9.2143117526975696E-2"/>
          <c:w val="0.33757112477728601"/>
          <c:h val="0.1114610673665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06E-2"/>
          <c:y val="8.4437714516454598E-2"/>
          <c:w val="0.91819511922711805"/>
          <c:h val="0.79938104898816931"/>
        </c:manualLayout>
      </c:layout>
      <c:areaChart>
        <c:grouping val="stacked"/>
        <c:varyColors val="0"/>
        <c:ser>
          <c:idx val="3"/>
          <c:order val="0"/>
          <c:tx>
            <c:strRef>
              <c:f>'Graf 34'!$M$8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 w="28575">
              <a:noFill/>
              <a:prstDash val="solid"/>
            </a:ln>
          </c:spP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34'!$O$8:$T$8</c:f>
              <c:numCache>
                <c:formatCode>0.0</c:formatCode>
                <c:ptCount val="6"/>
                <c:pt idx="0">
                  <c:v>5.4</c:v>
                </c:pt>
                <c:pt idx="1">
                  <c:v>6.5993309791546784</c:v>
                </c:pt>
                <c:pt idx="2">
                  <c:v>5.6253270801620765</c:v>
                </c:pt>
                <c:pt idx="3">
                  <c:v>3.6422257726018956</c:v>
                </c:pt>
                <c:pt idx="4">
                  <c:v>3.3327225852992841</c:v>
                </c:pt>
                <c:pt idx="5">
                  <c:v>3.8273970984181047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94-4FAD-AC02-9EFF8E7585F0}"/>
            </c:ext>
          </c:extLst>
        </c:ser>
        <c:ser>
          <c:idx val="5"/>
          <c:order val="1"/>
          <c:tx>
            <c:strRef>
              <c:f>'Graf 34'!$N$9</c:f>
              <c:strCache>
                <c:ptCount val="1"/>
                <c:pt idx="0">
                  <c:v>max-min</c:v>
                </c:pt>
              </c:strCache>
            </c:strRef>
          </c:tx>
          <c:spPr>
            <a:solidFill>
              <a:srgbClr val="2C9ADC"/>
            </a:solidFill>
            <a:ln w="28575">
              <a:noFill/>
            </a:ln>
          </c:spP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34'!$O$9:$T$9</c:f>
              <c:numCache>
                <c:formatCode>0.0</c:formatCode>
                <c:ptCount val="6"/>
                <c:pt idx="0">
                  <c:v>4.3932519567296602E-2</c:v>
                </c:pt>
                <c:pt idx="1">
                  <c:v>2.1045154563578805E-2</c:v>
                </c:pt>
                <c:pt idx="2">
                  <c:v>1.2005872284566381</c:v>
                </c:pt>
                <c:pt idx="3">
                  <c:v>2.7620455511055435</c:v>
                </c:pt>
                <c:pt idx="4">
                  <c:v>2.2558913407298524</c:v>
                </c:pt>
                <c:pt idx="5">
                  <c:v>1.3279313761623102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94-4FAD-AC02-9EFF8E75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983712"/>
        <c:axId val="505984104"/>
      </c:areaChart>
      <c:lineChart>
        <c:grouping val="standard"/>
        <c:varyColors val="0"/>
        <c:ser>
          <c:idx val="1"/>
          <c:order val="2"/>
          <c:tx>
            <c:strRef>
              <c:f>'Graf 34'!$N$10</c:f>
              <c:strCache>
                <c:ptCount val="1"/>
                <c:pt idx="0">
                  <c:v>MoF forecast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34'!$O$10:$T$10</c:f>
              <c:numCache>
                <c:formatCode>0.0</c:formatCode>
                <c:ptCount val="6"/>
                <c:pt idx="0">
                  <c:v>5.443932519567297</c:v>
                </c:pt>
                <c:pt idx="1">
                  <c:v>6.5993309791546784</c:v>
                </c:pt>
                <c:pt idx="2">
                  <c:v>6.1225212488298926</c:v>
                </c:pt>
                <c:pt idx="3">
                  <c:v>4.307000818046518</c:v>
                </c:pt>
                <c:pt idx="4">
                  <c:v>4.8183054800664795</c:v>
                </c:pt>
                <c:pt idx="5">
                  <c:v>4.527920601147283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94-4FAD-AC02-9EFF8E7585F0}"/>
            </c:ext>
          </c:extLst>
        </c:ser>
        <c:ser>
          <c:idx val="0"/>
          <c:order val="3"/>
          <c:tx>
            <c:strRef>
              <c:f>'Graf 34'!$N$11</c:f>
              <c:strCache>
                <c:ptCount val="1"/>
                <c:pt idx="0">
                  <c:v>MFC median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'Graf 34'!$O$7:$T$7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34'!$O$11:$T$11</c:f>
              <c:numCache>
                <c:formatCode>0.0</c:formatCode>
                <c:ptCount val="6"/>
                <c:pt idx="0">
                  <c:v>5.4432491448034703</c:v>
                </c:pt>
                <c:pt idx="1">
                  <c:v>6.6019686382288532</c:v>
                </c:pt>
                <c:pt idx="2">
                  <c:v>6.3070142930231725</c:v>
                </c:pt>
                <c:pt idx="3">
                  <c:v>4.5665453691593125</c:v>
                </c:pt>
                <c:pt idx="4">
                  <c:v>4.6665571432025015</c:v>
                </c:pt>
                <c:pt idx="5">
                  <c:v>4.5187341108959096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694-4FAD-AC02-9EFF8E75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83712"/>
        <c:axId val="505984104"/>
      </c:lineChart>
      <c:catAx>
        <c:axId val="50598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84104"/>
        <c:crosses val="autoZero"/>
        <c:auto val="1"/>
        <c:lblAlgn val="ctr"/>
        <c:lblOffset val="100"/>
        <c:noMultiLvlLbl val="0"/>
      </c:catAx>
      <c:valAx>
        <c:axId val="50598410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50598371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77260796945805E-2"/>
          <c:y val="9.2143117526975696E-2"/>
          <c:w val="0.33757112477728601"/>
          <c:h val="0.1114610673665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3+4'!$K$9</c:f>
              <c:strCache>
                <c:ptCount val="1"/>
                <c:pt idx="0">
                  <c:v>private 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3+4'!$L$9:$Q$9</c:f>
              <c:numCache>
                <c:formatCode>0.0</c:formatCode>
                <c:ptCount val="6"/>
                <c:pt idx="0">
                  <c:v>2.3779820599251282</c:v>
                </c:pt>
                <c:pt idx="1">
                  <c:v>2.1530631606671147</c:v>
                </c:pt>
                <c:pt idx="2">
                  <c:v>0.86794837889932497</c:v>
                </c:pt>
                <c:pt idx="3">
                  <c:v>1.0766686566403971</c:v>
                </c:pt>
                <c:pt idx="4">
                  <c:v>1.2832161769719417</c:v>
                </c:pt>
                <c:pt idx="5">
                  <c:v>1.0647582266554541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6D-456C-AE46-43B79A611F9D}"/>
            </c:ext>
          </c:extLst>
        </c:ser>
        <c:ser>
          <c:idx val="2"/>
          <c:order val="2"/>
          <c:tx>
            <c:strRef>
              <c:f>'Graf 3+4'!$K$10</c:f>
              <c:strCache>
                <c:ptCount val="1"/>
                <c:pt idx="0">
                  <c:v>public consumption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3+4'!$L$10:$Q$10</c:f>
              <c:numCache>
                <c:formatCode>0.0</c:formatCode>
                <c:ptCount val="6"/>
                <c:pt idx="0">
                  <c:v>0.19123571852292412</c:v>
                </c:pt>
                <c:pt idx="1">
                  <c:v>4.1884331952471647E-2</c:v>
                </c:pt>
                <c:pt idx="2">
                  <c:v>0.55327031145336303</c:v>
                </c:pt>
                <c:pt idx="3">
                  <c:v>0.19770362452170709</c:v>
                </c:pt>
                <c:pt idx="4">
                  <c:v>0.22447169213698923</c:v>
                </c:pt>
                <c:pt idx="5">
                  <c:v>0.29745936147768137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6D-456C-AE46-43B79A611F9D}"/>
            </c:ext>
          </c:extLst>
        </c:ser>
        <c:ser>
          <c:idx val="3"/>
          <c:order val="3"/>
          <c:tx>
            <c:strRef>
              <c:f>'Graf 3+4'!$K$11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3+4'!$L$11:$Q$11</c:f>
              <c:numCache>
                <c:formatCode>0.0</c:formatCode>
                <c:ptCount val="6"/>
                <c:pt idx="0">
                  <c:v>0.81987595270107738</c:v>
                </c:pt>
                <c:pt idx="1">
                  <c:v>0.77955939743660452</c:v>
                </c:pt>
                <c:pt idx="2">
                  <c:v>0.42716705749149619</c:v>
                </c:pt>
                <c:pt idx="3">
                  <c:v>0.80854349548855131</c:v>
                </c:pt>
                <c:pt idx="4">
                  <c:v>0.74989340172801877</c:v>
                </c:pt>
                <c:pt idx="5">
                  <c:v>0.85906284831304325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6D-456C-AE46-43B79A611F9D}"/>
            </c:ext>
          </c:extLst>
        </c:ser>
        <c:ser>
          <c:idx val="4"/>
          <c:order val="4"/>
          <c:tx>
            <c:strRef>
              <c:f>'Graf 3+4'!$K$12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3+4'!$L$12:$Q$12</c:f>
              <c:numCache>
                <c:formatCode>0.0</c:formatCode>
                <c:ptCount val="6"/>
                <c:pt idx="0">
                  <c:v>-0.17846252547240357</c:v>
                </c:pt>
                <c:pt idx="1">
                  <c:v>0.54368257626325478</c:v>
                </c:pt>
                <c:pt idx="2">
                  <c:v>-0.18866819532916823</c:v>
                </c:pt>
                <c:pt idx="3">
                  <c:v>1.503452001419834</c:v>
                </c:pt>
                <c:pt idx="4">
                  <c:v>1.1269331176345876</c:v>
                </c:pt>
                <c:pt idx="5">
                  <c:v>0.71538779460115676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D-456C-AE46-43B79A611F9D}"/>
            </c:ext>
          </c:extLst>
        </c:ser>
        <c:ser>
          <c:idx val="5"/>
          <c:order val="5"/>
          <c:tx>
            <c:strRef>
              <c:f>'Graf 3+4'!$K$13</c:f>
              <c:strCache>
                <c:ptCount val="1"/>
                <c:pt idx="0">
                  <c:v>inventories and stat. disc.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3+4'!$L$13:$Q$13</c:f>
              <c:numCache>
                <c:formatCode>0.0</c:formatCode>
                <c:ptCount val="6"/>
                <c:pt idx="0">
                  <c:v>-0.16990286553893119</c:v>
                </c:pt>
                <c:pt idx="1">
                  <c:v>0.51551357706520573</c:v>
                </c:pt>
                <c:pt idx="2">
                  <c:v>0.77954990595710738</c:v>
                </c:pt>
                <c:pt idx="3">
                  <c:v>-1.3268099466795409</c:v>
                </c:pt>
                <c:pt idx="4">
                  <c:v>-0.62271831837596248</c:v>
                </c:pt>
                <c:pt idx="5">
                  <c:v>-0.23019432718050092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109096"/>
        <c:axId val="488113408"/>
      </c:barChart>
      <c:lineChart>
        <c:grouping val="standard"/>
        <c:varyColors val="0"/>
        <c:ser>
          <c:idx val="0"/>
          <c:order val="0"/>
          <c:tx>
            <c:strRef>
              <c:f>'Graf 3+4'!$K$8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3+4'!$L$7:$Q$7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3+4'!$L$8:$Q$8</c:f>
              <c:numCache>
                <c:formatCode>0.0</c:formatCode>
                <c:ptCount val="6"/>
                <c:pt idx="0">
                  <c:v>3.0407283401377949</c:v>
                </c:pt>
                <c:pt idx="1">
                  <c:v>4.0337030433846515</c:v>
                </c:pt>
                <c:pt idx="2">
                  <c:v>2.4392674584721252</c:v>
                </c:pt>
                <c:pt idx="3">
                  <c:v>2.2595578313909477</c:v>
                </c:pt>
                <c:pt idx="4">
                  <c:v>2.7617960700955697</c:v>
                </c:pt>
                <c:pt idx="5">
                  <c:v>2.7064739038668408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96D-456C-AE46-43B79A611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09096"/>
        <c:axId val="488113408"/>
      </c:lineChart>
      <c:catAx>
        <c:axId val="48810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488113408"/>
        <c:crosses val="autoZero"/>
        <c:auto val="1"/>
        <c:lblAlgn val="ctr"/>
        <c:lblOffset val="100"/>
        <c:noMultiLvlLbl val="0"/>
      </c:catAx>
      <c:valAx>
        <c:axId val="488113408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48810909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"/>
          <c:y val="0.74005565717392408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98434917857495E-2"/>
          <c:y val="4.5901882699239803E-2"/>
          <c:w val="0.81812983523330596"/>
          <c:h val="0.6157087211233790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3+4'!$K$19</c:f>
              <c:strCache>
                <c:ptCount val="1"/>
                <c:pt idx="0">
                  <c:v>Without VW + JLR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3+4'!$L$19:$Q$19</c:f>
              <c:numCache>
                <c:formatCode>0.0</c:formatCode>
                <c:ptCount val="6"/>
                <c:pt idx="0">
                  <c:v>3.0647367155260885</c:v>
                </c:pt>
                <c:pt idx="1">
                  <c:v>3.3517828942347312</c:v>
                </c:pt>
                <c:pt idx="2">
                  <c:v>2.1925440988373692</c:v>
                </c:pt>
                <c:pt idx="3">
                  <c:v>1.8167082912513506</c:v>
                </c:pt>
                <c:pt idx="4">
                  <c:v>2.4459030567576581</c:v>
                </c:pt>
                <c:pt idx="5">
                  <c:v>2.7490220356119739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99-42E2-81CB-3C4D97C4BFAF}"/>
            </c:ext>
          </c:extLst>
        </c:ser>
        <c:ser>
          <c:idx val="2"/>
          <c:order val="2"/>
          <c:tx>
            <c:strRef>
              <c:f>'Graf 3+4'!$K$20</c:f>
              <c:strCache>
                <c:ptCount val="1"/>
                <c:pt idx="0">
                  <c:v>Impact of vW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3+4'!$L$20:$Q$20</c:f>
              <c:numCache>
                <c:formatCode>0.0</c:formatCode>
                <c:ptCount val="6"/>
                <c:pt idx="0">
                  <c:v>-0.12154209972238099</c:v>
                </c:pt>
                <c:pt idx="1">
                  <c:v>0.40216501348481293</c:v>
                </c:pt>
                <c:pt idx="2">
                  <c:v>0.32941685053672043</c:v>
                </c:pt>
                <c:pt idx="3">
                  <c:v>-1.6658238013912856E-2</c:v>
                </c:pt>
                <c:pt idx="4">
                  <c:v>-1.8264122493139974E-2</c:v>
                </c:pt>
                <c:pt idx="5">
                  <c:v>-1.8910280775616291E-2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99-42E2-81CB-3C4D97C4BFAF}"/>
            </c:ext>
          </c:extLst>
        </c:ser>
        <c:ser>
          <c:idx val="3"/>
          <c:order val="3"/>
          <c:tx>
            <c:strRef>
              <c:f>'Graf 3+4'!$K$21</c:f>
              <c:strCache>
                <c:ptCount val="1"/>
                <c:pt idx="0">
                  <c:v>Impact of JLR</c:v>
                </c:pt>
              </c:strCache>
            </c:strRef>
          </c:tx>
          <c:spPr>
            <a:solidFill>
              <a:srgbClr val="C6D9F1"/>
            </a:solidFill>
          </c:spPr>
          <c:invertIfNegative val="0"/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3+4'!$L$21:$Q$21</c:f>
              <c:numCache>
                <c:formatCode>0.0</c:formatCode>
                <c:ptCount val="6"/>
                <c:pt idx="0">
                  <c:v>9.7533724334067748E-2</c:v>
                </c:pt>
                <c:pt idx="1">
                  <c:v>0.27975513566513804</c:v>
                </c:pt>
                <c:pt idx="2">
                  <c:v>-8.2693490901993752E-2</c:v>
                </c:pt>
                <c:pt idx="3">
                  <c:v>0.45950777815351462</c:v>
                </c:pt>
                <c:pt idx="4">
                  <c:v>0.33415713583106738</c:v>
                </c:pt>
                <c:pt idx="5">
                  <c:v>-2.3637850969520365E-2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99-42E2-81CB-3C4D97C4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111840"/>
        <c:axId val="488114192"/>
      </c:barChart>
      <c:lineChart>
        <c:grouping val="standard"/>
        <c:varyColors val="0"/>
        <c:ser>
          <c:idx val="0"/>
          <c:order val="0"/>
          <c:tx>
            <c:strRef>
              <c:f>'Graf 3+4'!$K$18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3.4345436507936505E-2"/>
                  <c:y val="-7.1128888888888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F99-42E2-81CB-3C4D97C4BFAF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3+4'!$L$17:$Q$17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3+4'!$L$18:$Q$18</c:f>
              <c:numCache>
                <c:formatCode>0.0</c:formatCode>
                <c:ptCount val="6"/>
                <c:pt idx="0">
                  <c:v>3.0407283401377994</c:v>
                </c:pt>
                <c:pt idx="1">
                  <c:v>4.0337030433846399</c:v>
                </c:pt>
                <c:pt idx="2">
                  <c:v>2.4392674584721163</c:v>
                </c:pt>
                <c:pt idx="3">
                  <c:v>2.259557831390957</c:v>
                </c:pt>
                <c:pt idx="4">
                  <c:v>2.7617960700955679</c:v>
                </c:pt>
                <c:pt idx="5">
                  <c:v>2.7064739038668462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F99-42E2-81CB-3C4D97C4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11840"/>
        <c:axId val="488114192"/>
      </c:lineChart>
      <c:catAx>
        <c:axId val="4881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b="0"/>
            </a:pPr>
            <a:endParaRPr lang="sk-SK"/>
          </a:p>
        </c:txPr>
        <c:crossAx val="488114192"/>
        <c:crosses val="autoZero"/>
        <c:auto val="1"/>
        <c:lblAlgn val="ctr"/>
        <c:lblOffset val="100"/>
        <c:noMultiLvlLbl val="0"/>
      </c:catAx>
      <c:valAx>
        <c:axId val="488114192"/>
        <c:scaling>
          <c:orientation val="minMax"/>
          <c:max val="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48811184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7.5595238095238094E-3"/>
          <c:y val="0.74005572727679969"/>
          <c:w val="0.97757243517401204"/>
          <c:h val="0.2239069124772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8661417322853E-2"/>
          <c:y val="5.3691275167785234E-2"/>
          <c:w val="0.89423578302712159"/>
          <c:h val="0.63745811974845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5'!$J$11</c:f>
              <c:strCache>
                <c:ptCount val="1"/>
                <c:pt idx="0">
                  <c:v>súkromná spotreba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5'!$L$11:$S$11</c:f>
              <c:numCache>
                <c:formatCode>0.0</c:formatCode>
                <c:ptCount val="8"/>
                <c:pt idx="0">
                  <c:v>1.1385263332316005</c:v>
                </c:pt>
                <c:pt idx="1">
                  <c:v>1.5236701611293524</c:v>
                </c:pt>
                <c:pt idx="2">
                  <c:v>1.4683706871110611</c:v>
                </c:pt>
                <c:pt idx="3">
                  <c:v>2.1003997607869747</c:v>
                </c:pt>
                <c:pt idx="4">
                  <c:v>1.7532864883066996</c:v>
                </c:pt>
                <c:pt idx="5">
                  <c:v>2.3779820599251282</c:v>
                </c:pt>
                <c:pt idx="6">
                  <c:v>1.5162192160969055</c:v>
                </c:pt>
                <c:pt idx="7">
                  <c:v>2.1530631606671147</c:v>
                </c:pt>
              </c:numCache>
            </c:numRef>
          </c:val>
        </c:ser>
        <c:ser>
          <c:idx val="1"/>
          <c:order val="1"/>
          <c:tx>
            <c:strRef>
              <c:f>'Graf 5'!$J$12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5'!$L$12:$S$12</c:f>
              <c:numCache>
                <c:formatCode>0.0</c:formatCode>
                <c:ptCount val="8"/>
                <c:pt idx="0">
                  <c:v>4.5209472358232823</c:v>
                </c:pt>
                <c:pt idx="1">
                  <c:v>4.4107355157208392</c:v>
                </c:pt>
                <c:pt idx="2">
                  <c:v>-2.2926655784353693</c:v>
                </c:pt>
                <c:pt idx="3">
                  <c:v>-2.2166147735684811</c:v>
                </c:pt>
                <c:pt idx="4">
                  <c:v>0.73601000223003432</c:v>
                </c:pt>
                <c:pt idx="5">
                  <c:v>0.81987595270107738</c:v>
                </c:pt>
                <c:pt idx="6">
                  <c:v>1.4383267091353273</c:v>
                </c:pt>
                <c:pt idx="7">
                  <c:v>0.77955939743660452</c:v>
                </c:pt>
              </c:numCache>
            </c:numRef>
          </c:val>
        </c:ser>
        <c:ser>
          <c:idx val="2"/>
          <c:order val="2"/>
          <c:tx>
            <c:strRef>
              <c:f>'Graf 5'!$J$13</c:f>
              <c:strCache>
                <c:ptCount val="1"/>
                <c:pt idx="0">
                  <c:v>verejná spotreba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5'!$L$13:$S$13</c:f>
              <c:numCache>
                <c:formatCode>0.0</c:formatCode>
                <c:ptCount val="8"/>
                <c:pt idx="0">
                  <c:v>0.97573589810080308</c:v>
                </c:pt>
                <c:pt idx="1">
                  <c:v>0.98995472907686</c:v>
                </c:pt>
                <c:pt idx="2">
                  <c:v>0.29015575301738744</c:v>
                </c:pt>
                <c:pt idx="3">
                  <c:v>0.34974085046404896</c:v>
                </c:pt>
                <c:pt idx="4">
                  <c:v>0.30950561530634385</c:v>
                </c:pt>
                <c:pt idx="5">
                  <c:v>0.19123571852292412</c:v>
                </c:pt>
                <c:pt idx="6">
                  <c:v>0.34441671543929392</c:v>
                </c:pt>
                <c:pt idx="7">
                  <c:v>4.1884331952471647E-2</c:v>
                </c:pt>
              </c:numCache>
            </c:numRef>
          </c:val>
        </c:ser>
        <c:ser>
          <c:idx val="3"/>
          <c:order val="3"/>
          <c:tx>
            <c:strRef>
              <c:f>'Graf 5'!$J$14</c:f>
              <c:strCache>
                <c:ptCount val="1"/>
                <c:pt idx="0">
                  <c:v>čistý export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5'!$L$14:$S$14</c:f>
              <c:numCache>
                <c:formatCode>0.0</c:formatCode>
                <c:ptCount val="8"/>
                <c:pt idx="0">
                  <c:v>-1.4291548225145227</c:v>
                </c:pt>
                <c:pt idx="1">
                  <c:v>-1.30969640292226</c:v>
                </c:pt>
                <c:pt idx="2">
                  <c:v>2.0919567415502693</c:v>
                </c:pt>
                <c:pt idx="3">
                  <c:v>0.3294620573047381</c:v>
                </c:pt>
                <c:pt idx="4">
                  <c:v>0.8957207765266415</c:v>
                </c:pt>
                <c:pt idx="5">
                  <c:v>-0.17846252547240357</c:v>
                </c:pt>
                <c:pt idx="6">
                  <c:v>-0.10550043612685023</c:v>
                </c:pt>
                <c:pt idx="7">
                  <c:v>0.54368257626325478</c:v>
                </c:pt>
              </c:numCache>
            </c:numRef>
          </c:val>
        </c:ser>
        <c:ser>
          <c:idx val="4"/>
          <c:order val="4"/>
          <c:tx>
            <c:strRef>
              <c:f>'Graf 5'!$J$15</c:f>
              <c:strCache>
                <c:ptCount val="1"/>
                <c:pt idx="0">
                  <c:v>zásoby a štat. disk.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5'!$L$15:$S$15</c:f>
              <c:numCache>
                <c:formatCode>0.0</c:formatCode>
                <c:ptCount val="8"/>
                <c:pt idx="0">
                  <c:v>-1.0311814473756806</c:v>
                </c:pt>
                <c:pt idx="1">
                  <c:v>-0.79274549697481245</c:v>
                </c:pt>
                <c:pt idx="2">
                  <c:v>1.5675925014763017</c:v>
                </c:pt>
                <c:pt idx="3">
                  <c:v>1.560475325683776</c:v>
                </c:pt>
                <c:pt idx="4">
                  <c:v>-0.50618182783510113</c:v>
                </c:pt>
                <c:pt idx="5">
                  <c:v>-0.16990286553893119</c:v>
                </c:pt>
                <c:pt idx="6">
                  <c:v>0.91558737795747769</c:v>
                </c:pt>
                <c:pt idx="7">
                  <c:v>0.51551357706520573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996000"/>
        <c:axId val="488996392"/>
      </c:barChart>
      <c:lineChart>
        <c:grouping val="standard"/>
        <c:varyColors val="0"/>
        <c:ser>
          <c:idx val="5"/>
          <c:order val="5"/>
          <c:tx>
            <c:strRef>
              <c:f>'Graf 5'!$J$16</c:f>
              <c:strCache>
                <c:ptCount val="1"/>
                <c:pt idx="0">
                  <c:v>HDP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'Graf 5'!$L$6:$S$8</c:f>
              <c:multiLvlStrCache>
                <c:ptCount val="8"/>
                <c:lvl>
                  <c:pt idx="0">
                    <c:v>pred</c:v>
                  </c:pt>
                  <c:pt idx="1">
                    <c:v>po</c:v>
                  </c:pt>
                  <c:pt idx="2">
                    <c:v>pred</c:v>
                  </c:pt>
                  <c:pt idx="3">
                    <c:v>po</c:v>
                  </c:pt>
                  <c:pt idx="4">
                    <c:v>pred</c:v>
                  </c:pt>
                  <c:pt idx="5">
                    <c:v>po</c:v>
                  </c:pt>
                  <c:pt idx="6">
                    <c:v>pred</c:v>
                  </c:pt>
                  <c:pt idx="7">
                    <c:v>po</c:v>
                  </c:pt>
                </c:lvl>
                <c:lvl>
                  <c:pt idx="0">
                    <c:v>2015</c:v>
                  </c:pt>
                  <c:pt idx="2">
                    <c:v>2016</c:v>
                  </c:pt>
                  <c:pt idx="4">
                    <c:v>2017</c:v>
                  </c:pt>
                  <c:pt idx="6">
                    <c:v>2018</c:v>
                  </c:pt>
                </c:lvl>
              </c:multiLvlStrCache>
            </c:multiLvlStrRef>
          </c:cat>
          <c:val>
            <c:numRef>
              <c:f>'Graf 5'!$L$16:$S$16</c:f>
              <c:numCache>
                <c:formatCode>0.0</c:formatCode>
                <c:ptCount val="8"/>
                <c:pt idx="0">
                  <c:v>4.174873197265482</c:v>
                </c:pt>
                <c:pt idx="1">
                  <c:v>4.8219185060299798</c:v>
                </c:pt>
                <c:pt idx="2">
                  <c:v>3.1254101047196503</c:v>
                </c:pt>
                <c:pt idx="3">
                  <c:v>2.1234632206710566</c:v>
                </c:pt>
                <c:pt idx="4">
                  <c:v>3.188341054534618</c:v>
                </c:pt>
                <c:pt idx="5">
                  <c:v>3.0407283401377949</c:v>
                </c:pt>
                <c:pt idx="6">
                  <c:v>4.1090495825021538</c:v>
                </c:pt>
                <c:pt idx="7">
                  <c:v>4.0337030433846515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96000"/>
        <c:axId val="488996392"/>
      </c:lineChart>
      <c:catAx>
        <c:axId val="4889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996392"/>
        <c:crosses val="autoZero"/>
        <c:auto val="1"/>
        <c:lblAlgn val="ctr"/>
        <c:lblOffset val="100"/>
        <c:noMultiLvlLbl val="0"/>
      </c:catAx>
      <c:valAx>
        <c:axId val="48899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899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"/>
          <c:y val="0.85409748278109532"/>
          <c:w val="0.74444444444444446"/>
          <c:h val="0.13063115432718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hyperlink" Target="#'Obsah'!A1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hyperlink" Target="#Obsah!A1"/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hyperlink" Target="#Obsah!A1"/><Relationship Id="rId1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hyperlink" Target="#'Obsah'!A1"/><Relationship Id="rId1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hyperlink" Target="#'Obsah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hyperlink" Target="#'Obsah'!A1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hyperlink" Target="#'Obsah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hyperlink" Target="#'Obsah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hyperlink" Target="#'Obsah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hyperlink" Target="#'Obsah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hyperlink" Target="#'Obsah'!A1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Obsah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hyperlink" Target="#'Obsah'!A1"/><Relationship Id="rId1" Type="http://schemas.openxmlformats.org/officeDocument/2006/relationships/chart" Target="../charts/chart56.xml"/><Relationship Id="rId4" Type="http://schemas.openxmlformats.org/officeDocument/2006/relationships/chart" Target="../charts/chart5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'Obsah'!A1"/><Relationship Id="rId1" Type="http://schemas.openxmlformats.org/officeDocument/2006/relationships/chart" Target="../charts/chart59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hyperlink" Target="#'Obsah'!A1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hyperlink" Target="#'Obsah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'Obsah'!A1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'Obsah'!A1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Obsah!A1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hyperlink" Target="#Obsah!A1"/><Relationship Id="rId1" Type="http://schemas.openxmlformats.org/officeDocument/2006/relationships/chart" Target="../charts/chart21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107950</xdr:rowOff>
    </xdr:from>
    <xdr:to>
      <xdr:col>2</xdr:col>
      <xdr:colOff>203200</xdr:colOff>
      <xdr:row>2</xdr:row>
      <xdr:rowOff>171450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61150" y="1079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409575</xdr:colOff>
      <xdr:row>5</xdr:row>
      <xdr:rowOff>66675</xdr:rowOff>
    </xdr:from>
    <xdr:to>
      <xdr:col>7</xdr:col>
      <xdr:colOff>9525</xdr:colOff>
      <xdr:row>21</xdr:row>
      <xdr:rowOff>76200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350520</xdr:colOff>
      <xdr:row>26</xdr:row>
      <xdr:rowOff>106680</xdr:rowOff>
    </xdr:from>
    <xdr:to>
      <xdr:col>6</xdr:col>
      <xdr:colOff>3486150</xdr:colOff>
      <xdr:row>44</xdr:row>
      <xdr:rowOff>17145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762000</xdr:colOff>
      <xdr:row>2</xdr:row>
      <xdr:rowOff>111125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228600" y="161925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1417320</xdr:colOff>
      <xdr:row>24</xdr:row>
      <xdr:rowOff>137160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1596389</xdr:colOff>
      <xdr:row>5</xdr:row>
      <xdr:rowOff>11431</xdr:rowOff>
    </xdr:from>
    <xdr:to>
      <xdr:col>8</xdr:col>
      <xdr:colOff>480060</xdr:colOff>
      <xdr:row>23</xdr:row>
      <xdr:rowOff>144781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5</xdr:row>
      <xdr:rowOff>60960</xdr:rowOff>
    </xdr:from>
    <xdr:to>
      <xdr:col>16</xdr:col>
      <xdr:colOff>312420</xdr:colOff>
      <xdr:row>25</xdr:row>
      <xdr:rowOff>22860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213360</xdr:colOff>
      <xdr:row>5</xdr:row>
      <xdr:rowOff>38100</xdr:rowOff>
    </xdr:from>
    <xdr:to>
      <xdr:col>22</xdr:col>
      <xdr:colOff>461011</xdr:colOff>
      <xdr:row>23</xdr:row>
      <xdr:rowOff>171450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792480</xdr:colOff>
      <xdr:row>13</xdr:row>
      <xdr:rowOff>99060</xdr:rowOff>
    </xdr:from>
    <xdr:to>
      <xdr:col>7</xdr:col>
      <xdr:colOff>228600</xdr:colOff>
      <xdr:row>24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0</xdr:col>
      <xdr:colOff>682625</xdr:colOff>
      <xdr:row>3</xdr:row>
      <xdr:rowOff>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365760"/>
          <a:ext cx="682625" cy="27432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7</xdr:col>
      <xdr:colOff>861060</xdr:colOff>
      <xdr:row>13</xdr:row>
      <xdr:rowOff>76200</xdr:rowOff>
    </xdr:from>
    <xdr:to>
      <xdr:col>16</xdr:col>
      <xdr:colOff>144780</xdr:colOff>
      <xdr:row>24</xdr:row>
      <xdr:rowOff>106680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38100</xdr:rowOff>
    </xdr:from>
    <xdr:to>
      <xdr:col>6</xdr:col>
      <xdr:colOff>228600</xdr:colOff>
      <xdr:row>30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91440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0" y="0"/>
          <a:ext cx="682625" cy="27432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6</xdr:col>
      <xdr:colOff>182880</xdr:colOff>
      <xdr:row>15</xdr:row>
      <xdr:rowOff>15240</xdr:rowOff>
    </xdr:from>
    <xdr:to>
      <xdr:col>13</xdr:col>
      <xdr:colOff>487680</xdr:colOff>
      <xdr:row>30</xdr:row>
      <xdr:rowOff>15240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60400" y="26035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95249</xdr:rowOff>
    </xdr:from>
    <xdr:to>
      <xdr:col>9</xdr:col>
      <xdr:colOff>9525</xdr:colOff>
      <xdr:row>21</xdr:row>
      <xdr:rowOff>47625</xdr:rowOff>
    </xdr:to>
    <xdr:graphicFrame macro="">
      <xdr:nvGraphicFramePr>
        <xdr:cNvPr id="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8489950" y="7556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152400</xdr:colOff>
      <xdr:row>23</xdr:row>
      <xdr:rowOff>144780</xdr:rowOff>
    </xdr:from>
    <xdr:to>
      <xdr:col>8</xdr:col>
      <xdr:colOff>533400</xdr:colOff>
      <xdr:row>40</xdr:row>
      <xdr:rowOff>104776</xdr:rowOff>
    </xdr:to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0.26485</cdr:x>
      <cdr:y>0.16818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146" y="113713"/>
          <a:ext cx="71428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0.03987</cdr:x>
      <cdr:y>0.8193</cdr:y>
    </cdr:from>
    <cdr:to>
      <cdr:x>0.31481</cdr:x>
      <cdr:y>0.91953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957" y="2231895"/>
          <a:ext cx="1351303" cy="27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0.32134</cdr:x>
      <cdr:y>0</cdr:y>
    </cdr:from>
    <cdr:to>
      <cdr:x>0.37873</cdr:x>
      <cdr:y>0.53497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991713" y="587630"/>
          <a:ext cx="1457326" cy="282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</a:t>
          </a:r>
        </a:p>
      </cdr:txBody>
    </cdr:sp>
  </cdr:relSizeAnchor>
  <cdr:relSizeAnchor xmlns:cdr="http://schemas.openxmlformats.org/drawingml/2006/chartDrawing">
    <cdr:from>
      <cdr:x>0.7381</cdr:x>
      <cdr:y>0.03677</cdr:y>
    </cdr:from>
    <cdr:to>
      <cdr:x>0.95842</cdr:x>
      <cdr:y>0.19318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7475" y="123281"/>
          <a:ext cx="793269" cy="5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0.75423</cdr:x>
      <cdr:y>0.87077</cdr:y>
    </cdr:from>
    <cdr:to>
      <cdr:x>0.96697</cdr:x>
      <cdr:y>0.971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405" y="2566185"/>
          <a:ext cx="1081260" cy="29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0.03422</cdr:x>
      <cdr:y>0.49395</cdr:y>
    </cdr:from>
    <cdr:to>
      <cdr:x>0.49921</cdr:x>
      <cdr:y>0.54456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68207" y="1345605"/>
          <a:ext cx="2285380" cy="137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Produčná medzera (% HDP)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0.03622</cdr:x>
      <cdr:y>0.03826</cdr:y>
    </cdr:from>
    <cdr:to>
      <cdr:x>0.26485</cdr:x>
      <cdr:y>0.16818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146" y="113713"/>
          <a:ext cx="714286" cy="3860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0.03987</cdr:x>
      <cdr:y>0.8193</cdr:y>
    </cdr:from>
    <cdr:to>
      <cdr:x>0.31481</cdr:x>
      <cdr:y>0.91953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957" y="2231895"/>
          <a:ext cx="1351303" cy="273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0.32134</cdr:x>
      <cdr:y>0</cdr:y>
    </cdr:from>
    <cdr:to>
      <cdr:x>0.37873</cdr:x>
      <cdr:y>0.53497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991713" y="587630"/>
          <a:ext cx="1457326" cy="282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anchorCtr="1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</a:t>
          </a:r>
        </a:p>
      </cdr:txBody>
    </cdr:sp>
  </cdr:relSizeAnchor>
  <cdr:relSizeAnchor xmlns:cdr="http://schemas.openxmlformats.org/drawingml/2006/chartDrawing">
    <cdr:from>
      <cdr:x>0.7381</cdr:x>
      <cdr:y>0.03677</cdr:y>
    </cdr:from>
    <cdr:to>
      <cdr:x>0.95842</cdr:x>
      <cdr:y>0.19318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7475" y="123281"/>
          <a:ext cx="793269" cy="524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</a:t>
          </a:r>
        </a:p>
      </cdr:txBody>
    </cdr:sp>
  </cdr:relSizeAnchor>
  <cdr:relSizeAnchor xmlns:cdr="http://schemas.openxmlformats.org/drawingml/2006/chartDrawing">
    <cdr:from>
      <cdr:x>0.75423</cdr:x>
      <cdr:y>0.87077</cdr:y>
    </cdr:from>
    <cdr:to>
      <cdr:x>0.96697</cdr:x>
      <cdr:y>0.971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3405" y="2566185"/>
          <a:ext cx="1081260" cy="29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</a:t>
          </a:r>
        </a:p>
      </cdr:txBody>
    </cdr:sp>
  </cdr:relSizeAnchor>
  <cdr:relSizeAnchor xmlns:cdr="http://schemas.openxmlformats.org/drawingml/2006/chartDrawing">
    <cdr:from>
      <cdr:x>0.03422</cdr:x>
      <cdr:y>0.49395</cdr:y>
    </cdr:from>
    <cdr:to>
      <cdr:x>0.49921</cdr:x>
      <cdr:y>0.54456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68207" y="1345605"/>
          <a:ext cx="2285380" cy="137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Produčná medzera (% HDP)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17550" y="260350"/>
          <a:ext cx="619125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647699</xdr:colOff>
      <xdr:row>5</xdr:row>
      <xdr:rowOff>9525</xdr:rowOff>
    </xdr:from>
    <xdr:to>
      <xdr:col>8</xdr:col>
      <xdr:colOff>66674</xdr:colOff>
      <xdr:row>20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657225</xdr:colOff>
      <xdr:row>19</xdr:row>
      <xdr:rowOff>123825</xdr:rowOff>
    </xdr:from>
    <xdr:to>
      <xdr:col>8</xdr:col>
      <xdr:colOff>76200</xdr:colOff>
      <xdr:row>36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142875</xdr:rowOff>
    </xdr:from>
    <xdr:to>
      <xdr:col>11</xdr:col>
      <xdr:colOff>400050</xdr:colOff>
      <xdr:row>23</xdr:row>
      <xdr:rowOff>3384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</xdr:colOff>
      <xdr:row>1</xdr:row>
      <xdr:rowOff>34925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19125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304800</xdr:colOff>
      <xdr:row>25</xdr:row>
      <xdr:rowOff>38100</xdr:rowOff>
    </xdr:from>
    <xdr:to>
      <xdr:col>11</xdr:col>
      <xdr:colOff>590550</xdr:colOff>
      <xdr:row>44</xdr:row>
      <xdr:rowOff>81489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1</xdr:col>
      <xdr:colOff>73025</xdr:colOff>
      <xdr:row>1</xdr:row>
      <xdr:rowOff>130175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5250" y="85725"/>
          <a:ext cx="568325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</xdr:colOff>
      <xdr:row>4</xdr:row>
      <xdr:rowOff>84667</xdr:rowOff>
    </xdr:from>
    <xdr:to>
      <xdr:col>7</xdr:col>
      <xdr:colOff>447675</xdr:colOff>
      <xdr:row>20</xdr:row>
      <xdr:rowOff>21166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7</xdr:col>
      <xdr:colOff>447674</xdr:colOff>
      <xdr:row>39</xdr:row>
      <xdr:rowOff>142239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318500" y="381000"/>
          <a:ext cx="75882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3</xdr:row>
      <xdr:rowOff>201083</xdr:rowOff>
    </xdr:from>
    <xdr:to>
      <xdr:col>11</xdr:col>
      <xdr:colOff>42333</xdr:colOff>
      <xdr:row>19</xdr:row>
      <xdr:rowOff>81491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601980</xdr:colOff>
      <xdr:row>21</xdr:row>
      <xdr:rowOff>121920</xdr:rowOff>
    </xdr:from>
    <xdr:to>
      <xdr:col>11</xdr:col>
      <xdr:colOff>72813</xdr:colOff>
      <xdr:row>36</xdr:row>
      <xdr:rowOff>124248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90550" y="161925"/>
          <a:ext cx="682625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409575</xdr:colOff>
      <xdr:row>4</xdr:row>
      <xdr:rowOff>28575</xdr:rowOff>
    </xdr:from>
    <xdr:to>
      <xdr:col>11</xdr:col>
      <xdr:colOff>476250</xdr:colOff>
      <xdr:row>24</xdr:row>
      <xdr:rowOff>4763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342900</xdr:colOff>
      <xdr:row>26</xdr:row>
      <xdr:rowOff>76200</xdr:rowOff>
    </xdr:from>
    <xdr:to>
      <xdr:col>11</xdr:col>
      <xdr:colOff>409575</xdr:colOff>
      <xdr:row>48</xdr:row>
      <xdr:rowOff>6668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73025</xdr:colOff>
      <xdr:row>1</xdr:row>
      <xdr:rowOff>142875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682625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13</xdr:col>
      <xdr:colOff>327660</xdr:colOff>
      <xdr:row>3</xdr:row>
      <xdr:rowOff>121920</xdr:rowOff>
    </xdr:from>
    <xdr:to>
      <xdr:col>25</xdr:col>
      <xdr:colOff>45720</xdr:colOff>
      <xdr:row>22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190499</xdr:rowOff>
    </xdr:from>
    <xdr:to>
      <xdr:col>9</xdr:col>
      <xdr:colOff>9525</xdr:colOff>
      <xdr:row>20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190499</xdr:rowOff>
    </xdr:from>
    <xdr:to>
      <xdr:col>9</xdr:col>
      <xdr:colOff>9525</xdr:colOff>
      <xdr:row>37</xdr:row>
      <xdr:rowOff>85724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590550</xdr:colOff>
      <xdr:row>0</xdr:row>
      <xdr:rowOff>180975</xdr:rowOff>
    </xdr:from>
    <xdr:to>
      <xdr:col>2</xdr:col>
      <xdr:colOff>34925</xdr:colOff>
      <xdr:row>2</xdr:row>
      <xdr:rowOff>44450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590550" y="180975"/>
          <a:ext cx="663575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11</xdr:col>
      <xdr:colOff>0</xdr:colOff>
      <xdr:row>28</xdr:row>
      <xdr:rowOff>0</xdr:rowOff>
    </xdr:from>
    <xdr:to>
      <xdr:col>16</xdr:col>
      <xdr:colOff>573405</xdr:colOff>
      <xdr:row>42</xdr:row>
      <xdr:rowOff>64771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29</xdr:row>
      <xdr:rowOff>0</xdr:rowOff>
    </xdr:from>
    <xdr:to>
      <xdr:col>26</xdr:col>
      <xdr:colOff>9525</xdr:colOff>
      <xdr:row>43</xdr:row>
      <xdr:rowOff>85725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53975</xdr:colOff>
      <xdr:row>2</xdr:row>
      <xdr:rowOff>53975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09600" y="190500"/>
          <a:ext cx="663575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84800" y="50800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73025</xdr:colOff>
      <xdr:row>2</xdr:row>
      <xdr:rowOff>91440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182880"/>
          <a:ext cx="682625" cy="27432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7432675" y="431800"/>
          <a:ext cx="561975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571500</xdr:colOff>
      <xdr:row>4</xdr:row>
      <xdr:rowOff>114300</xdr:rowOff>
    </xdr:from>
    <xdr:to>
      <xdr:col>7</xdr:col>
      <xdr:colOff>19050</xdr:colOff>
      <xdr:row>15</xdr:row>
      <xdr:rowOff>13854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29</xdr:row>
      <xdr:rowOff>23812</xdr:rowOff>
    </xdr:from>
    <xdr:to>
      <xdr:col>7</xdr:col>
      <xdr:colOff>476250</xdr:colOff>
      <xdr:row>46</xdr:row>
      <xdr:rowOff>14287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568037</xdr:colOff>
      <xdr:row>17</xdr:row>
      <xdr:rowOff>13856</xdr:rowOff>
    </xdr:from>
    <xdr:to>
      <xdr:col>7</xdr:col>
      <xdr:colOff>15587</xdr:colOff>
      <xdr:row>27</xdr:row>
      <xdr:rowOff>86592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12</xdr:col>
      <xdr:colOff>364547</xdr:colOff>
      <xdr:row>57</xdr:row>
      <xdr:rowOff>163657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166688</xdr:rowOff>
    </xdr:from>
    <xdr:to>
      <xdr:col>2</xdr:col>
      <xdr:colOff>3762375</xdr:colOff>
      <xdr:row>19</xdr:row>
      <xdr:rowOff>180975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3724276</xdr:colOff>
      <xdr:row>38</xdr:row>
      <xdr:rowOff>66676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790575" y="209550"/>
          <a:ext cx="863600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2</xdr:col>
      <xdr:colOff>4198620</xdr:colOff>
      <xdr:row>32</xdr:row>
      <xdr:rowOff>45720</xdr:rowOff>
    </xdr:from>
    <xdr:to>
      <xdr:col>5</xdr:col>
      <xdr:colOff>950595</xdr:colOff>
      <xdr:row>47</xdr:row>
      <xdr:rowOff>60007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45720</xdr:colOff>
      <xdr:row>33</xdr:row>
      <xdr:rowOff>22860</xdr:rowOff>
    </xdr:from>
    <xdr:to>
      <xdr:col>12</xdr:col>
      <xdr:colOff>74296</xdr:colOff>
      <xdr:row>47</xdr:row>
      <xdr:rowOff>89536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42862</xdr:rowOff>
    </xdr:from>
    <xdr:to>
      <xdr:col>5</xdr:col>
      <xdr:colOff>259080</xdr:colOff>
      <xdr:row>18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10</xdr:col>
      <xdr:colOff>742949</xdr:colOff>
      <xdr:row>3</xdr:row>
      <xdr:rowOff>0</xdr:rowOff>
    </xdr:from>
    <xdr:to>
      <xdr:col>11</xdr:col>
      <xdr:colOff>0</xdr:colOff>
      <xdr:row>18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617220</xdr:colOff>
      <xdr:row>4</xdr:row>
      <xdr:rowOff>30480</xdr:rowOff>
    </xdr:from>
    <xdr:to>
      <xdr:col>16</xdr:col>
      <xdr:colOff>36196</xdr:colOff>
      <xdr:row>19</xdr:row>
      <xdr:rowOff>44768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3</xdr:row>
      <xdr:rowOff>175259</xdr:rowOff>
    </xdr:from>
    <xdr:to>
      <xdr:col>3</xdr:col>
      <xdr:colOff>175260</xdr:colOff>
      <xdr:row>18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3</xdr:row>
      <xdr:rowOff>189706</xdr:rowOff>
    </xdr:from>
    <xdr:to>
      <xdr:col>8</xdr:col>
      <xdr:colOff>21431</xdr:colOff>
      <xdr:row>17</xdr:row>
      <xdr:rowOff>71438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514351</xdr:colOff>
      <xdr:row>19</xdr:row>
      <xdr:rowOff>46832</xdr:rowOff>
    </xdr:from>
    <xdr:to>
      <xdr:col>7</xdr:col>
      <xdr:colOff>476251</xdr:colOff>
      <xdr:row>33</xdr:row>
      <xdr:rowOff>114301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15</xdr:col>
      <xdr:colOff>292576</xdr:colOff>
      <xdr:row>45</xdr:row>
      <xdr:rowOff>72232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594360</xdr:colOff>
      <xdr:row>31</xdr:row>
      <xdr:rowOff>38100</xdr:rowOff>
    </xdr:from>
    <xdr:to>
      <xdr:col>22</xdr:col>
      <xdr:colOff>342900</xdr:colOff>
      <xdr:row>45</xdr:row>
      <xdr:rowOff>105569</xdr:rowOff>
    </xdr:to>
    <xdr:graphicFrame macro="">
      <xdr:nvGraphicFramePr>
        <xdr:cNvPr id="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7089775" y="81280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318000" y="641350"/>
          <a:ext cx="5619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0</xdr:row>
      <xdr:rowOff>184150</xdr:rowOff>
    </xdr:from>
    <xdr:to>
      <xdr:col>1</xdr:col>
      <xdr:colOff>666750</xdr:colOff>
      <xdr:row>2</xdr:row>
      <xdr:rowOff>66675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12775" y="184150"/>
          <a:ext cx="606425" cy="2635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50800</xdr:rowOff>
    </xdr:from>
    <xdr:to>
      <xdr:col>1</xdr:col>
      <xdr:colOff>812800</xdr:colOff>
      <xdr:row>2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9623425" y="3746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4173200" y="190500"/>
          <a:ext cx="66357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116418</xdr:colOff>
      <xdr:row>4</xdr:row>
      <xdr:rowOff>21167</xdr:rowOff>
    </xdr:from>
    <xdr:to>
      <xdr:col>9</xdr:col>
      <xdr:colOff>391585</xdr:colOff>
      <xdr:row>16</xdr:row>
      <xdr:rowOff>31751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296331</xdr:colOff>
      <xdr:row>19</xdr:row>
      <xdr:rowOff>31749</xdr:rowOff>
    </xdr:from>
    <xdr:to>
      <xdr:col>9</xdr:col>
      <xdr:colOff>10584</xdr:colOff>
      <xdr:row>34</xdr:row>
      <xdr:rowOff>127000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33</xdr:row>
      <xdr:rowOff>144780</xdr:rowOff>
    </xdr:from>
    <xdr:to>
      <xdr:col>16</xdr:col>
      <xdr:colOff>244687</xdr:colOff>
      <xdr:row>44</xdr:row>
      <xdr:rowOff>155364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</xdr:colOff>
      <xdr:row>50</xdr:row>
      <xdr:rowOff>30480</xdr:rowOff>
    </xdr:from>
    <xdr:to>
      <xdr:col>15</xdr:col>
      <xdr:colOff>26673</xdr:colOff>
      <xdr:row>67</xdr:row>
      <xdr:rowOff>3811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90550" y="190500"/>
          <a:ext cx="66357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671512</xdr:colOff>
      <xdr:row>6</xdr:row>
      <xdr:rowOff>119063</xdr:rowOff>
    </xdr:from>
    <xdr:to>
      <xdr:col>9</xdr:col>
      <xdr:colOff>234637</xdr:colOff>
      <xdr:row>23</xdr:row>
      <xdr:rowOff>156713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7620</xdr:colOff>
      <xdr:row>16</xdr:row>
      <xdr:rowOff>15240</xdr:rowOff>
    </xdr:from>
    <xdr:to>
      <xdr:col>19</xdr:col>
      <xdr:colOff>60960</xdr:colOff>
      <xdr:row>29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73025</xdr:colOff>
      <xdr:row>2</xdr:row>
      <xdr:rowOff>91440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182880"/>
          <a:ext cx="682625" cy="27432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152400</xdr:rowOff>
    </xdr:from>
    <xdr:to>
      <xdr:col>1</xdr:col>
      <xdr:colOff>409575</xdr:colOff>
      <xdr:row>2</xdr:row>
      <xdr:rowOff>57150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428625" y="152400"/>
          <a:ext cx="571500" cy="2857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495299</xdr:colOff>
      <xdr:row>26</xdr:row>
      <xdr:rowOff>12699</xdr:rowOff>
    </xdr:from>
    <xdr:to>
      <xdr:col>8</xdr:col>
      <xdr:colOff>342900</xdr:colOff>
      <xdr:row>43</xdr:row>
      <xdr:rowOff>50349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460374</xdr:colOff>
      <xdr:row>6</xdr:row>
      <xdr:rowOff>139700</xdr:rowOff>
    </xdr:from>
    <xdr:to>
      <xdr:col>8</xdr:col>
      <xdr:colOff>342900</xdr:colOff>
      <xdr:row>22</xdr:row>
      <xdr:rowOff>104776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525780</xdr:colOff>
      <xdr:row>26</xdr:row>
      <xdr:rowOff>83820</xdr:rowOff>
    </xdr:from>
    <xdr:to>
      <xdr:col>14</xdr:col>
      <xdr:colOff>583566</xdr:colOff>
      <xdr:row>42</xdr:row>
      <xdr:rowOff>56516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350520</xdr:colOff>
      <xdr:row>25</xdr:row>
      <xdr:rowOff>167640</xdr:rowOff>
    </xdr:from>
    <xdr:to>
      <xdr:col>22</xdr:col>
      <xdr:colOff>449581</xdr:colOff>
      <xdr:row>43</xdr:row>
      <xdr:rowOff>22410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73025</xdr:colOff>
      <xdr:row>2</xdr:row>
      <xdr:rowOff>66675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85725"/>
          <a:ext cx="682625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1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561975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561975</xdr:colOff>
      <xdr:row>2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561975" cy="2254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569595</xdr:colOff>
      <xdr:row>7</xdr:row>
      <xdr:rowOff>0</xdr:rowOff>
    </xdr:from>
    <xdr:to>
      <xdr:col>8</xdr:col>
      <xdr:colOff>152400</xdr:colOff>
      <xdr:row>23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0</xdr:row>
      <xdr:rowOff>190499</xdr:rowOff>
    </xdr:from>
    <xdr:to>
      <xdr:col>2</xdr:col>
      <xdr:colOff>28575</xdr:colOff>
      <xdr:row>2</xdr:row>
      <xdr:rowOff>47624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571500" y="190499"/>
          <a:ext cx="676275" cy="2381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914400</xdr:colOff>
      <xdr:row>18</xdr:row>
      <xdr:rowOff>53340</xdr:rowOff>
    </xdr:from>
    <xdr:to>
      <xdr:col>16</xdr:col>
      <xdr:colOff>177165</xdr:colOff>
      <xdr:row>33</xdr:row>
      <xdr:rowOff>22860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85725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90550" y="190500"/>
          <a:ext cx="663575" cy="2762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19050</xdr:colOff>
      <xdr:row>6</xdr:row>
      <xdr:rowOff>47625</xdr:rowOff>
    </xdr:from>
    <xdr:to>
      <xdr:col>8</xdr:col>
      <xdr:colOff>457200</xdr:colOff>
      <xdr:row>24</xdr:row>
      <xdr:rowOff>47175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25852</xdr:colOff>
      <xdr:row>27</xdr:row>
      <xdr:rowOff>160564</xdr:rowOff>
    </xdr:from>
    <xdr:to>
      <xdr:col>8</xdr:col>
      <xdr:colOff>476249</xdr:colOff>
      <xdr:row>45</xdr:row>
      <xdr:rowOff>160114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45720</xdr:colOff>
      <xdr:row>23</xdr:row>
      <xdr:rowOff>129540</xdr:rowOff>
    </xdr:from>
    <xdr:to>
      <xdr:col>15</xdr:col>
      <xdr:colOff>255270</xdr:colOff>
      <xdr:row>41</xdr:row>
      <xdr:rowOff>121470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83820</xdr:colOff>
      <xdr:row>48</xdr:row>
      <xdr:rowOff>60960</xdr:rowOff>
    </xdr:from>
    <xdr:to>
      <xdr:col>8</xdr:col>
      <xdr:colOff>534217</xdr:colOff>
      <xdr:row>66</xdr:row>
      <xdr:rowOff>60510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133349</xdr:rowOff>
    </xdr:from>
    <xdr:to>
      <xdr:col>1</xdr:col>
      <xdr:colOff>428625</xdr:colOff>
      <xdr:row>2</xdr:row>
      <xdr:rowOff>66674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33400" y="133349"/>
          <a:ext cx="485775" cy="31432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772647</xdr:colOff>
      <xdr:row>26</xdr:row>
      <xdr:rowOff>100353</xdr:rowOff>
    </xdr:from>
    <xdr:to>
      <xdr:col>6</xdr:col>
      <xdr:colOff>609600</xdr:colOff>
      <xdr:row>43</xdr:row>
      <xdr:rowOff>138003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715497</xdr:colOff>
      <xdr:row>6</xdr:row>
      <xdr:rowOff>53788</xdr:rowOff>
    </xdr:from>
    <xdr:to>
      <xdr:col>7</xdr:col>
      <xdr:colOff>1</xdr:colOff>
      <xdr:row>23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220980</xdr:colOff>
      <xdr:row>41</xdr:row>
      <xdr:rowOff>68580</xdr:rowOff>
    </xdr:from>
    <xdr:to>
      <xdr:col>22</xdr:col>
      <xdr:colOff>23644</xdr:colOff>
      <xdr:row>58</xdr:row>
      <xdr:rowOff>110042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175260</xdr:colOff>
      <xdr:row>21</xdr:row>
      <xdr:rowOff>15240</xdr:rowOff>
    </xdr:from>
    <xdr:to>
      <xdr:col>21</xdr:col>
      <xdr:colOff>492273</xdr:colOff>
      <xdr:row>38</xdr:row>
      <xdr:rowOff>45270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73025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90550" y="190500"/>
          <a:ext cx="663575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619125</xdr:colOff>
      <xdr:row>6</xdr:row>
      <xdr:rowOff>85725</xdr:rowOff>
    </xdr:from>
    <xdr:to>
      <xdr:col>8</xdr:col>
      <xdr:colOff>485775</xdr:colOff>
      <xdr:row>22</xdr:row>
      <xdr:rowOff>19051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495300</xdr:colOff>
      <xdr:row>14</xdr:row>
      <xdr:rowOff>144780</xdr:rowOff>
    </xdr:from>
    <xdr:to>
      <xdr:col>17</xdr:col>
      <xdr:colOff>323850</xdr:colOff>
      <xdr:row>28</xdr:row>
      <xdr:rowOff>55246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5</xdr:row>
      <xdr:rowOff>106680</xdr:rowOff>
    </xdr:from>
    <xdr:to>
      <xdr:col>4</xdr:col>
      <xdr:colOff>411486</xdr:colOff>
      <xdr:row>16</xdr:row>
      <xdr:rowOff>160020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1</xdr:col>
      <xdr:colOff>682625</xdr:colOff>
      <xdr:row>3</xdr:row>
      <xdr:rowOff>15240</xdr:rowOff>
    </xdr:to>
    <xdr:sp macro="" textlink="">
      <xdr:nvSpPr>
        <xdr:cNvPr id="4" name="Zaoblený obdĺžnik 3">
          <a:hlinkClick xmlns:r="http://schemas.openxmlformats.org/officeDocument/2006/relationships" r:id="rId2"/>
        </xdr:cNvPr>
        <xdr:cNvSpPr/>
      </xdr:nvSpPr>
      <xdr:spPr>
        <a:xfrm>
          <a:off x="594360" y="129540"/>
          <a:ext cx="682625" cy="27432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33</xdr:row>
      <xdr:rowOff>38101</xdr:rowOff>
    </xdr:from>
    <xdr:to>
      <xdr:col>5</xdr:col>
      <xdr:colOff>335280</xdr:colOff>
      <xdr:row>50</xdr:row>
      <xdr:rowOff>30481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167640</xdr:colOff>
      <xdr:row>5</xdr:row>
      <xdr:rowOff>144780</xdr:rowOff>
    </xdr:from>
    <xdr:to>
      <xdr:col>12</xdr:col>
      <xdr:colOff>129540</xdr:colOff>
      <xdr:row>16</xdr:row>
      <xdr:rowOff>152400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495300</xdr:colOff>
      <xdr:row>33</xdr:row>
      <xdr:rowOff>53340</xdr:rowOff>
    </xdr:from>
    <xdr:to>
      <xdr:col>12</xdr:col>
      <xdr:colOff>485776</xdr:colOff>
      <xdr:row>49</xdr:row>
      <xdr:rowOff>64771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PANTOLIN\My%20Local%20Documents\Slovenia\Wages_em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PANTOLIN\My%20Local%20Documents\Slovenia\Wages_em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Slovenia\SV%20MONITOR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AL\CZYWP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WIN\Temporary%20Internet%20Files\OLKE156\Money\Monetary%20Conditions\mcichart_core_inf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SVN\BOP\REER%20and%20competitiveness\Competitivenes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lshoobridge\Local%20Settings\Temporary%20Internet%20Files\OLK10\Charts\Svk%20Charts%20Data%202005_curren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FIS\M-T%20fiscal%20June10%2020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17/Dane/Prispevky_k_prognoze_RVS_vs_201709_pre_DBP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O2\MKD\REP\TABLES\red98\Mk-red9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dtzanninis\My%20Local%20Documents\Slovenia\CZE%20--%20Main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  <sheetDataSet>
      <sheetData sheetId="0"/>
      <sheetData sheetId="1"/>
      <sheetData sheetId="2"/>
      <sheetData sheetId="3">
        <row r="4">
          <cell r="C4">
            <v>78.502858382318436</v>
          </cell>
          <cell r="D4">
            <v>81.275452380922246</v>
          </cell>
          <cell r="E4">
            <v>84.423579375810974</v>
          </cell>
          <cell r="F4">
            <v>88.130188629539617</v>
          </cell>
          <cell r="G4">
            <v>0</v>
          </cell>
        </row>
        <row r="5">
          <cell r="C5">
            <v>80.547803876732885</v>
          </cell>
          <cell r="D5">
            <v>83.991385519523988</v>
          </cell>
          <cell r="E5">
            <v>88.52128676831191</v>
          </cell>
          <cell r="F5">
            <v>94.214617048377477</v>
          </cell>
          <cell r="G5">
            <v>0</v>
          </cell>
        </row>
        <row r="6">
          <cell r="C6">
            <v>40.665754122542438</v>
          </cell>
          <cell r="D6">
            <v>41.680666361334218</v>
          </cell>
          <cell r="E6">
            <v>42.821904778464514</v>
          </cell>
          <cell r="F6">
            <v>44.08020114451071</v>
          </cell>
          <cell r="G6">
            <v>0</v>
          </cell>
        </row>
        <row r="7">
          <cell r="C7">
            <v>43.984500712420669</v>
          </cell>
          <cell r="D7">
            <v>45.484535352602684</v>
          </cell>
          <cell r="E7">
            <v>47.497836713264157</v>
          </cell>
          <cell r="F7">
            <v>49.833106284220669</v>
          </cell>
          <cell r="G7">
            <v>0</v>
          </cell>
        </row>
        <row r="8">
          <cell r="C8">
            <v>38.524899015465365</v>
          </cell>
          <cell r="D8">
            <v>39.582549462948265</v>
          </cell>
          <cell r="E8">
            <v>41.070550408639242</v>
          </cell>
          <cell r="F8">
            <v>42.977890830757936</v>
          </cell>
          <cell r="G8">
            <v>0</v>
          </cell>
        </row>
        <row r="11">
          <cell r="C11">
            <v>25.061205094962499</v>
          </cell>
          <cell r="D11">
            <v>26.325903158710343</v>
          </cell>
          <cell r="E11">
            <v>27.735670690784264</v>
          </cell>
          <cell r="F11">
            <v>29.32785259387137</v>
          </cell>
          <cell r="G11">
            <v>0</v>
          </cell>
        </row>
        <row r="14">
          <cell r="C14">
            <v>0.22924020064339004</v>
          </cell>
          <cell r="D14">
            <v>0.22483632448877952</v>
          </cell>
          <cell r="E14">
            <v>0.24011994064497608</v>
          </cell>
          <cell r="F14">
            <v>0.27414675953044987</v>
          </cell>
          <cell r="G14">
            <v>0</v>
          </cell>
        </row>
        <row r="16">
          <cell r="C16">
            <v>49.281091445453157</v>
          </cell>
          <cell r="D16">
            <v>51.065913586707978</v>
          </cell>
          <cell r="E16">
            <v>53.834842349880567</v>
          </cell>
          <cell r="F16">
            <v>57.568129491799702</v>
          </cell>
          <cell r="G16">
            <v>0</v>
          </cell>
        </row>
        <row r="17">
          <cell r="C17">
            <v>66.319277427653276</v>
          </cell>
          <cell r="D17">
            <v>70.182634133387978</v>
          </cell>
          <cell r="E17">
            <v>75.439345535102163</v>
          </cell>
          <cell r="F17">
            <v>81.793801752423647</v>
          </cell>
          <cell r="G17">
            <v>0</v>
          </cell>
        </row>
        <row r="26">
          <cell r="C26">
            <v>78.854728000000009</v>
          </cell>
          <cell r="D26">
            <v>81.484094566064485</v>
          </cell>
          <cell r="E26">
            <v>84.87893092860277</v>
          </cell>
          <cell r="F26">
            <v>88.591069889878383</v>
          </cell>
          <cell r="G26">
            <v>92.026930652835716</v>
          </cell>
        </row>
        <row r="27">
          <cell r="C27">
            <v>80.958004000000003</v>
          </cell>
          <cell r="D27">
            <v>84.5995693583274</v>
          </cell>
          <cell r="E27">
            <v>89.495333808169264</v>
          </cell>
          <cell r="F27">
            <v>95.260868620557332</v>
          </cell>
          <cell r="G27">
            <v>101.00735417605054</v>
          </cell>
        </row>
        <row r="28">
          <cell r="C28">
            <v>40.196354000000007</v>
          </cell>
          <cell r="D28">
            <v>41.547512733512335</v>
          </cell>
          <cell r="E28">
            <v>42.754818304678729</v>
          </cell>
          <cell r="F28">
            <v>43.975046180032002</v>
          </cell>
          <cell r="G28">
            <v>45.240036950748845</v>
          </cell>
        </row>
        <row r="29">
          <cell r="C29">
            <v>43.548813000000003</v>
          </cell>
          <cell r="D29">
            <v>45.641597296232476</v>
          </cell>
          <cell r="E29">
            <v>47.75602071442546</v>
          </cell>
          <cell r="F29">
            <v>50.052825164944132</v>
          </cell>
          <cell r="G29">
            <v>52.566197780740211</v>
          </cell>
        </row>
        <row r="30">
          <cell r="C30">
            <v>38.032027270299999</v>
          </cell>
          <cell r="D30">
            <v>39.582992287585846</v>
          </cell>
          <cell r="E30">
            <v>41.252391473310389</v>
          </cell>
          <cell r="F30">
            <v>43.192634607434158</v>
          </cell>
          <cell r="G30">
            <v>45.244232556433211</v>
          </cell>
        </row>
        <row r="33">
          <cell r="C33">
            <v>25.247460527999998</v>
          </cell>
          <cell r="D33">
            <v>26.73031719291571</v>
          </cell>
          <cell r="E33">
            <v>28.366257844877175</v>
          </cell>
          <cell r="F33">
            <v>30.038917613277654</v>
          </cell>
          <cell r="G33">
            <v>31.909135439919183</v>
          </cell>
        </row>
        <row r="36">
          <cell r="C36">
            <v>0.21851840145167084</v>
          </cell>
          <cell r="D36">
            <v>0.15625706290990021</v>
          </cell>
          <cell r="E36">
            <v>0.15418751268812014</v>
          </cell>
          <cell r="F36">
            <v>0.149105036903216</v>
          </cell>
          <cell r="G36">
            <v>0.1570961354122469</v>
          </cell>
        </row>
        <row r="38">
          <cell r="C38">
            <v>49.331429000000007</v>
          </cell>
          <cell r="D38">
            <v>51.009380978787284</v>
          </cell>
          <cell r="E38">
            <v>53.916898308264891</v>
          </cell>
          <cell r="F38">
            <v>57.604658786380242</v>
          </cell>
          <cell r="G38">
            <v>61.012127420618299</v>
          </cell>
        </row>
        <row r="39">
          <cell r="C39">
            <v>65.799836999999997</v>
          </cell>
          <cell r="D39">
            <v>70.666258866172427</v>
          </cell>
          <cell r="E39">
            <v>76.432399798318372</v>
          </cell>
          <cell r="F39">
            <v>82.850139524502367</v>
          </cell>
          <cell r="G39">
            <v>88.954858057466581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3:AI53"/>
  <sheetViews>
    <sheetView showGridLines="0" tabSelected="1" workbookViewId="0"/>
  </sheetViews>
  <sheetFormatPr defaultRowHeight="14.4" x14ac:dyDescent="0.3"/>
  <cols>
    <col min="1" max="1" width="5.21875" customWidth="1"/>
    <col min="3" max="3" width="8.88671875" style="708"/>
    <col min="13" max="13" width="5.6640625" customWidth="1"/>
    <col min="14" max="14" width="8.88671875" style="708"/>
    <col min="15" max="15" width="10.44140625" customWidth="1"/>
  </cols>
  <sheetData>
    <row r="3" spans="1:35" ht="15" customHeight="1" thickBot="1" x14ac:dyDescent="0.4">
      <c r="B3" s="850" t="s">
        <v>954</v>
      </c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2" t="s">
        <v>1417</v>
      </c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267"/>
      <c r="AC3" s="267"/>
      <c r="AD3" s="838"/>
      <c r="AE3" s="838"/>
      <c r="AF3" s="838"/>
      <c r="AG3" s="838"/>
      <c r="AH3" s="838"/>
      <c r="AI3" s="838"/>
    </row>
    <row r="4" spans="1:35" ht="16.2" thickBot="1" x14ac:dyDescent="0.35">
      <c r="A4" s="295"/>
      <c r="B4" s="268"/>
      <c r="C4" s="851" t="s">
        <v>197</v>
      </c>
      <c r="D4" s="851"/>
      <c r="E4" s="851"/>
      <c r="F4" s="851"/>
      <c r="G4" s="851"/>
      <c r="H4" s="851"/>
      <c r="I4" s="851"/>
      <c r="J4" s="851"/>
      <c r="K4" s="851"/>
      <c r="L4" s="851"/>
      <c r="N4" s="270"/>
      <c r="O4" s="853" t="s">
        <v>1418</v>
      </c>
      <c r="P4" s="853"/>
      <c r="Q4" s="853"/>
      <c r="R4" s="853"/>
      <c r="S4" s="853"/>
      <c r="T4" s="853"/>
      <c r="U4" s="853"/>
      <c r="V4" s="853"/>
      <c r="W4" s="853"/>
      <c r="X4" s="853"/>
      <c r="Y4" s="853"/>
      <c r="Z4" s="838"/>
      <c r="AA4" s="838"/>
      <c r="AB4" s="838"/>
      <c r="AC4" s="838"/>
      <c r="AD4" s="838"/>
      <c r="AE4" s="838"/>
      <c r="AF4" s="838"/>
      <c r="AG4" s="838"/>
      <c r="AH4" s="838"/>
      <c r="AI4" s="838"/>
    </row>
    <row r="5" spans="1:35" ht="15" thickBot="1" x14ac:dyDescent="0.35">
      <c r="A5" s="295"/>
      <c r="B5" s="270"/>
      <c r="C5" s="709" t="s">
        <v>549</v>
      </c>
      <c r="N5" s="268"/>
      <c r="O5" s="849" t="s">
        <v>1419</v>
      </c>
      <c r="P5" s="849"/>
      <c r="Q5" s="849"/>
      <c r="R5" s="849"/>
      <c r="S5" s="849"/>
      <c r="T5" s="849"/>
      <c r="U5" s="849"/>
      <c r="V5" s="849"/>
      <c r="W5" s="849"/>
      <c r="X5" s="849"/>
      <c r="Y5" s="838"/>
      <c r="Z5" s="838"/>
      <c r="AA5" s="838"/>
      <c r="AB5" s="838"/>
      <c r="AC5" s="838"/>
      <c r="AD5" s="838"/>
      <c r="AE5" s="838"/>
      <c r="AF5" s="838"/>
      <c r="AG5" s="838"/>
      <c r="AH5" s="838"/>
      <c r="AI5" s="838"/>
    </row>
    <row r="6" spans="1:35" ht="16.2" thickBot="1" x14ac:dyDescent="0.35">
      <c r="A6" s="295"/>
      <c r="B6" s="268"/>
      <c r="C6" s="269" t="s">
        <v>537</v>
      </c>
      <c r="N6" s="270"/>
      <c r="O6" s="839" t="s">
        <v>1420</v>
      </c>
      <c r="P6" s="838"/>
      <c r="Q6" s="838"/>
      <c r="R6" s="840"/>
      <c r="S6" s="840"/>
      <c r="T6" s="840"/>
      <c r="U6" s="840"/>
      <c r="V6" s="840"/>
      <c r="W6" s="840"/>
      <c r="X6" s="840"/>
      <c r="Y6" s="840"/>
    </row>
    <row r="7" spans="1:35" ht="15" thickBot="1" x14ac:dyDescent="0.35">
      <c r="B7" s="270"/>
      <c r="C7" s="709" t="s">
        <v>550</v>
      </c>
      <c r="N7" s="268"/>
      <c r="O7" s="849" t="s">
        <v>1431</v>
      </c>
      <c r="P7" s="849"/>
      <c r="Q7" s="849"/>
      <c r="R7" s="849"/>
      <c r="S7" s="844"/>
      <c r="T7" s="844"/>
      <c r="U7" s="844"/>
      <c r="V7" s="844"/>
      <c r="W7" s="844"/>
      <c r="X7" s="844"/>
      <c r="Y7" s="838"/>
    </row>
    <row r="8" spans="1:35" ht="15" thickBot="1" x14ac:dyDescent="0.35">
      <c r="B8" s="270"/>
      <c r="C8" s="709" t="s">
        <v>949</v>
      </c>
      <c r="N8" s="268"/>
      <c r="O8" s="847" t="s">
        <v>1052</v>
      </c>
      <c r="P8" s="845"/>
      <c r="Q8" s="845"/>
      <c r="R8" s="845"/>
      <c r="S8" s="845"/>
      <c r="T8" s="845"/>
      <c r="U8" s="845"/>
      <c r="V8" s="845"/>
      <c r="W8" s="845"/>
      <c r="X8" s="845"/>
      <c r="Y8" s="840"/>
    </row>
    <row r="9" spans="1:35" ht="15" thickBot="1" x14ac:dyDescent="0.35">
      <c r="B9" s="270"/>
      <c r="C9" s="709" t="s">
        <v>950</v>
      </c>
      <c r="N9" s="268"/>
      <c r="O9" s="847" t="s">
        <v>1432</v>
      </c>
      <c r="P9" s="845"/>
      <c r="Q9" s="845"/>
      <c r="R9" s="845"/>
      <c r="S9" s="845"/>
      <c r="T9" s="845"/>
      <c r="U9" s="845"/>
      <c r="V9" s="845"/>
      <c r="W9" s="845"/>
      <c r="X9" s="845"/>
      <c r="Y9" s="838"/>
    </row>
    <row r="10" spans="1:35" ht="15" thickBot="1" x14ac:dyDescent="0.35">
      <c r="B10" s="270"/>
      <c r="C10" s="709" t="s">
        <v>951</v>
      </c>
      <c r="N10" s="268"/>
      <c r="O10" s="709" t="s">
        <v>1437</v>
      </c>
      <c r="P10" s="844"/>
      <c r="Q10" s="844"/>
      <c r="R10" s="844"/>
      <c r="S10" s="844"/>
      <c r="T10" s="844"/>
      <c r="U10" s="844"/>
      <c r="V10" s="844"/>
      <c r="W10" s="844"/>
      <c r="X10" s="844"/>
      <c r="Y10" s="838"/>
    </row>
    <row r="11" spans="1:35" ht="15" thickBot="1" x14ac:dyDescent="0.35">
      <c r="B11" s="270"/>
      <c r="C11" s="709" t="s">
        <v>953</v>
      </c>
      <c r="N11" s="268"/>
      <c r="O11" s="849" t="s">
        <v>1430</v>
      </c>
      <c r="P11" s="849"/>
      <c r="Q11" s="849"/>
      <c r="R11" s="849"/>
      <c r="S11" s="849"/>
      <c r="T11" s="849"/>
      <c r="U11" s="849"/>
      <c r="V11" s="849"/>
      <c r="W11" s="849"/>
      <c r="X11" s="849"/>
      <c r="Y11" s="838"/>
    </row>
    <row r="12" spans="1:35" ht="16.2" thickBot="1" x14ac:dyDescent="0.35">
      <c r="B12" s="268"/>
      <c r="C12" s="269" t="s">
        <v>538</v>
      </c>
      <c r="N12" s="270"/>
      <c r="O12" s="839" t="s">
        <v>1422</v>
      </c>
      <c r="Y12" s="838"/>
    </row>
    <row r="13" spans="1:35" ht="15" thickBot="1" x14ac:dyDescent="0.35">
      <c r="B13" s="270"/>
      <c r="C13" s="709" t="s">
        <v>955</v>
      </c>
      <c r="N13" s="268"/>
      <c r="O13" s="709" t="s">
        <v>1440</v>
      </c>
      <c r="P13" s="838"/>
      <c r="Q13" s="838"/>
      <c r="R13" s="838"/>
      <c r="S13" s="838"/>
      <c r="T13" s="838"/>
      <c r="U13" s="838"/>
      <c r="V13" s="838"/>
      <c r="W13" s="838"/>
      <c r="X13" s="838"/>
      <c r="Y13" s="838"/>
    </row>
    <row r="14" spans="1:35" ht="15" thickBot="1" x14ac:dyDescent="0.35">
      <c r="B14" s="270"/>
      <c r="C14" s="709" t="s">
        <v>956</v>
      </c>
      <c r="N14" s="268"/>
      <c r="O14" s="846" t="s">
        <v>1439</v>
      </c>
      <c r="P14" s="841"/>
      <c r="Q14" s="841"/>
      <c r="R14" s="841"/>
      <c r="S14" s="841"/>
      <c r="T14" s="841"/>
      <c r="U14" s="841"/>
      <c r="V14" s="841"/>
      <c r="W14" s="841"/>
      <c r="X14" s="841"/>
      <c r="Y14" s="838"/>
    </row>
    <row r="15" spans="1:35" ht="15" thickBot="1" x14ac:dyDescent="0.35">
      <c r="B15" s="270"/>
      <c r="C15" s="709" t="s">
        <v>962</v>
      </c>
      <c r="N15" s="268"/>
      <c r="O15" s="846" t="s">
        <v>1438</v>
      </c>
      <c r="P15" s="841"/>
      <c r="Q15" s="841"/>
      <c r="R15" s="841"/>
      <c r="S15" s="841"/>
      <c r="T15" s="841"/>
      <c r="U15" s="841"/>
      <c r="V15" s="841"/>
      <c r="W15" s="841"/>
      <c r="X15" s="841"/>
      <c r="Y15" s="838"/>
    </row>
    <row r="16" spans="1:35" ht="16.2" thickBot="1" x14ac:dyDescent="0.35">
      <c r="B16" s="268"/>
      <c r="C16" s="269" t="s">
        <v>170</v>
      </c>
      <c r="N16" s="270"/>
      <c r="O16" s="839" t="s">
        <v>1423</v>
      </c>
      <c r="P16" s="838"/>
      <c r="Q16" s="838"/>
      <c r="R16" s="838"/>
      <c r="S16" s="838"/>
      <c r="T16" s="838"/>
      <c r="U16" s="838"/>
      <c r="V16" s="838"/>
      <c r="W16" s="838"/>
      <c r="X16" s="838"/>
      <c r="Y16" s="838"/>
    </row>
    <row r="17" spans="1:35" ht="15" thickBot="1" x14ac:dyDescent="0.35">
      <c r="B17" s="270"/>
      <c r="C17" s="709" t="s">
        <v>957</v>
      </c>
      <c r="M17" s="705"/>
      <c r="N17" s="268"/>
      <c r="O17" s="846" t="s">
        <v>1123</v>
      </c>
      <c r="P17" s="841"/>
      <c r="Q17" s="841"/>
      <c r="R17" s="841"/>
      <c r="S17" s="841"/>
      <c r="T17" s="841"/>
      <c r="U17" s="841"/>
      <c r="V17" s="841"/>
      <c r="W17" s="841"/>
      <c r="X17" s="841"/>
      <c r="Y17" s="838"/>
    </row>
    <row r="18" spans="1:35" ht="15" thickBot="1" x14ac:dyDescent="0.35">
      <c r="B18" s="270"/>
      <c r="C18" s="709" t="s">
        <v>958</v>
      </c>
      <c r="M18" s="705"/>
      <c r="N18" s="268"/>
      <c r="O18" s="846" t="s">
        <v>1452</v>
      </c>
      <c r="P18" s="841"/>
      <c r="Q18" s="841"/>
      <c r="R18" s="841"/>
      <c r="S18" s="841"/>
      <c r="T18" s="841"/>
      <c r="U18" s="841"/>
      <c r="V18" s="841"/>
      <c r="W18" s="841"/>
      <c r="X18" s="841"/>
      <c r="Y18" s="838"/>
    </row>
    <row r="19" spans="1:35" ht="15" thickBot="1" x14ac:dyDescent="0.35">
      <c r="B19" s="270"/>
      <c r="C19" s="709" t="s">
        <v>959</v>
      </c>
      <c r="M19" s="705"/>
      <c r="N19" s="268"/>
      <c r="O19" s="846" t="s">
        <v>1448</v>
      </c>
      <c r="P19" s="841"/>
      <c r="Q19" s="841"/>
      <c r="R19" s="841"/>
      <c r="S19" s="841"/>
      <c r="T19" s="841"/>
      <c r="U19" s="841"/>
      <c r="V19" s="841"/>
      <c r="W19" s="841"/>
      <c r="X19" s="841"/>
      <c r="Y19" s="838"/>
    </row>
    <row r="20" spans="1:35" ht="15" thickBot="1" x14ac:dyDescent="0.35">
      <c r="B20" s="270"/>
      <c r="C20" s="709" t="s">
        <v>960</v>
      </c>
      <c r="M20" s="705"/>
      <c r="N20" s="268"/>
      <c r="O20" s="846" t="s">
        <v>1146</v>
      </c>
      <c r="P20" s="841"/>
      <c r="Q20" s="841"/>
      <c r="R20" s="841"/>
      <c r="S20" s="841"/>
      <c r="T20" s="841"/>
      <c r="U20" s="841"/>
      <c r="V20" s="841"/>
      <c r="W20" s="841"/>
      <c r="X20" s="841"/>
      <c r="Y20" s="838"/>
    </row>
    <row r="21" spans="1:35" ht="15" thickBot="1" x14ac:dyDescent="0.35">
      <c r="B21" s="270"/>
      <c r="C21" s="709" t="s">
        <v>961</v>
      </c>
      <c r="M21" s="705"/>
      <c r="N21" s="268"/>
      <c r="O21" s="846" t="s">
        <v>1443</v>
      </c>
      <c r="P21" s="841"/>
      <c r="Q21" s="841"/>
      <c r="R21" s="841"/>
      <c r="S21" s="841"/>
      <c r="T21" s="841"/>
      <c r="U21" s="841"/>
      <c r="V21" s="841"/>
      <c r="W21" s="841"/>
      <c r="X21" s="841"/>
      <c r="Y21" s="838"/>
      <c r="Z21" s="838"/>
      <c r="AA21" s="838"/>
      <c r="AB21" s="838"/>
      <c r="AC21" s="838"/>
      <c r="AD21" s="838"/>
      <c r="AE21" s="838"/>
      <c r="AF21" s="838"/>
      <c r="AG21" s="838"/>
      <c r="AH21" s="838"/>
      <c r="AI21" s="838"/>
    </row>
    <row r="22" spans="1:35" ht="16.2" thickBot="1" x14ac:dyDescent="0.35">
      <c r="A22" s="705"/>
      <c r="B22" s="268"/>
      <c r="C22" s="269" t="s">
        <v>539</v>
      </c>
      <c r="M22" s="705"/>
      <c r="N22" s="270"/>
      <c r="O22" s="839" t="s">
        <v>1426</v>
      </c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  <c r="AB22" s="838"/>
      <c r="AC22" s="838"/>
      <c r="AD22" s="838"/>
      <c r="AE22" s="838"/>
      <c r="AF22" s="838"/>
      <c r="AG22" s="838"/>
      <c r="AH22" s="838"/>
      <c r="AI22" s="838"/>
    </row>
    <row r="23" spans="1:35" ht="15" thickBot="1" x14ac:dyDescent="0.35">
      <c r="B23" s="270"/>
      <c r="C23" s="706" t="s">
        <v>551</v>
      </c>
      <c r="M23" s="705"/>
      <c r="N23" s="268"/>
      <c r="O23" s="846" t="s">
        <v>1427</v>
      </c>
      <c r="P23" s="841"/>
      <c r="Q23" s="841"/>
      <c r="R23" s="841"/>
      <c r="S23" s="841"/>
      <c r="T23" s="841"/>
      <c r="U23" s="841"/>
      <c r="V23" s="841"/>
      <c r="W23" s="841"/>
      <c r="X23" s="841"/>
      <c r="Y23" s="838"/>
      <c r="Z23" s="838"/>
      <c r="AA23" s="838"/>
      <c r="AB23" s="838"/>
      <c r="AC23" s="838"/>
      <c r="AD23" s="838"/>
      <c r="AE23" s="838"/>
      <c r="AF23" s="838"/>
      <c r="AG23" s="838"/>
      <c r="AH23" s="838"/>
      <c r="AI23" s="838"/>
    </row>
    <row r="24" spans="1:35" ht="15" thickBot="1" x14ac:dyDescent="0.35">
      <c r="B24" s="270"/>
      <c r="C24" s="706" t="s">
        <v>552</v>
      </c>
      <c r="M24" s="705"/>
      <c r="N24" s="268"/>
      <c r="O24" s="846" t="s">
        <v>1428</v>
      </c>
      <c r="P24" s="841"/>
      <c r="Q24" s="841"/>
      <c r="R24" s="841"/>
      <c r="S24" s="841"/>
      <c r="T24" s="841"/>
      <c r="U24" s="841"/>
      <c r="V24" s="841"/>
      <c r="W24" s="841"/>
      <c r="X24" s="841"/>
      <c r="Y24" s="838"/>
      <c r="Z24" s="838"/>
      <c r="AA24" s="838"/>
      <c r="AB24" s="838"/>
      <c r="AC24" s="838"/>
      <c r="AD24" s="838"/>
      <c r="AE24" s="838"/>
      <c r="AF24" s="838"/>
      <c r="AG24" s="838"/>
      <c r="AH24" s="838"/>
      <c r="AI24" s="838"/>
    </row>
    <row r="25" spans="1:35" ht="15" thickBot="1" x14ac:dyDescent="0.35">
      <c r="B25" s="270"/>
      <c r="C25" s="710" t="s">
        <v>553</v>
      </c>
      <c r="M25" s="705"/>
      <c r="N25" s="268"/>
      <c r="O25" s="846" t="s">
        <v>1429</v>
      </c>
      <c r="P25" s="841"/>
      <c r="Q25" s="841"/>
      <c r="R25" s="841"/>
      <c r="S25" s="841"/>
      <c r="T25" s="841"/>
      <c r="U25" s="841"/>
      <c r="V25" s="841"/>
      <c r="W25" s="841"/>
      <c r="X25" s="841"/>
      <c r="Y25" s="838"/>
      <c r="Z25" s="838"/>
      <c r="AA25" s="838"/>
      <c r="AB25" s="838"/>
      <c r="AC25" s="838"/>
      <c r="AD25" s="838"/>
      <c r="AE25" s="838"/>
      <c r="AF25" s="838"/>
      <c r="AG25" s="838"/>
      <c r="AH25" s="838"/>
      <c r="AI25" s="838"/>
    </row>
    <row r="26" spans="1:35" ht="15" thickBot="1" x14ac:dyDescent="0.35">
      <c r="B26" s="270"/>
      <c r="C26" s="709" t="s">
        <v>968</v>
      </c>
      <c r="M26" s="705"/>
      <c r="N26" s="268"/>
      <c r="O26" s="846" t="s">
        <v>1196</v>
      </c>
      <c r="P26" s="841"/>
      <c r="Q26" s="841"/>
      <c r="R26" s="841"/>
      <c r="S26" s="841"/>
      <c r="T26" s="841"/>
      <c r="U26" s="841"/>
      <c r="V26" s="841"/>
      <c r="W26" s="841"/>
      <c r="X26" s="841"/>
      <c r="Y26" s="838"/>
      <c r="Z26" s="838"/>
      <c r="AA26" s="838"/>
      <c r="AB26" s="838"/>
      <c r="AC26" s="838"/>
      <c r="AD26" s="838"/>
      <c r="AE26" s="838"/>
      <c r="AF26" s="838"/>
      <c r="AG26" s="838"/>
      <c r="AH26" s="838"/>
      <c r="AI26" s="838"/>
    </row>
    <row r="27" spans="1:35" ht="15" thickBot="1" x14ac:dyDescent="0.35">
      <c r="B27" s="270"/>
      <c r="C27" s="709" t="s">
        <v>969</v>
      </c>
      <c r="M27" s="705"/>
      <c r="N27" s="268"/>
      <c r="O27" s="846" t="s">
        <v>1201</v>
      </c>
      <c r="P27" s="841"/>
      <c r="Q27" s="841"/>
      <c r="R27" s="841"/>
      <c r="S27" s="841"/>
      <c r="T27" s="841"/>
      <c r="U27" s="841"/>
      <c r="V27" s="841"/>
      <c r="W27" s="841"/>
      <c r="X27" s="841"/>
      <c r="Y27" s="838"/>
      <c r="Z27" s="838"/>
      <c r="AA27" s="838"/>
      <c r="AB27" s="838"/>
      <c r="AC27" s="838"/>
      <c r="AD27" s="838"/>
      <c r="AE27" s="838"/>
      <c r="AF27" s="838"/>
      <c r="AG27" s="838"/>
      <c r="AH27" s="838"/>
      <c r="AI27" s="838"/>
    </row>
    <row r="28" spans="1:35" ht="15" thickBot="1" x14ac:dyDescent="0.35">
      <c r="B28" s="270"/>
      <c r="C28" s="709" t="s">
        <v>970</v>
      </c>
      <c r="M28" s="705"/>
      <c r="N28" s="268"/>
      <c r="O28" s="846" t="s">
        <v>1446</v>
      </c>
      <c r="P28" s="841"/>
      <c r="Q28" s="841"/>
      <c r="R28" s="841"/>
      <c r="S28" s="841"/>
      <c r="T28" s="841"/>
      <c r="U28" s="841"/>
      <c r="V28" s="841"/>
      <c r="W28" s="841"/>
      <c r="X28" s="841"/>
      <c r="Y28" s="838"/>
      <c r="Z28" s="838"/>
      <c r="AA28" s="838"/>
      <c r="AB28" s="838"/>
      <c r="AC28" s="838"/>
      <c r="AD28" s="838"/>
      <c r="AE28" s="838"/>
      <c r="AF28" s="838"/>
      <c r="AG28" s="838"/>
      <c r="AH28" s="838"/>
      <c r="AI28" s="838"/>
    </row>
    <row r="29" spans="1:35" ht="15" thickBot="1" x14ac:dyDescent="0.35">
      <c r="B29" s="270"/>
      <c r="C29" s="709" t="s">
        <v>971</v>
      </c>
      <c r="M29" s="705"/>
      <c r="N29" s="268"/>
      <c r="O29" s="846" t="s">
        <v>1447</v>
      </c>
      <c r="P29" s="841"/>
      <c r="Q29" s="841"/>
      <c r="R29" s="841"/>
      <c r="S29" s="841"/>
      <c r="T29" s="841"/>
      <c r="U29" s="841"/>
      <c r="V29" s="841"/>
      <c r="W29" s="841"/>
      <c r="X29" s="841"/>
      <c r="Y29" s="838"/>
      <c r="Z29" s="838"/>
      <c r="AA29" s="838"/>
      <c r="AB29" s="838"/>
      <c r="AC29" s="838"/>
      <c r="AD29" s="838"/>
      <c r="AE29" s="838"/>
      <c r="AF29" s="838"/>
      <c r="AG29" s="838"/>
      <c r="AH29" s="838"/>
      <c r="AI29" s="838"/>
    </row>
    <row r="30" spans="1:35" ht="16.2" thickBot="1" x14ac:dyDescent="0.35">
      <c r="B30" s="268"/>
      <c r="C30" s="269" t="s">
        <v>540</v>
      </c>
      <c r="N30" s="270"/>
      <c r="O30" s="839" t="s">
        <v>1421</v>
      </c>
      <c r="P30" s="838"/>
      <c r="Q30" s="838"/>
      <c r="R30" s="838"/>
      <c r="S30" s="838"/>
      <c r="T30" s="838"/>
      <c r="U30" s="838"/>
      <c r="V30" s="838"/>
      <c r="W30" s="838"/>
    </row>
    <row r="31" spans="1:35" ht="15" thickBot="1" x14ac:dyDescent="0.35">
      <c r="B31" s="270"/>
      <c r="C31" s="709" t="s">
        <v>972</v>
      </c>
      <c r="N31" s="268"/>
      <c r="O31" s="846" t="s">
        <v>1442</v>
      </c>
      <c r="P31" s="841"/>
      <c r="Q31" s="841"/>
      <c r="R31" s="841"/>
      <c r="S31" s="841"/>
      <c r="T31" s="841"/>
      <c r="U31" s="841"/>
      <c r="V31" s="841"/>
      <c r="W31" s="841"/>
    </row>
    <row r="32" spans="1:35" ht="15" thickBot="1" x14ac:dyDescent="0.35">
      <c r="B32" s="270"/>
      <c r="C32" s="709" t="s">
        <v>973</v>
      </c>
      <c r="N32" s="268"/>
      <c r="O32" s="846" t="s">
        <v>1441</v>
      </c>
      <c r="P32" s="841"/>
      <c r="Q32" s="841"/>
      <c r="R32" s="841"/>
      <c r="S32" s="841"/>
      <c r="T32" s="841"/>
      <c r="U32" s="841"/>
      <c r="V32" s="841"/>
      <c r="W32" s="841"/>
    </row>
    <row r="33" spans="2:23" ht="15" thickBot="1" x14ac:dyDescent="0.35">
      <c r="B33" s="270"/>
      <c r="C33" s="709" t="s">
        <v>974</v>
      </c>
      <c r="M33" s="705"/>
      <c r="N33" s="268"/>
      <c r="O33" s="846" t="s">
        <v>1454</v>
      </c>
      <c r="P33" s="841"/>
      <c r="Q33" s="841"/>
      <c r="R33" s="841"/>
      <c r="S33" s="841"/>
      <c r="T33" s="841"/>
      <c r="U33" s="841"/>
      <c r="V33" s="841"/>
      <c r="W33" s="841"/>
    </row>
    <row r="34" spans="2:23" ht="15" thickBot="1" x14ac:dyDescent="0.35">
      <c r="B34" s="270"/>
      <c r="C34" s="709" t="s">
        <v>975</v>
      </c>
      <c r="M34" s="705"/>
      <c r="N34" s="268"/>
      <c r="O34" s="846" t="s">
        <v>1451</v>
      </c>
      <c r="P34" s="841"/>
      <c r="Q34" s="841"/>
      <c r="R34" s="841"/>
      <c r="S34" s="841"/>
      <c r="T34" s="841"/>
      <c r="U34" s="841"/>
      <c r="V34" s="841"/>
      <c r="W34" s="841"/>
    </row>
    <row r="35" spans="2:23" ht="15" thickBot="1" x14ac:dyDescent="0.35">
      <c r="B35" s="270"/>
      <c r="C35" s="709" t="s">
        <v>976</v>
      </c>
      <c r="M35" s="705"/>
      <c r="N35" s="268"/>
      <c r="O35" s="709" t="s">
        <v>1274</v>
      </c>
      <c r="P35" s="841"/>
      <c r="Q35" s="841"/>
      <c r="R35" s="841"/>
      <c r="S35" s="841"/>
      <c r="T35" s="841"/>
      <c r="U35" s="841"/>
      <c r="V35" s="841"/>
      <c r="W35" s="841"/>
    </row>
    <row r="36" spans="2:23" ht="15" thickBot="1" x14ac:dyDescent="0.35">
      <c r="B36" s="270"/>
      <c r="C36" s="709" t="s">
        <v>977</v>
      </c>
      <c r="M36" s="705"/>
      <c r="N36" s="268"/>
      <c r="O36" s="846" t="s">
        <v>1449</v>
      </c>
      <c r="P36" s="841"/>
      <c r="Q36" s="841"/>
      <c r="R36" s="841"/>
      <c r="S36" s="841"/>
      <c r="T36" s="841"/>
      <c r="U36" s="841"/>
      <c r="V36" s="841"/>
      <c r="W36" s="841"/>
    </row>
    <row r="37" spans="2:23" ht="15" thickBot="1" x14ac:dyDescent="0.35">
      <c r="B37" s="270"/>
      <c r="C37" s="709" t="s">
        <v>978</v>
      </c>
      <c r="M37" s="705"/>
      <c r="N37" s="268"/>
      <c r="O37" s="846" t="s">
        <v>1450</v>
      </c>
      <c r="P37" s="841"/>
      <c r="Q37" s="841"/>
      <c r="R37" s="841"/>
      <c r="S37" s="841"/>
      <c r="T37" s="841"/>
      <c r="U37" s="841"/>
      <c r="V37" s="841"/>
      <c r="W37" s="841"/>
    </row>
    <row r="38" spans="2:23" ht="15" thickBot="1" x14ac:dyDescent="0.35">
      <c r="B38" s="270"/>
      <c r="C38" s="709" t="s">
        <v>980</v>
      </c>
      <c r="N38" s="268"/>
      <c r="O38" s="846" t="s">
        <v>1453</v>
      </c>
      <c r="P38" s="841"/>
      <c r="Q38" s="841"/>
      <c r="R38" s="841"/>
      <c r="S38" s="841"/>
      <c r="T38" s="841"/>
      <c r="U38" s="841"/>
      <c r="V38" s="841"/>
      <c r="W38" s="841"/>
    </row>
    <row r="39" spans="2:23" ht="16.2" thickBot="1" x14ac:dyDescent="0.35">
      <c r="B39" s="268"/>
      <c r="C39" s="269" t="s">
        <v>981</v>
      </c>
      <c r="N39" s="270"/>
      <c r="O39" s="839" t="s">
        <v>1444</v>
      </c>
      <c r="P39" s="841"/>
      <c r="Q39" s="841"/>
      <c r="R39" s="841"/>
      <c r="S39" s="841"/>
      <c r="T39" s="841"/>
      <c r="U39" s="841"/>
      <c r="V39" s="841"/>
      <c r="W39" s="841"/>
    </row>
    <row r="40" spans="2:23" ht="15" thickBot="1" x14ac:dyDescent="0.35">
      <c r="B40" s="270"/>
      <c r="C40" s="709" t="s">
        <v>983</v>
      </c>
      <c r="N40" s="268"/>
      <c r="O40" s="709" t="s">
        <v>1317</v>
      </c>
      <c r="P40" s="843"/>
      <c r="Q40" s="843"/>
      <c r="R40" s="843"/>
      <c r="S40" s="843"/>
      <c r="T40" s="843"/>
      <c r="U40" s="843"/>
      <c r="V40" s="841"/>
      <c r="W40" s="841"/>
    </row>
    <row r="41" spans="2:23" ht="15" thickBot="1" x14ac:dyDescent="0.35">
      <c r="B41" s="707"/>
      <c r="C41" s="709" t="s">
        <v>984</v>
      </c>
      <c r="N41" s="268"/>
      <c r="O41" s="709" t="s">
        <v>1321</v>
      </c>
      <c r="P41" s="121"/>
      <c r="Q41" s="121"/>
      <c r="R41" s="121"/>
      <c r="S41" s="121"/>
      <c r="T41" s="121"/>
      <c r="U41" s="121"/>
      <c r="V41" s="838"/>
      <c r="W41" s="838"/>
    </row>
    <row r="42" spans="2:23" ht="15" customHeight="1" thickBot="1" x14ac:dyDescent="0.35">
      <c r="B42" s="707"/>
      <c r="C42" s="709" t="s">
        <v>985</v>
      </c>
      <c r="N42" s="268"/>
      <c r="O42" s="848" t="s">
        <v>1335</v>
      </c>
      <c r="P42" s="848"/>
      <c r="Q42" s="848"/>
      <c r="R42" s="848"/>
      <c r="S42" s="848"/>
      <c r="T42" s="848"/>
      <c r="U42" s="848"/>
      <c r="V42" s="842"/>
      <c r="W42" s="842"/>
    </row>
    <row r="43" spans="2:23" ht="15" thickBot="1" x14ac:dyDescent="0.35">
      <c r="B43" s="270"/>
      <c r="C43" s="709" t="s">
        <v>982</v>
      </c>
      <c r="N43" s="268"/>
      <c r="O43" s="709" t="s">
        <v>1445</v>
      </c>
      <c r="P43" s="121"/>
      <c r="Q43" s="121"/>
      <c r="R43" s="121"/>
      <c r="S43" s="121"/>
      <c r="T43" s="121"/>
      <c r="U43" s="121"/>
      <c r="V43" s="838"/>
      <c r="W43" s="838"/>
    </row>
    <row r="44" spans="2:23" ht="16.2" thickBot="1" x14ac:dyDescent="0.35">
      <c r="B44" s="268"/>
      <c r="C44" s="269" t="s">
        <v>541</v>
      </c>
      <c r="N44" s="270"/>
      <c r="O44" s="839" t="s">
        <v>1424</v>
      </c>
      <c r="P44" s="841"/>
      <c r="Q44" s="841"/>
      <c r="R44" s="841"/>
      <c r="S44" s="841"/>
      <c r="T44" s="841"/>
      <c r="U44" s="841"/>
      <c r="V44" s="841"/>
      <c r="W44" s="841"/>
    </row>
    <row r="45" spans="2:23" ht="15" thickBot="1" x14ac:dyDescent="0.35">
      <c r="B45" s="270"/>
      <c r="C45" s="709" t="s">
        <v>986</v>
      </c>
      <c r="N45" s="268"/>
      <c r="O45" s="846" t="s">
        <v>1434</v>
      </c>
    </row>
    <row r="46" spans="2:23" ht="15" thickBot="1" x14ac:dyDescent="0.35">
      <c r="B46" s="270"/>
      <c r="C46" s="709" t="s">
        <v>987</v>
      </c>
      <c r="N46" s="268"/>
      <c r="O46" s="709" t="s">
        <v>1435</v>
      </c>
    </row>
    <row r="47" spans="2:23" ht="15" thickBot="1" x14ac:dyDescent="0.35">
      <c r="B47" s="270"/>
      <c r="C47" s="709" t="s">
        <v>988</v>
      </c>
      <c r="N47" s="268"/>
      <c r="O47" s="709" t="s">
        <v>1436</v>
      </c>
    </row>
    <row r="48" spans="2:23" ht="15" thickBot="1" x14ac:dyDescent="0.35">
      <c r="B48" s="270"/>
      <c r="C48" s="709" t="s">
        <v>989</v>
      </c>
      <c r="N48" s="268"/>
      <c r="O48" s="709" t="s">
        <v>1382</v>
      </c>
    </row>
    <row r="49" spans="2:24" ht="15" thickBot="1" x14ac:dyDescent="0.35">
      <c r="B49" s="270"/>
      <c r="C49" s="710" t="s">
        <v>554</v>
      </c>
      <c r="N49" s="268"/>
      <c r="O49" s="846" t="s">
        <v>1425</v>
      </c>
      <c r="P49" s="841"/>
      <c r="Q49" s="841"/>
      <c r="R49" s="841"/>
      <c r="S49" s="841"/>
      <c r="T49" s="841"/>
      <c r="U49" s="841"/>
      <c r="V49" s="841"/>
      <c r="W49" s="841"/>
      <c r="X49" s="841"/>
    </row>
    <row r="50" spans="2:24" ht="15" thickBot="1" x14ac:dyDescent="0.35">
      <c r="B50" s="270"/>
      <c r="C50" s="709" t="s">
        <v>990</v>
      </c>
      <c r="N50" s="268"/>
      <c r="O50" s="709" t="s">
        <v>1433</v>
      </c>
      <c r="P50" s="841"/>
      <c r="Q50" s="841"/>
      <c r="R50" s="841"/>
      <c r="S50" s="841"/>
      <c r="T50" s="841"/>
      <c r="U50" s="841"/>
      <c r="V50" s="841"/>
      <c r="W50" s="841"/>
      <c r="X50" s="841"/>
    </row>
    <row r="51" spans="2:24" x14ac:dyDescent="0.3">
      <c r="O51" s="844"/>
    </row>
    <row r="52" spans="2:24" x14ac:dyDescent="0.3">
      <c r="O52" s="841"/>
    </row>
    <row r="53" spans="2:24" x14ac:dyDescent="0.3">
      <c r="O53" s="841"/>
    </row>
  </sheetData>
  <mergeCells count="8">
    <mergeCell ref="O42:U42"/>
    <mergeCell ref="O11:X11"/>
    <mergeCell ref="O7:R7"/>
    <mergeCell ref="B3:M3"/>
    <mergeCell ref="C4:L4"/>
    <mergeCell ref="N3:AA3"/>
    <mergeCell ref="O4:Y4"/>
    <mergeCell ref="O5:X5"/>
  </mergeCells>
  <hyperlinks>
    <hyperlink ref="C5" location="'Graf 1+2'!A1" tooltip="Graf 1 + 2" display="Graf 1 + 2 - Štrukturálne saldo + Hrubý dlh VS"/>
    <hyperlink ref="C8" location="'Graf 5'!A1" tooltip="Graf 5 + 6" display="Graf 5 - Príspevky k tvorbe reálneho HDP pred a po revízii "/>
    <hyperlink ref="C10" location="'Graf 8+9'!A1" tooltip="Graf 7 + 8" display="Graf 8 + 9 - PMI v eurozóne + Výnosy vládnych dlhopisov"/>
    <hyperlink ref="C11" location="'Graf 10+Tabuľka 1'!A1" tooltip="Box 2_ Graf 9_ Tabuľka 1" display="Graf 10 + Tabuľka 1 - Vývoj produkčnej medzery + Produkčná medzera a príspevky faktorov k rastu potenciálneho produktu"/>
    <hyperlink ref="C45" location="'Graf 34'!A1" tooltip="Graf 10" display="Graf 34 - Porovnanie prognóz makroekonomických základní4 pre rozpočtové príjmy s členmi výboru"/>
    <hyperlink ref="C14" location="'Graf 13 '!A1" tooltip="Graf 11 " display="Graf 13 - Rozdiely v aktuálnom odhade salda VS v roku 2019 oproti predpokladom rozpočtu"/>
    <hyperlink ref="C15" location="'Graf 14'!A1" tooltip="Graf 12" display="Graf 14 - Príspevky k zmene prognózy oproti rozpočtu VS na roky 2018 a 2019"/>
    <hyperlink ref="C19" location="'Tabuľka 2 '!A1" tooltip="Tabuľka 4" display="Tabuľka 2 - Konsolidačné úsilie"/>
    <hyperlink ref="C20" location="'Graf 17'!A1" tooltip="BOX 3 _ graf 13 + 14 _ Tab5" display="Graf 17 - Zmena primárneho štrukturálneho salda oproti úrovni produkčnej medzery"/>
    <hyperlink ref="C43" location="'Graf 32+33'!A1" tooltip="Graf 15 + 16" display="Graf 32 + 33 - Porovnanie štrukturálneho salda + Príspevky faktorov k revízii štrukturálneho salda"/>
    <hyperlink ref="C21" location="'Tab 3 + Graf 18'!A1" tooltip="Tab 6 + Graf 17 + 18" display="Tabuľka 3 + Graf 18 - Plnenie výdavkového pravidla + Vývoj výdavkového agregátu oproti výdavkovému pravidlu"/>
    <hyperlink ref="C23" location="'Graf 19'!A1" tooltip="Graf 19" display="Graf 19"/>
    <hyperlink ref="C24" location="'Graf 20'!A1" tooltip="Graf 20" display="Graf 20"/>
    <hyperlink ref="C25" location="'Graf 21'!A1" tooltip="Graf 21" display="Graf 21"/>
    <hyperlink ref="C26" location="'Graf 22 '!A1" tooltip="Graf 22" display="Graf 22 - Využívanie likvidných zdrojov Štátnej pokladnice"/>
    <hyperlink ref="C48" location="'Tabuľka 20'!A1" tooltip="Tabuľka 7" display="Tabuľka 20 - Hotovostné vplyvy na zmenu nominálneho hrubého dlhu"/>
    <hyperlink ref="C27" location="'Graf 23'!A1" tooltip="Tabuľka 8" display="Graf 23 - Stochastická prognóza dlhu"/>
    <hyperlink ref="C29" location="'Tabuľka 4+5+6'!A1" tooltip="Graf 23+24+25+26" display="Tabuľka 4+5+6 - Stagnácia zahraničného dopytu + Pokles úrokových sadzieb + Spomalenie domácej produkcie"/>
    <hyperlink ref="C31" location="'Tabuľka 7 '!A1" tooltip="Tabuľka 9 " display="Tabuľka 7 - Porovnanie bilancie výdavkov a príjmov a NPC v 2020 až 2022"/>
    <hyperlink ref="C32" location="'Tabuľka 8+9'!A1" tooltip="Tabuľka 10 +11+12" display="Tabuľka 8 + 9 - Opatrenia zahrnuté v návrhu rozpočtu verejnej správy"/>
    <hyperlink ref="C33" location="'Tabuľka 10+11'!A1" tooltip="Tabuľka 13" display="Tabuľka 10 + 11 - Úsporné opatrenia hodnoty za peniaze + Výdavky VZP"/>
    <hyperlink ref="C34" location="'Graf 26+27'!A1" tooltip="Graf 27 + 28" display="Graf 26 + 27 - Porovnanie vývoja príjmov VS + Porovnanie rastu daní a odvodov VS"/>
    <hyperlink ref="C35" location="'Graf 28'!A1" tooltip="Graf 29 + 30" display="Graf 28 - Podiel daní na HDP"/>
    <hyperlink ref="C36" location="'Graf 29 '!A1" tooltip="Graf 31+32 " display="Graf 29 - Daňová medzera na DPH"/>
    <hyperlink ref="C37" location="'Graf 30+31'!A1" tooltip="Graf 35 + 36" display="Graf 30 + 31 - Vývoj výdavkov VS + Vývoj kapitálových výdavkov VS"/>
    <hyperlink ref="C38" location="'Tabuľka 12'!A1" tooltip="Graf 37 + Tabuľka 14" display="Tabuľka 12 - Výdavky verejnej správy podľa klasifikácie COFOG"/>
    <hyperlink ref="C49" location="DRM!A1" display="DRM - "/>
    <hyperlink ref="C7" location="'Graf 3+4'!A1" tooltip="Graf 3 + 4" display="Graf 3 + 4 - Príspevky k rastu HDP"/>
    <hyperlink ref="C9" location="'Graf 6+7'!A1" display="Graf 6 + 7 - Príspevky odvetví k rastu zamestnanosti + Príspevky k inflácii"/>
    <hyperlink ref="C13" location="'Graf 11+12'!A1" display="Graf 11 + 12 - Hlavné zmeny v revízii národných účtov + Hrubý dlh VS pred a po revízii"/>
    <hyperlink ref="C17" location="'Graf 15'!A1" display="Graf 15 – Medziročná zmena príjmov a výdavkov ako % HDP  spolu a bez EU fondov"/>
    <hyperlink ref="C18" location="'Graf 16'!A1" display="Graf 16 - Nominálne saldá podľa subsektorov"/>
    <hyperlink ref="C28" location="'Graf 24+25'!A1" display="Graf 24+25 -  Nominálne saldo VS a hrubý dlh v základnom a rizikových scenároch"/>
    <hyperlink ref="C40" location="'Tabuľka 13'!A1" display="Tabuľka 13 - Prognóza vybraných indikátorov vývoja ekonomiky SR"/>
    <hyperlink ref="C41" location="'Tabuľka 14'!A1" display="Tabuľka  14 - Porovnanie prognóz Európskej komisie a Ministerstva financií SR"/>
    <hyperlink ref="C42" location="'Tabuľka 15'!A1" display="Tabuľka 15 - Porovnanie rozpočtových cieľov s Programom stability"/>
    <hyperlink ref="C46" location="'Tabuľka 17 '!A1" display="Tabuľka 17 - Priemerná prognóza členov Výboru a prognóza MF SR"/>
    <hyperlink ref="C47" location="ESA_porovnanie!A1" display="Tabuľka 19 - Saldo VS "/>
    <hyperlink ref="C50" location="'Tabuľka 23'!A1" display="Tabuľka 23 - Zoznam opatrení "/>
    <hyperlink ref="O5" location="'Graf 1 + 2'!A1" tooltip="Graf 1 + 2" display="Graf 1 + 2"/>
    <hyperlink ref="O7" location="'Graf 3 + 4'!A1" tooltip="Graf 3 + 4" display="Graf 3 + 4"/>
    <hyperlink ref="O9" location="'Graf 6+7'!A1" tooltip="Graf 7 + 8" display="Figure 6 + 7 - Contributions of sectors to employment growth +  Contributions to inflation"/>
    <hyperlink ref="O11" location="'Box 2_ Graf 9_ Tabuľka 1'!A1" tooltip="Box 2_ Graf 9_ Tabuľka 1" display="Box 2_ Graf 9_ Tabuľka 1"/>
    <hyperlink ref="O14" location="'Graf 13 '!A1" tooltip="Graf 11 " display="Figure 13 - Analytical breakdown of headline balance development in 2019"/>
    <hyperlink ref="O15" location="'Graf 14'!A1" tooltip="Graf 12" display="Figure 14 - Contributions to change of tax forecast against budget"/>
    <hyperlink ref="O17" location="'Graf 15'!A1" tooltip="Tabuľka 3" display="Figure 15 - Year of year change of revenues and expenditures (in p. p. GDP)"/>
    <hyperlink ref="O18" location="'Graf 16'!A1" tooltip="Tabuľka 4" display="Figure 16 - Nominal balance according subsectors (% GDP)"/>
    <hyperlink ref="O19" location="'Tabuľka 2 '!A1" tooltip="BOX 3 _ graf 13 + 14 _ Tab5" display="TABLE 2: Consolidation effort in EC methodology"/>
    <hyperlink ref="O20" location="'Graf 17'!A1" tooltip="Graf 15 + 16" display="Figure 17: Change in primary structural balance vs output gap level (GDP %)"/>
    <hyperlink ref="O21" location="'Tab 3 + Graf 18'!A1" tooltip="Tab 6 + Graf 17 + 18" display="Table 3 + Figure 18 - Expenditure benchmark"/>
    <hyperlink ref="O23" location="'Graf 19'!A1" tooltip="Graf 19" display="Figure 19 - General government gross debt"/>
    <hyperlink ref="O24" location="'Graf 20'!A1" tooltip="Graf 20" display="Figure 20 - Contributions to debt change"/>
    <hyperlink ref="O25" location="'Graf 21'!A1" tooltip="Graf 21" display="Figure 21 - Net debt"/>
    <hyperlink ref="O26" location="'Graf 22 '!A1" tooltip="Graf 22" display="Figure 22 - Use of State Treasury liquid resources (% GDP) "/>
    <hyperlink ref="O27" location="'Graf 23'!A1" tooltip="Tabuľka 7" display="Figure 23 - Stochastic debt forecast (% GDP)"/>
    <hyperlink ref="O28" location="'Graf 24+25'!A1" tooltip="Tabuľka 8" display="Figure 24 + 25 -  Nominal balance and gross debt in baseline and risk scenarios "/>
    <hyperlink ref="O29" location="'Tabuľka 4+5+6'!A1" tooltip="Graf 23+24+25+26" display="Table 4 + 5 +6 - Stagnation of foreign demand + Drop in interest rate + Slowdown of domestic production"/>
    <hyperlink ref="O31" location="'Tabuľka 7 '!A1" tooltip="Tabuľka 9 " display="Table 7 - Comparison of Expenditure and Revenue Balance and NPC"/>
    <hyperlink ref="O32" location="'Tabuľka 8+9'!A1" tooltip="Tabuľka 13" display="Table 8 + 9 -  Measures included in the draft general government budget"/>
    <hyperlink ref="O33" location="'Tabuľka 10+11'!A1" tooltip="Graf 27 + 28" display="Table 10 + 11 - Austerity measurey of Value for money + Expenditure of health care insurance"/>
    <hyperlink ref="O34" location="'Graf 26+27'!A1" tooltip="Graf 29 + 30" display="Figure 26 + 27: Comparison of revenues + Comparison of tax and contribution growth"/>
    <hyperlink ref="O36" location="'Graf 29 '!A1" tooltip="Graf 31+32 " display="Figure 29 - VAT gap (% of potential revenue) "/>
    <hyperlink ref="O37" location="'Graf 30+31'!A1" tooltip="Graf 35 + 36" display="Figure 30 + 31 - Development of the general government expenditures  + Development of the general government capital expenditures"/>
    <hyperlink ref="O38" location="'Tabuľka 12'!A1" tooltip="Graf 37 + Tabuľka 14" display="Figure 37 + Table 14 - General government expenditure by COFOG classification"/>
    <hyperlink ref="O49" location="DRM!A1" display="Discretionary revenue measures"/>
    <hyperlink ref="O45" location="'Graf 34'!A1" tooltip="Graf 10" display="Graf 34 - Comparison of forecasts of macroeconomic bases for tax revenues with MFC members"/>
    <hyperlink ref="O5:X5" location="'Graf 1+2'!A1" tooltip="Graf 1 + 2" display="Figure 1 + 2 - Structural balance + GG gross debt"/>
    <hyperlink ref="O7:R7" location="'Graf 3+4'!A1" tooltip="Graf 3 + 4" display="Figure 3 + 4 - Contributions to GDP growth "/>
    <hyperlink ref="O8" location="'Graf 5'!A1" display="Figure 5: Contribution to the real GDP before and after the revision"/>
    <hyperlink ref="O10" location="'Graf 8+9'!A1" display="Figure 8 + 9 - PMI in eurozone + Government bond yields"/>
    <hyperlink ref="O11:X11" location="'Graf 10+Tabuľka 1'!A1" tooltip="Box 2_ Graf 9_ Tabuľka 1" display="Figure 10 + Table 1 - Output gap and factor contributions to potential growth + Output gap (% pot. GDP) – EC approach and MoF methodology"/>
    <hyperlink ref="O13" location="'Graf 11+12'!A1" display="Figure 11 + 12 - Changes in revision of national accounts + Gross debt before and after revision"/>
    <hyperlink ref="O35" location="'Graf 28'!A1" display="Figure 28 - Tax revenues to GDP (% HDP)"/>
    <hyperlink ref="O40" location="'Tabuľka 13'!A1" display="Table 13: Forecast of selected economic indicators"/>
    <hyperlink ref="O41" location="'Tabuľka 14'!A1" display="Table 14: Comparison of forcasts - EC and MoF SR"/>
    <hyperlink ref="O42:U42" location="'Tabuľka 15'!A1" display="TABLE 15 - Comparison with the Stability Programme"/>
    <hyperlink ref="O43" location="'Graf 32+33'!A1" display="Figure 32 + 33 - Comparison of structural balance + Contributions to change of structural balance"/>
    <hyperlink ref="O46" location="'Tabuľka 17 '!A1" display="Table 17 - Average forecast of MFC member and forecast of MoF SR"/>
    <hyperlink ref="O47" location="ESA_porovnanie!A1" display="Table 19 - GG balance"/>
    <hyperlink ref="O48" location="'Tabuľka 20'!A1" display="Table 20: General Government Gross debt ( mil. eur)"/>
    <hyperlink ref="O50" location="'Tabuľka 23'!A1" display="Table 23 - List of measure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58"/>
  <sheetViews>
    <sheetView showGridLines="0" topLeftCell="A10" zoomScaleNormal="100" workbookViewId="0">
      <selection activeCell="G5" sqref="G5"/>
    </sheetView>
  </sheetViews>
  <sheetFormatPr defaultColWidth="9.109375" defaultRowHeight="10.199999999999999" x14ac:dyDescent="0.2"/>
  <cols>
    <col min="1" max="1" width="8.6640625" style="435" customWidth="1"/>
    <col min="2" max="3" width="17.88671875" style="435" customWidth="1"/>
    <col min="4" max="5" width="8.44140625" style="435" customWidth="1"/>
    <col min="6" max="15" width="8.33203125" style="435" customWidth="1"/>
    <col min="16" max="16384" width="9.109375" style="435"/>
  </cols>
  <sheetData>
    <row r="5" spans="2:7" ht="13.8" x14ac:dyDescent="0.25">
      <c r="B5" s="445" t="s">
        <v>866</v>
      </c>
      <c r="C5" s="445"/>
      <c r="G5" s="445" t="s">
        <v>1094</v>
      </c>
    </row>
    <row r="6" spans="2:7" ht="14.4" x14ac:dyDescent="0.3">
      <c r="B6" s="444"/>
      <c r="C6" s="444"/>
    </row>
    <row r="7" spans="2:7" ht="14.4" x14ac:dyDescent="0.3">
      <c r="B7" s="444"/>
      <c r="C7" s="444"/>
    </row>
    <row r="8" spans="2:7" ht="14.4" x14ac:dyDescent="0.3">
      <c r="B8" s="444"/>
      <c r="C8" s="444"/>
    </row>
    <row r="9" spans="2:7" ht="14.4" x14ac:dyDescent="0.3">
      <c r="B9" s="444"/>
      <c r="C9" s="444"/>
    </row>
    <row r="10" spans="2:7" ht="14.4" x14ac:dyDescent="0.3">
      <c r="B10" s="444"/>
      <c r="C10" s="444"/>
    </row>
    <row r="11" spans="2:7" ht="14.4" x14ac:dyDescent="0.3">
      <c r="B11" s="444"/>
      <c r="C11" s="444"/>
    </row>
    <row r="12" spans="2:7" ht="14.4" x14ac:dyDescent="0.3">
      <c r="B12" s="444"/>
      <c r="C12" s="444"/>
    </row>
    <row r="13" spans="2:7" ht="14.4" x14ac:dyDescent="0.3">
      <c r="B13" s="444"/>
      <c r="C13" s="444"/>
    </row>
    <row r="14" spans="2:7" ht="14.4" x14ac:dyDescent="0.3">
      <c r="B14" s="444"/>
      <c r="C14" s="444"/>
    </row>
    <row r="15" spans="2:7" ht="14.4" x14ac:dyDescent="0.3">
      <c r="B15" s="444"/>
      <c r="C15" s="444"/>
    </row>
    <row r="16" spans="2:7" ht="14.4" x14ac:dyDescent="0.3">
      <c r="B16" s="444"/>
      <c r="C16" s="444"/>
    </row>
    <row r="17" spans="2:14" ht="14.4" x14ac:dyDescent="0.3">
      <c r="B17" s="444"/>
      <c r="C17" s="444"/>
    </row>
    <row r="18" spans="2:14" ht="14.4" x14ac:dyDescent="0.3">
      <c r="B18" s="444"/>
      <c r="C18" s="444"/>
    </row>
    <row r="19" spans="2:14" ht="13.8" x14ac:dyDescent="0.25">
      <c r="B19" s="761" t="s">
        <v>176</v>
      </c>
      <c r="C19" s="761" t="s">
        <v>1010</v>
      </c>
    </row>
    <row r="20" spans="2:14" ht="13.8" x14ac:dyDescent="0.25">
      <c r="B20" s="761" t="s">
        <v>1095</v>
      </c>
      <c r="C20" s="761" t="s">
        <v>1096</v>
      </c>
    </row>
    <row r="21" spans="2:14" ht="14.4" thickBot="1" x14ac:dyDescent="0.35">
      <c r="B21" s="437"/>
      <c r="C21" s="437"/>
      <c r="D21" s="443">
        <v>2008</v>
      </c>
      <c r="E21" s="443">
        <v>2009</v>
      </c>
      <c r="F21" s="443">
        <v>2010</v>
      </c>
      <c r="G21" s="443">
        <v>2011</v>
      </c>
      <c r="H21" s="443">
        <v>2012</v>
      </c>
      <c r="I21" s="443">
        <v>2013</v>
      </c>
      <c r="J21" s="443">
        <v>2014</v>
      </c>
      <c r="K21" s="443">
        <v>2015</v>
      </c>
      <c r="L21" s="443">
        <v>2016</v>
      </c>
      <c r="M21" s="443">
        <v>2017</v>
      </c>
      <c r="N21" s="443">
        <v>2018</v>
      </c>
    </row>
    <row r="22" spans="2:14" ht="13.8" x14ac:dyDescent="0.3">
      <c r="B22" s="436" t="s">
        <v>657</v>
      </c>
      <c r="C22" s="730" t="s">
        <v>1031</v>
      </c>
      <c r="D22" s="441">
        <v>5.1400463706498312E-2</v>
      </c>
      <c r="E22" s="441">
        <v>7.0975944619988726E-2</v>
      </c>
      <c r="F22" s="441">
        <v>6.8866320495195865E-2</v>
      </c>
      <c r="G22" s="441">
        <v>6.9490224729282762E-2</v>
      </c>
      <c r="H22" s="441">
        <v>3.6109678351111021E-2</v>
      </c>
      <c r="I22" s="441">
        <v>8.1326821201379157E-3</v>
      </c>
      <c r="J22" s="441">
        <v>4.2669133150918602E-2</v>
      </c>
      <c r="K22" s="441">
        <v>0</v>
      </c>
      <c r="L22" s="441">
        <v>0</v>
      </c>
      <c r="M22" s="441">
        <v>0</v>
      </c>
      <c r="N22" s="441">
        <v>0</v>
      </c>
    </row>
    <row r="23" spans="2:14" ht="13.8" x14ac:dyDescent="0.3">
      <c r="B23" s="436" t="s">
        <v>658</v>
      </c>
      <c r="C23" s="730" t="s">
        <v>1030</v>
      </c>
      <c r="D23" s="441">
        <v>-0.1545357386891239</v>
      </c>
      <c r="E23" s="441">
        <v>-0.13435306943899936</v>
      </c>
      <c r="F23" s="441">
        <v>-8.9405761994042376E-2</v>
      </c>
      <c r="G23" s="441">
        <v>-0.11998918263785059</v>
      </c>
      <c r="H23" s="441">
        <v>-0.13199502087244769</v>
      </c>
      <c r="I23" s="441">
        <v>-0.13442924460717359</v>
      </c>
      <c r="J23" s="441">
        <v>-0.12989732163199011</v>
      </c>
      <c r="K23" s="441">
        <v>-0.12270047646496873</v>
      </c>
      <c r="L23" s="441">
        <v>-0.11909845746205161</v>
      </c>
      <c r="M23" s="441">
        <v>-0.11031825081731039</v>
      </c>
      <c r="N23" s="441">
        <v>-0.10587705866761754</v>
      </c>
    </row>
    <row r="24" spans="2:14" ht="13.8" x14ac:dyDescent="0.3">
      <c r="B24" s="436" t="s">
        <v>654</v>
      </c>
      <c r="C24" s="730" t="s">
        <v>1029</v>
      </c>
      <c r="D24" s="441">
        <v>0</v>
      </c>
      <c r="E24" s="441">
        <v>-0.22409099215751813</v>
      </c>
      <c r="F24" s="441">
        <v>-1.3207097649654543E-2</v>
      </c>
      <c r="G24" s="441">
        <v>-3.0094637759956504E-2</v>
      </c>
      <c r="H24" s="441">
        <v>-3.0943489653180382E-2</v>
      </c>
      <c r="I24" s="441">
        <v>-3.8166439896694979E-2</v>
      </c>
      <c r="J24" s="441">
        <v>-0.12340219269612367</v>
      </c>
      <c r="K24" s="441">
        <v>-3.4400561993782983E-2</v>
      </c>
      <c r="L24" s="441">
        <v>-2.1660532573081551E-2</v>
      </c>
      <c r="M24" s="441">
        <v>-5.3132039629904107E-2</v>
      </c>
      <c r="N24" s="441">
        <v>-5.2900281754947029E-2</v>
      </c>
    </row>
    <row r="25" spans="2:14" ht="13.8" x14ac:dyDescent="0.3">
      <c r="B25" s="436" t="s">
        <v>655</v>
      </c>
      <c r="C25" s="730" t="s">
        <v>1028</v>
      </c>
      <c r="D25" s="441">
        <v>8.2126859352095721E-3</v>
      </c>
      <c r="E25" s="441">
        <v>8.7858913423436227E-3</v>
      </c>
      <c r="F25" s="441">
        <v>8.3238010396982417E-3</v>
      </c>
      <c r="G25" s="441">
        <v>-0.11510721081962758</v>
      </c>
      <c r="H25" s="441">
        <v>1.5729641626606696E-2</v>
      </c>
      <c r="I25" s="441">
        <v>-0.19313771779007899</v>
      </c>
      <c r="J25" s="441">
        <v>-0.17676949451113633</v>
      </c>
      <c r="K25" s="441">
        <v>3.5129665882646217E-2</v>
      </c>
      <c r="L25" s="441">
        <v>3.5046628439121999E-2</v>
      </c>
      <c r="M25" s="441">
        <v>3.2737435326829989E-2</v>
      </c>
      <c r="N25" s="441">
        <v>2.1366538765284784E-2</v>
      </c>
    </row>
    <row r="26" spans="2:14" ht="13.8" x14ac:dyDescent="0.3">
      <c r="B26" s="436" t="s">
        <v>659</v>
      </c>
      <c r="C26" s="730" t="s">
        <v>1032</v>
      </c>
      <c r="D26" s="441">
        <v>0</v>
      </c>
      <c r="E26" s="441">
        <v>-6.9273434119872357E-2</v>
      </c>
      <c r="F26" s="441">
        <v>-1.2134252182315658E-4</v>
      </c>
      <c r="G26" s="441">
        <v>-1.7430961442617011E-2</v>
      </c>
      <c r="H26" s="441">
        <v>4.3687030197995969E-2</v>
      </c>
      <c r="I26" s="441">
        <v>-3.1778401454186115E-3</v>
      </c>
      <c r="J26" s="441">
        <v>-1.0699482935428706E-2</v>
      </c>
      <c r="K26" s="441">
        <v>7.5007984129847102E-3</v>
      </c>
      <c r="L26" s="441">
        <v>-0.1243886307294457</v>
      </c>
      <c r="M26" s="441">
        <v>-1.3219663476890057E-2</v>
      </c>
      <c r="N26" s="441">
        <v>-1.0056341676952124E-2</v>
      </c>
    </row>
    <row r="27" spans="2:14" ht="14.4" thickBot="1" x14ac:dyDescent="0.35">
      <c r="B27" s="438" t="s">
        <v>517</v>
      </c>
      <c r="C27" s="729" t="s">
        <v>998</v>
      </c>
      <c r="D27" s="442">
        <v>-2.7448621436789328E-4</v>
      </c>
      <c r="E27" s="442">
        <v>2.5258571854066772E-4</v>
      </c>
      <c r="F27" s="442">
        <v>-2.5550578465096448E-4</v>
      </c>
      <c r="G27" s="442">
        <v>-7.3147656062933267E-4</v>
      </c>
      <c r="H27" s="442">
        <v>3.6062816462164698E-4</v>
      </c>
      <c r="I27" s="442">
        <v>-1.1023249566370183E-3</v>
      </c>
      <c r="J27" s="442">
        <v>-8.2783874226912487E-4</v>
      </c>
      <c r="K27" s="442">
        <v>-2.766762639506158E-3</v>
      </c>
      <c r="L27" s="442">
        <v>-6.0197162863767232E-3</v>
      </c>
      <c r="M27" s="442">
        <v>2.5827984745574639E-3</v>
      </c>
      <c r="N27" s="442">
        <v>2.5429395721519133E-2</v>
      </c>
    </row>
    <row r="28" spans="2:14" ht="14.4" thickBot="1" x14ac:dyDescent="0.35">
      <c r="B28" s="439" t="s">
        <v>656</v>
      </c>
      <c r="C28" s="728" t="s">
        <v>1027</v>
      </c>
      <c r="D28" s="440">
        <v>-9.519707526178392E-2</v>
      </c>
      <c r="E28" s="440">
        <v>-0.34768544478477298</v>
      </c>
      <c r="F28" s="440">
        <v>-2.5803043329638797E-2</v>
      </c>
      <c r="G28" s="440">
        <v>-0.21384112636491323</v>
      </c>
      <c r="H28" s="440">
        <v>-6.7072424298692632E-2</v>
      </c>
      <c r="I28" s="440">
        <v>-0.36179649384056511</v>
      </c>
      <c r="J28" s="440">
        <v>-0.39884455047050976</v>
      </c>
      <c r="K28" s="440">
        <v>-0.11686511813087788</v>
      </c>
      <c r="L28" s="440">
        <v>-0.23517694866277727</v>
      </c>
      <c r="M28" s="440">
        <v>-0.14184768444459395</v>
      </c>
      <c r="N28" s="440">
        <v>-0.12815821344916134</v>
      </c>
    </row>
    <row r="33" spans="2:7" ht="13.8" x14ac:dyDescent="0.25">
      <c r="B33" s="445" t="s">
        <v>867</v>
      </c>
      <c r="C33" s="445"/>
      <c r="G33" s="445" t="s">
        <v>1097</v>
      </c>
    </row>
    <row r="52" spans="2:7" ht="13.8" x14ac:dyDescent="0.25">
      <c r="B52" s="761" t="s">
        <v>176</v>
      </c>
      <c r="C52" s="761" t="s">
        <v>1010</v>
      </c>
    </row>
    <row r="53" spans="2:7" ht="13.8" x14ac:dyDescent="0.25">
      <c r="B53" s="761" t="s">
        <v>1098</v>
      </c>
      <c r="C53" s="761" t="s">
        <v>1099</v>
      </c>
    </row>
    <row r="55" spans="2:7" ht="13.8" x14ac:dyDescent="0.25">
      <c r="B55" s="711"/>
      <c r="C55" s="711"/>
      <c r="D55" s="712">
        <v>2015</v>
      </c>
      <c r="E55" s="712">
        <v>2016</v>
      </c>
      <c r="F55" s="712">
        <v>2017</v>
      </c>
      <c r="G55" s="712">
        <v>2018</v>
      </c>
    </row>
    <row r="56" spans="2:7" ht="13.8" x14ac:dyDescent="0.25">
      <c r="B56" s="708" t="s">
        <v>963</v>
      </c>
      <c r="C56" s="732" t="s">
        <v>1015</v>
      </c>
      <c r="D56" s="713">
        <v>52.180811561745386</v>
      </c>
      <c r="E56" s="713">
        <v>51.773085941220621</v>
      </c>
      <c r="F56" s="713">
        <v>50.949557197402193</v>
      </c>
      <c r="G56" s="713">
        <v>48.939721218158212</v>
      </c>
    </row>
    <row r="57" spans="2:7" ht="13.8" x14ac:dyDescent="0.25">
      <c r="B57" s="708" t="s">
        <v>964</v>
      </c>
      <c r="C57" s="732" t="s">
        <v>1034</v>
      </c>
      <c r="D57" s="713">
        <v>51.88713014805073</v>
      </c>
      <c r="E57" s="713">
        <v>52.024438938987174</v>
      </c>
      <c r="F57" s="713">
        <v>51.314560898129315</v>
      </c>
      <c r="G57" s="713">
        <v>49.399662582749201</v>
      </c>
    </row>
    <row r="58" spans="2:7" ht="14.4" x14ac:dyDescent="0.3">
      <c r="B58" s="711" t="s">
        <v>965</v>
      </c>
      <c r="C58" s="731" t="s">
        <v>1033</v>
      </c>
      <c r="D58" s="714">
        <v>50</v>
      </c>
      <c r="E58" s="714">
        <v>50</v>
      </c>
      <c r="F58" s="714">
        <v>50</v>
      </c>
      <c r="G58" s="714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5:Q51"/>
  <sheetViews>
    <sheetView showGridLines="0" topLeftCell="A16" zoomScaleNormal="100" workbookViewId="0">
      <selection activeCell="E27" sqref="E27"/>
    </sheetView>
  </sheetViews>
  <sheetFormatPr defaultColWidth="9.109375" defaultRowHeight="13.8" x14ac:dyDescent="0.3"/>
  <cols>
    <col min="1" max="1" width="9.109375" style="135"/>
    <col min="2" max="2" width="7.88671875" style="135" customWidth="1"/>
    <col min="3" max="4" width="11.109375" style="135" customWidth="1"/>
    <col min="5" max="6" width="9.109375" style="135"/>
    <col min="7" max="7" width="51.5546875" style="135" customWidth="1"/>
    <col min="8" max="10" width="9.109375" style="135"/>
    <col min="11" max="11" width="53.44140625" style="135" bestFit="1" customWidth="1"/>
    <col min="12" max="12" width="23.109375" style="135" customWidth="1"/>
    <col min="13" max="13" width="7.44140625" style="135" customWidth="1"/>
    <col min="14" max="14" width="10.33203125" style="135" customWidth="1"/>
    <col min="15" max="17" width="7.44140625" style="135" customWidth="1"/>
    <col min="18" max="18" width="28.5546875" style="135" bestFit="1" customWidth="1"/>
    <col min="19" max="16384" width="9.109375" style="135"/>
  </cols>
  <sheetData>
    <row r="5" spans="2:17" ht="14.4" thickBot="1" x14ac:dyDescent="0.35">
      <c r="B5" s="860" t="s">
        <v>868</v>
      </c>
      <c r="C5" s="860"/>
      <c r="D5" s="860"/>
      <c r="E5" s="860"/>
      <c r="F5" s="860"/>
      <c r="G5" s="860"/>
      <c r="K5" s="136" t="s">
        <v>176</v>
      </c>
      <c r="L5" s="136" t="s">
        <v>1010</v>
      </c>
      <c r="M5" s="137"/>
      <c r="N5" s="137"/>
      <c r="O5" s="137"/>
      <c r="P5" s="137"/>
      <c r="Q5" s="137"/>
    </row>
    <row r="6" spans="2:17" ht="33" customHeight="1" x14ac:dyDescent="0.3">
      <c r="K6" s="170" t="s">
        <v>660</v>
      </c>
      <c r="L6" s="170"/>
      <c r="M6" s="171" t="s">
        <v>126</v>
      </c>
      <c r="N6" s="171" t="s">
        <v>127</v>
      </c>
      <c r="O6" s="171" t="s">
        <v>128</v>
      </c>
      <c r="P6" s="171" t="s">
        <v>129</v>
      </c>
      <c r="Q6" s="171" t="s">
        <v>130</v>
      </c>
    </row>
    <row r="7" spans="2:17" x14ac:dyDescent="0.3">
      <c r="B7" s="138"/>
      <c r="C7" s="139"/>
      <c r="K7" s="337" t="s">
        <v>241</v>
      </c>
      <c r="L7" s="337" t="s">
        <v>996</v>
      </c>
      <c r="M7" s="338">
        <v>0</v>
      </c>
      <c r="N7" s="172">
        <v>0</v>
      </c>
      <c r="O7" s="173"/>
      <c r="P7" s="173"/>
      <c r="Q7" s="173">
        <v>0</v>
      </c>
    </row>
    <row r="8" spans="2:17" x14ac:dyDescent="0.3">
      <c r="K8" s="339" t="s">
        <v>871</v>
      </c>
      <c r="L8" s="339" t="s">
        <v>1009</v>
      </c>
      <c r="M8" s="340">
        <v>214</v>
      </c>
      <c r="N8" s="172">
        <v>214</v>
      </c>
      <c r="O8" s="173">
        <v>0</v>
      </c>
      <c r="P8" s="173">
        <v>0</v>
      </c>
      <c r="Q8" s="173">
        <v>214</v>
      </c>
    </row>
    <row r="9" spans="2:17" x14ac:dyDescent="0.3">
      <c r="K9" s="339" t="s">
        <v>872</v>
      </c>
      <c r="L9" s="339" t="s">
        <v>1003</v>
      </c>
      <c r="M9" s="340">
        <v>69</v>
      </c>
      <c r="N9" s="172">
        <v>283</v>
      </c>
      <c r="O9" s="173">
        <v>0</v>
      </c>
      <c r="P9" s="173">
        <v>214</v>
      </c>
      <c r="Q9" s="173">
        <v>69</v>
      </c>
    </row>
    <row r="10" spans="2:17" x14ac:dyDescent="0.3">
      <c r="K10" s="339" t="s">
        <v>661</v>
      </c>
      <c r="L10" s="339" t="s">
        <v>999</v>
      </c>
      <c r="M10" s="340">
        <v>68.287794079999998</v>
      </c>
      <c r="N10" s="172">
        <v>351.28779408000003</v>
      </c>
      <c r="O10" s="173">
        <v>0</v>
      </c>
      <c r="P10" s="173">
        <v>283</v>
      </c>
      <c r="Q10" s="173">
        <v>68.287794079999998</v>
      </c>
    </row>
    <row r="11" spans="2:17" x14ac:dyDescent="0.3">
      <c r="K11" s="339" t="s">
        <v>662</v>
      </c>
      <c r="L11" s="339" t="s">
        <v>1004</v>
      </c>
      <c r="M11" s="340">
        <v>59.667560999999999</v>
      </c>
      <c r="N11" s="172">
        <v>410.95535508</v>
      </c>
      <c r="O11" s="173">
        <v>0</v>
      </c>
      <c r="P11" s="173">
        <v>351.28779408000003</v>
      </c>
      <c r="Q11" s="173">
        <v>59.667560999999999</v>
      </c>
    </row>
    <row r="12" spans="2:17" x14ac:dyDescent="0.3">
      <c r="K12" s="339" t="s">
        <v>663</v>
      </c>
      <c r="L12" s="339" t="s">
        <v>1005</v>
      </c>
      <c r="M12" s="340">
        <v>29.883662999999999</v>
      </c>
      <c r="N12" s="172">
        <v>440.83901808000002</v>
      </c>
      <c r="O12" s="173">
        <v>0</v>
      </c>
      <c r="P12" s="173">
        <v>410.95535508</v>
      </c>
      <c r="Q12" s="173">
        <v>29.883662999999999</v>
      </c>
    </row>
    <row r="13" spans="2:17" x14ac:dyDescent="0.3">
      <c r="K13" s="339" t="s">
        <v>664</v>
      </c>
      <c r="L13" s="339" t="s">
        <v>1006</v>
      </c>
      <c r="M13" s="340">
        <v>-210.30445496639999</v>
      </c>
      <c r="N13" s="172">
        <v>230.53456311360003</v>
      </c>
      <c r="O13" s="173">
        <v>0</v>
      </c>
      <c r="P13" s="173">
        <v>230.53456311360003</v>
      </c>
      <c r="Q13" s="173">
        <v>210.30445496639999</v>
      </c>
    </row>
    <row r="14" spans="2:17" x14ac:dyDescent="0.3">
      <c r="K14" s="339" t="s">
        <v>665</v>
      </c>
      <c r="L14" s="339" t="s">
        <v>1007</v>
      </c>
      <c r="M14" s="340">
        <v>-180</v>
      </c>
      <c r="N14" s="172">
        <v>50.534563113600029</v>
      </c>
      <c r="O14" s="173">
        <v>0</v>
      </c>
      <c r="P14" s="173">
        <v>50.534563113600029</v>
      </c>
      <c r="Q14" s="173">
        <v>180</v>
      </c>
    </row>
    <row r="15" spans="2:17" x14ac:dyDescent="0.3">
      <c r="K15" s="339" t="s">
        <v>666</v>
      </c>
      <c r="L15" s="339" t="s">
        <v>1008</v>
      </c>
      <c r="M15" s="340">
        <v>-176.1</v>
      </c>
      <c r="N15" s="172">
        <v>-125.56543688639997</v>
      </c>
      <c r="O15" s="173">
        <v>50.534563113600029</v>
      </c>
      <c r="P15" s="173">
        <v>0</v>
      </c>
      <c r="Q15" s="173">
        <v>-125.56543688639997</v>
      </c>
    </row>
    <row r="16" spans="2:17" x14ac:dyDescent="0.3">
      <c r="K16" s="339" t="s">
        <v>667</v>
      </c>
      <c r="L16" s="339" t="s">
        <v>1000</v>
      </c>
      <c r="M16" s="340">
        <v>-166.6</v>
      </c>
      <c r="N16" s="172">
        <v>-292.16543688639996</v>
      </c>
      <c r="O16" s="173">
        <v>0</v>
      </c>
      <c r="P16" s="173">
        <v>-125.56543688639997</v>
      </c>
      <c r="Q16" s="173">
        <v>-166.6</v>
      </c>
    </row>
    <row r="17" spans="2:17" x14ac:dyDescent="0.3">
      <c r="K17" s="339" t="s">
        <v>668</v>
      </c>
      <c r="L17" s="339" t="s">
        <v>1001</v>
      </c>
      <c r="M17" s="340">
        <v>-126.744354</v>
      </c>
      <c r="N17" s="172">
        <v>-418.90979088639995</v>
      </c>
      <c r="O17" s="173">
        <v>0</v>
      </c>
      <c r="P17" s="173">
        <v>-292.16543688639996</v>
      </c>
      <c r="Q17" s="173">
        <v>-126.744354</v>
      </c>
    </row>
    <row r="18" spans="2:17" x14ac:dyDescent="0.3">
      <c r="K18" s="339" t="s">
        <v>873</v>
      </c>
      <c r="L18" s="339" t="s">
        <v>1002</v>
      </c>
      <c r="M18" s="340">
        <v>-45</v>
      </c>
      <c r="N18" s="172">
        <v>-463.90979088639995</v>
      </c>
      <c r="O18" s="173">
        <v>0</v>
      </c>
      <c r="P18" s="173">
        <v>-418.90979088639995</v>
      </c>
      <c r="Q18" s="173">
        <v>-45</v>
      </c>
    </row>
    <row r="19" spans="2:17" x14ac:dyDescent="0.3">
      <c r="K19" s="339" t="s">
        <v>669</v>
      </c>
      <c r="L19" s="339" t="s">
        <v>998</v>
      </c>
      <c r="M19" s="340">
        <v>-175.59884211360009</v>
      </c>
      <c r="N19" s="172">
        <v>-639.50863300000003</v>
      </c>
      <c r="O19" s="173">
        <v>0</v>
      </c>
      <c r="P19" s="173">
        <v>-463.90979088639995</v>
      </c>
      <c r="Q19" s="173">
        <v>-175.59884211360009</v>
      </c>
    </row>
    <row r="20" spans="2:17" ht="14.4" thickBot="1" x14ac:dyDescent="0.35">
      <c r="K20" s="446" t="s">
        <v>246</v>
      </c>
      <c r="L20" s="446" t="s">
        <v>997</v>
      </c>
      <c r="M20" s="447">
        <v>-639.50863300000003</v>
      </c>
      <c r="N20" s="448">
        <v>-639.50863299999992</v>
      </c>
      <c r="O20" s="449"/>
      <c r="P20" s="449"/>
      <c r="Q20" s="449">
        <v>-639.50863299999992</v>
      </c>
    </row>
    <row r="23" spans="2:17" x14ac:dyDescent="0.3">
      <c r="B23" s="450" t="s">
        <v>670</v>
      </c>
    </row>
    <row r="26" spans="2:17" ht="14.4" thickBot="1" x14ac:dyDescent="0.35">
      <c r="B26" s="860" t="s">
        <v>1100</v>
      </c>
      <c r="C26" s="860"/>
      <c r="D26" s="860"/>
      <c r="E26" s="860"/>
      <c r="F26" s="860"/>
      <c r="G26" s="860"/>
    </row>
    <row r="50" spans="2:7" x14ac:dyDescent="0.3">
      <c r="B50" s="140"/>
      <c r="C50" s="140"/>
      <c r="D50" s="140"/>
      <c r="E50" s="140"/>
      <c r="F50" s="140"/>
      <c r="G50" s="140"/>
    </row>
    <row r="51" spans="2:7" x14ac:dyDescent="0.3">
      <c r="D51" s="141"/>
    </row>
  </sheetData>
  <mergeCells count="2">
    <mergeCell ref="B5:G5"/>
    <mergeCell ref="B26:G2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B4:P49"/>
  <sheetViews>
    <sheetView showGridLines="0" zoomScaleNormal="100" zoomScaleSheetLayoutView="90" workbookViewId="0"/>
  </sheetViews>
  <sheetFormatPr defaultColWidth="9.109375" defaultRowHeight="13.8" x14ac:dyDescent="0.3"/>
  <cols>
    <col min="1" max="1" width="3.44140625" style="142" customWidth="1"/>
    <col min="2" max="2" width="30.109375" style="142" customWidth="1"/>
    <col min="3" max="3" width="24.109375" style="142" customWidth="1"/>
    <col min="4" max="4" width="13.33203125" style="142" bestFit="1" customWidth="1"/>
    <col min="5" max="7" width="7.33203125" style="142" bestFit="1" customWidth="1"/>
    <col min="8" max="8" width="6.44140625" style="142" bestFit="1" customWidth="1"/>
    <col min="9" max="9" width="16.88671875" style="142" customWidth="1"/>
    <col min="10" max="11" width="6.6640625" style="142" bestFit="1" customWidth="1"/>
    <col min="12" max="27" width="7.6640625" style="142" customWidth="1"/>
    <col min="28" max="28" width="6.33203125" style="142" bestFit="1" customWidth="1"/>
    <col min="29" max="32" width="7.109375" style="142" bestFit="1" customWidth="1"/>
    <col min="33" max="33" width="4.44140625" style="142" bestFit="1" customWidth="1"/>
    <col min="34" max="16384" width="9.109375" style="142"/>
  </cols>
  <sheetData>
    <row r="4" spans="2:16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x14ac:dyDescent="0.3">
      <c r="B5" s="113" t="s">
        <v>869</v>
      </c>
      <c r="C5" s="113"/>
      <c r="D5" s="6"/>
      <c r="E5" s="6"/>
      <c r="F5" s="6"/>
      <c r="G5" s="6"/>
      <c r="H5" s="6"/>
      <c r="I5" s="6"/>
      <c r="J5" s="6"/>
      <c r="K5" s="6"/>
      <c r="L5" s="113" t="s">
        <v>1101</v>
      </c>
      <c r="M5" s="6"/>
      <c r="N5" s="6"/>
      <c r="O5" s="6"/>
      <c r="P5" s="6"/>
    </row>
    <row r="6" spans="2:16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3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3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3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3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3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3">
      <c r="B26" s="122"/>
      <c r="C26" s="122"/>
      <c r="D26" s="122"/>
      <c r="E26" s="122"/>
      <c r="F26" s="122"/>
      <c r="G26" s="122"/>
      <c r="H26" s="122"/>
      <c r="I26" s="122"/>
      <c r="J26" s="6"/>
      <c r="K26" s="6"/>
      <c r="L26" s="6"/>
      <c r="M26" s="6"/>
      <c r="N26" s="6"/>
      <c r="O26" s="6"/>
      <c r="P26" s="6"/>
    </row>
    <row r="27" spans="2:16" x14ac:dyDescent="0.3">
      <c r="F27" s="122"/>
      <c r="G27" s="122"/>
      <c r="H27" s="122"/>
      <c r="I27" s="122"/>
      <c r="J27" s="6"/>
      <c r="K27" s="6"/>
      <c r="L27" s="6"/>
      <c r="M27" s="6"/>
      <c r="N27" s="6"/>
      <c r="O27" s="6"/>
      <c r="P27" s="6"/>
    </row>
    <row r="28" spans="2:16" x14ac:dyDescent="0.3">
      <c r="B28" s="142" t="s">
        <v>176</v>
      </c>
      <c r="C28" s="142" t="s">
        <v>1010</v>
      </c>
      <c r="F28" s="328"/>
      <c r="G28" s="328"/>
      <c r="H28" s="122"/>
      <c r="M28" s="6"/>
      <c r="N28" s="6"/>
      <c r="O28" s="6"/>
      <c r="P28" s="6"/>
    </row>
    <row r="29" spans="2:16" x14ac:dyDescent="0.3">
      <c r="F29" s="328"/>
      <c r="G29" s="328"/>
      <c r="H29" s="143"/>
    </row>
    <row r="30" spans="2:16" x14ac:dyDescent="0.3">
      <c r="B30" s="142" t="s">
        <v>1111</v>
      </c>
      <c r="C30" s="142" t="s">
        <v>1112</v>
      </c>
      <c r="F30" s="328"/>
      <c r="G30" s="328"/>
      <c r="H30" s="143"/>
    </row>
    <row r="31" spans="2:16" x14ac:dyDescent="0.3">
      <c r="B31" s="16"/>
      <c r="C31" s="16"/>
      <c r="D31" s="19">
        <v>2018</v>
      </c>
      <c r="E31" s="19">
        <v>2019</v>
      </c>
      <c r="F31" s="328"/>
      <c r="G31" s="328"/>
      <c r="H31" s="143"/>
    </row>
    <row r="32" spans="2:16" x14ac:dyDescent="0.3">
      <c r="B32" s="6" t="s">
        <v>532</v>
      </c>
      <c r="C32" s="327" t="s">
        <v>1102</v>
      </c>
      <c r="D32" s="328">
        <v>43.700037159501441</v>
      </c>
      <c r="E32" s="328">
        <v>-130.47126383707757</v>
      </c>
      <c r="F32" s="328"/>
      <c r="G32" s="328"/>
      <c r="H32" s="329"/>
    </row>
    <row r="33" spans="2:9" x14ac:dyDescent="0.3">
      <c r="B33" s="6" t="s">
        <v>533</v>
      </c>
      <c r="C33" s="327" t="s">
        <v>1103</v>
      </c>
      <c r="D33" s="328">
        <v>-53.612243568446715</v>
      </c>
      <c r="E33" s="328">
        <v>218.48586772944512</v>
      </c>
      <c r="F33" s="328"/>
      <c r="G33" s="328"/>
      <c r="H33" s="329"/>
    </row>
    <row r="34" spans="2:9" x14ac:dyDescent="0.3">
      <c r="B34" s="6" t="s">
        <v>534</v>
      </c>
      <c r="C34" s="327" t="s">
        <v>1104</v>
      </c>
      <c r="D34" s="328">
        <v>6.3616369759527913</v>
      </c>
      <c r="E34" s="328">
        <v>-248.97670169294562</v>
      </c>
      <c r="F34" s="331"/>
      <c r="G34" s="331"/>
      <c r="H34" s="329"/>
    </row>
    <row r="35" spans="2:9" x14ac:dyDescent="0.3">
      <c r="B35" s="6" t="s">
        <v>535</v>
      </c>
      <c r="C35" s="327" t="s">
        <v>1105</v>
      </c>
      <c r="D35" s="328">
        <v>-8.2444089999999992</v>
      </c>
      <c r="E35" s="328">
        <v>4.8460000000000001</v>
      </c>
      <c r="F35" s="329"/>
      <c r="G35" s="329"/>
      <c r="H35" s="329"/>
    </row>
    <row r="36" spans="2:9" x14ac:dyDescent="0.3">
      <c r="B36" s="716" t="s">
        <v>923</v>
      </c>
      <c r="C36" s="762" t="s">
        <v>1106</v>
      </c>
      <c r="D36" s="717">
        <v>-14.13929782700607</v>
      </c>
      <c r="E36" s="717">
        <v>7.9064369141798672</v>
      </c>
      <c r="F36" s="328"/>
      <c r="G36" s="328"/>
      <c r="H36" s="329"/>
    </row>
    <row r="37" spans="2:9" x14ac:dyDescent="0.3">
      <c r="B37" s="19" t="s">
        <v>261</v>
      </c>
      <c r="C37" s="19"/>
      <c r="D37" s="715">
        <f>SUM(D32:D36)</f>
        <v>-25.934276259998551</v>
      </c>
      <c r="E37" s="715">
        <f>SUM(E32:E36)</f>
        <v>-148.20966088639821</v>
      </c>
      <c r="F37" s="328"/>
      <c r="G37" s="328"/>
      <c r="H37" s="329"/>
    </row>
    <row r="38" spans="2:9" x14ac:dyDescent="0.3">
      <c r="B38" s="330"/>
      <c r="C38" s="330"/>
      <c r="D38" s="331"/>
      <c r="E38" s="331"/>
      <c r="F38" s="331"/>
      <c r="G38" s="331"/>
      <c r="H38" s="329"/>
    </row>
    <row r="39" spans="2:9" x14ac:dyDescent="0.3">
      <c r="B39" s="16"/>
      <c r="C39" s="716"/>
      <c r="D39" s="19">
        <v>2018</v>
      </c>
      <c r="E39" s="19">
        <v>2019</v>
      </c>
      <c r="F39" s="143"/>
      <c r="G39" s="143"/>
      <c r="H39" s="329"/>
      <c r="I39" s="143"/>
    </row>
    <row r="40" spans="2:9" x14ac:dyDescent="0.3">
      <c r="B40" s="121" t="s">
        <v>258</v>
      </c>
      <c r="C40" s="142" t="s">
        <v>1109</v>
      </c>
      <c r="D40" s="332">
        <v>25.967000000000201</v>
      </c>
      <c r="E40" s="332">
        <v>136.25154503360065</v>
      </c>
      <c r="F40" s="143"/>
      <c r="G40" s="143"/>
      <c r="H40" s="329"/>
      <c r="I40" s="143"/>
    </row>
    <row r="41" spans="2:9" x14ac:dyDescent="0.3">
      <c r="B41" s="121" t="s">
        <v>255</v>
      </c>
      <c r="C41" s="142" t="s">
        <v>1108</v>
      </c>
      <c r="D41" s="332">
        <v>40.402999999999956</v>
      </c>
      <c r="E41" s="332">
        <v>-101.223</v>
      </c>
      <c r="F41" s="143"/>
      <c r="G41" s="143"/>
      <c r="H41" s="329"/>
      <c r="I41" s="143"/>
    </row>
    <row r="42" spans="2:9" x14ac:dyDescent="0.3">
      <c r="B42" s="121" t="s">
        <v>256</v>
      </c>
      <c r="C42" s="142" t="s">
        <v>1107</v>
      </c>
      <c r="D42" s="332">
        <v>-33.354590340001081</v>
      </c>
      <c r="E42" s="332">
        <v>22.107999999999244</v>
      </c>
      <c r="F42" s="143"/>
      <c r="G42" s="143"/>
      <c r="H42" s="329"/>
      <c r="I42" s="143"/>
    </row>
    <row r="43" spans="2:9" x14ac:dyDescent="0.3">
      <c r="B43" s="142" t="s">
        <v>159</v>
      </c>
      <c r="C43" s="142" t="s">
        <v>1117</v>
      </c>
      <c r="D43" s="332">
        <v>-11.999958329999322</v>
      </c>
      <c r="E43" s="332">
        <v>-55.64299999999978</v>
      </c>
      <c r="F43" s="143"/>
      <c r="G43" s="143"/>
      <c r="H43" s="329"/>
      <c r="I43" s="143"/>
    </row>
    <row r="44" spans="2:9" x14ac:dyDescent="0.3">
      <c r="B44" s="121" t="s">
        <v>259</v>
      </c>
      <c r="C44" s="142" t="s">
        <v>1114</v>
      </c>
      <c r="D44" s="332">
        <v>1.4457492000015035</v>
      </c>
      <c r="E44" s="332">
        <v>64.451440480001395</v>
      </c>
      <c r="F44" s="143"/>
      <c r="G44" s="143"/>
      <c r="H44" s="143"/>
      <c r="I44" s="143"/>
    </row>
    <row r="45" spans="2:9" x14ac:dyDescent="0.3">
      <c r="B45" s="121" t="s">
        <v>260</v>
      </c>
      <c r="C45" s="142" t="s">
        <v>1115</v>
      </c>
      <c r="D45" s="332">
        <v>-16.563769579999697</v>
      </c>
      <c r="E45" s="332">
        <v>3.487353600000294</v>
      </c>
      <c r="F45" s="143"/>
      <c r="G45" s="143"/>
      <c r="H45" s="143"/>
      <c r="I45" s="143"/>
    </row>
    <row r="46" spans="2:9" x14ac:dyDescent="0.3">
      <c r="B46" s="121" t="s">
        <v>924</v>
      </c>
      <c r="C46" s="142" t="s">
        <v>1110</v>
      </c>
      <c r="D46" s="332">
        <v>0</v>
      </c>
      <c r="E46" s="332">
        <v>-118.50399999999999</v>
      </c>
      <c r="F46" s="143"/>
      <c r="G46" s="143"/>
      <c r="H46" s="143"/>
      <c r="I46" s="143"/>
    </row>
    <row r="47" spans="2:9" x14ac:dyDescent="0.3">
      <c r="B47" s="142" t="s">
        <v>925</v>
      </c>
      <c r="C47" s="142" t="s">
        <v>1116</v>
      </c>
      <c r="D47" s="332">
        <v>0</v>
      </c>
      <c r="E47" s="332">
        <v>-90</v>
      </c>
    </row>
    <row r="48" spans="2:9" x14ac:dyDescent="0.3">
      <c r="B48" s="121" t="s">
        <v>926</v>
      </c>
      <c r="C48" s="142" t="s">
        <v>998</v>
      </c>
      <c r="D48" s="332">
        <v>-31.831707210000101</v>
      </c>
      <c r="E48" s="332">
        <v>-9.1379999999999484</v>
      </c>
    </row>
    <row r="49" spans="2:5" x14ac:dyDescent="0.3">
      <c r="B49" s="117" t="s">
        <v>147</v>
      </c>
      <c r="C49" s="763" t="s">
        <v>1113</v>
      </c>
      <c r="D49" s="718">
        <f>+SUM(D40:D48)</f>
        <v>-25.934276259998537</v>
      </c>
      <c r="E49" s="718">
        <f>+SUM(E40:E48)</f>
        <v>-148.20966088639815</v>
      </c>
    </row>
  </sheetData>
  <pageMargins left="0.75" right="0.75" top="1" bottom="1" header="0.5" footer="0.5"/>
  <pageSetup paperSize="9" scale="17" orientation="portrait" r:id="rId1"/>
  <headerFooter alignWithMargins="0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showGridLines="0" workbookViewId="0">
      <selection activeCell="I13" sqref="I13"/>
    </sheetView>
  </sheetViews>
  <sheetFormatPr defaultColWidth="8.88671875" defaultRowHeight="14.4" x14ac:dyDescent="0.3"/>
  <cols>
    <col min="1" max="1" width="16.33203125" style="452" bestFit="1" customWidth="1"/>
    <col min="2" max="2" width="16.33203125" style="452" customWidth="1"/>
    <col min="3" max="4" width="19.33203125" style="452" customWidth="1"/>
    <col min="5" max="5" width="7" style="452" customWidth="1"/>
    <col min="6" max="6" width="14.6640625" style="452" customWidth="1"/>
    <col min="7" max="7" width="8.109375" style="452" customWidth="1"/>
    <col min="8" max="8" width="12.88671875" style="452" customWidth="1"/>
    <col min="9" max="9" width="8" style="452" customWidth="1"/>
    <col min="10" max="10" width="12.77734375" style="452" customWidth="1"/>
    <col min="11" max="16384" width="8.88671875" style="452"/>
  </cols>
  <sheetData>
    <row r="2" spans="1:10" x14ac:dyDescent="0.3">
      <c r="C2" s="765" t="s">
        <v>176</v>
      </c>
      <c r="D2" s="765" t="s">
        <v>1010</v>
      </c>
    </row>
    <row r="3" spans="1:10" ht="16.8" customHeight="1" x14ac:dyDescent="0.3">
      <c r="A3" s="451"/>
      <c r="B3" s="451"/>
      <c r="C3" s="765" t="s">
        <v>1124</v>
      </c>
      <c r="D3" s="765" t="s">
        <v>1124</v>
      </c>
    </row>
    <row r="4" spans="1:10" ht="13.95" customHeight="1" x14ac:dyDescent="0.3">
      <c r="E4" s="861">
        <v>2020</v>
      </c>
      <c r="F4" s="861"/>
      <c r="G4" s="861">
        <v>2021</v>
      </c>
      <c r="H4" s="861"/>
      <c r="I4" s="861">
        <v>2022</v>
      </c>
      <c r="J4" s="861"/>
    </row>
    <row r="5" spans="1:10" ht="13.95" customHeight="1" thickBot="1" x14ac:dyDescent="0.35">
      <c r="B5" s="453"/>
      <c r="C5" s="458"/>
      <c r="D5" s="458"/>
      <c r="E5" s="459" t="s">
        <v>222</v>
      </c>
      <c r="F5" s="459" t="s">
        <v>671</v>
      </c>
      <c r="G5" s="459" t="s">
        <v>222</v>
      </c>
      <c r="H5" s="459" t="s">
        <v>671</v>
      </c>
      <c r="I5" s="459" t="s">
        <v>222</v>
      </c>
      <c r="J5" s="459" t="s">
        <v>671</v>
      </c>
    </row>
    <row r="6" spans="1:10" ht="13.95" customHeight="1" x14ac:dyDescent="0.3">
      <c r="B6" s="453"/>
      <c r="C6" s="764"/>
      <c r="D6" s="764"/>
      <c r="E6" s="861">
        <v>2020</v>
      </c>
      <c r="F6" s="861"/>
      <c r="G6" s="861">
        <v>2021</v>
      </c>
      <c r="H6" s="861"/>
      <c r="I6" s="861">
        <v>2022</v>
      </c>
      <c r="J6" s="861"/>
    </row>
    <row r="7" spans="1:10" ht="13.95" customHeight="1" thickBot="1" x14ac:dyDescent="0.35">
      <c r="B7" s="453"/>
      <c r="C7" s="458"/>
      <c r="D7" s="458"/>
      <c r="E7" s="459" t="s">
        <v>1121</v>
      </c>
      <c r="F7" s="459" t="s">
        <v>1122</v>
      </c>
      <c r="G7" s="459" t="s">
        <v>1121</v>
      </c>
      <c r="H7" s="459" t="s">
        <v>1122</v>
      </c>
      <c r="I7" s="459" t="s">
        <v>1121</v>
      </c>
      <c r="J7" s="459" t="s">
        <v>1122</v>
      </c>
    </row>
    <row r="8" spans="1:10" ht="13.95" customHeight="1" x14ac:dyDescent="0.3">
      <c r="C8" s="454" t="s">
        <v>639</v>
      </c>
      <c r="D8" s="454" t="s">
        <v>1118</v>
      </c>
      <c r="E8" s="455">
        <v>-0.46305823150548653</v>
      </c>
      <c r="F8" s="455">
        <v>-2.932725633975064E-2</v>
      </c>
      <c r="G8" s="456">
        <v>3.7562691136749926E-3</v>
      </c>
      <c r="H8" s="456">
        <v>-0.22722694816140754</v>
      </c>
      <c r="I8" s="456">
        <v>0.10467371784254054</v>
      </c>
      <c r="J8" s="456">
        <v>-0.14500010389800755</v>
      </c>
    </row>
    <row r="9" spans="1:10" x14ac:dyDescent="0.3">
      <c r="B9" s="453"/>
      <c r="C9" s="454" t="s">
        <v>640</v>
      </c>
      <c r="D9" s="454" t="s">
        <v>1119</v>
      </c>
      <c r="E9" s="455">
        <v>0.66019466781909175</v>
      </c>
      <c r="F9" s="455">
        <v>0.21932671135433957</v>
      </c>
      <c r="G9" s="456">
        <v>0.48624346130994867</v>
      </c>
      <c r="H9" s="456">
        <v>0.71722667858502565</v>
      </c>
      <c r="I9" s="456">
        <v>-0.10467371784254609</v>
      </c>
      <c r="J9" s="456">
        <v>0.145000103898002</v>
      </c>
    </row>
    <row r="10" spans="1:10" ht="15" thickBot="1" x14ac:dyDescent="0.35">
      <c r="B10" s="453"/>
      <c r="C10" s="459" t="s">
        <v>672</v>
      </c>
      <c r="D10" s="459" t="s">
        <v>1120</v>
      </c>
      <c r="E10" s="460">
        <v>0.18999945501458709</v>
      </c>
      <c r="F10" s="460">
        <v>0.18999945501458709</v>
      </c>
      <c r="G10" s="461">
        <v>0.48999973042361444</v>
      </c>
      <c r="H10" s="461">
        <v>0.48999973042361444</v>
      </c>
      <c r="I10" s="461">
        <v>0</v>
      </c>
      <c r="J10" s="461">
        <v>0</v>
      </c>
    </row>
    <row r="11" spans="1:10" x14ac:dyDescent="0.3">
      <c r="C11" s="457"/>
      <c r="D11" s="457"/>
    </row>
    <row r="12" spans="1:10" x14ac:dyDescent="0.3">
      <c r="B12" s="453"/>
      <c r="C12" s="457"/>
      <c r="D12" s="457"/>
    </row>
    <row r="13" spans="1:10" x14ac:dyDescent="0.3">
      <c r="B13" s="444" t="s">
        <v>870</v>
      </c>
      <c r="C13" s="453"/>
      <c r="D13" s="453"/>
      <c r="E13" s="453"/>
      <c r="F13" s="453"/>
      <c r="I13" s="444" t="s">
        <v>1123</v>
      </c>
    </row>
    <row r="14" spans="1:10" x14ac:dyDescent="0.3">
      <c r="C14" s="457"/>
      <c r="D14" s="457"/>
    </row>
    <row r="15" spans="1:10" x14ac:dyDescent="0.3">
      <c r="B15" s="453"/>
      <c r="C15" s="457"/>
      <c r="D15" s="457"/>
    </row>
  </sheetData>
  <mergeCells count="6">
    <mergeCell ref="E6:F6"/>
    <mergeCell ref="G6:H6"/>
    <mergeCell ref="I6:J6"/>
    <mergeCell ref="E4:F4"/>
    <mergeCell ref="G4:H4"/>
    <mergeCell ref="I4:J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showGridLines="0" workbookViewId="0">
      <selection activeCell="H14" sqref="H14:L14"/>
    </sheetView>
  </sheetViews>
  <sheetFormatPr defaultRowHeight="14.4" x14ac:dyDescent="0.3"/>
  <cols>
    <col min="2" max="2" width="29.6640625" bestFit="1" customWidth="1"/>
    <col min="3" max="3" width="24.109375" customWidth="1"/>
  </cols>
  <sheetData>
    <row r="2" spans="2:12" x14ac:dyDescent="0.3">
      <c r="B2" s="767" t="s">
        <v>1128</v>
      </c>
      <c r="C2" s="767" t="s">
        <v>1010</v>
      </c>
      <c r="D2" s="766"/>
      <c r="E2" s="766"/>
      <c r="F2" s="766"/>
      <c r="G2" s="635"/>
      <c r="H2" s="635"/>
      <c r="I2" s="635"/>
      <c r="J2" s="635"/>
    </row>
    <row r="3" spans="2:12" x14ac:dyDescent="0.3">
      <c r="B3" s="738"/>
      <c r="C3" s="738"/>
      <c r="D3" s="738"/>
      <c r="E3" s="738"/>
      <c r="F3" s="738"/>
      <c r="G3" s="635"/>
      <c r="H3" s="635"/>
      <c r="I3" s="635"/>
      <c r="J3" s="635"/>
    </row>
    <row r="4" spans="2:12" x14ac:dyDescent="0.3">
      <c r="B4" s="636"/>
      <c r="C4" s="636"/>
      <c r="D4" s="637">
        <v>2016</v>
      </c>
      <c r="E4" s="637">
        <v>2017</v>
      </c>
      <c r="F4" s="637">
        <v>2018</v>
      </c>
      <c r="G4" s="637">
        <v>2019</v>
      </c>
      <c r="H4" s="637">
        <v>2020</v>
      </c>
      <c r="I4" s="637">
        <v>2021</v>
      </c>
      <c r="J4" s="637">
        <v>2022</v>
      </c>
    </row>
    <row r="5" spans="2:12" x14ac:dyDescent="0.3">
      <c r="B5" s="630" t="s">
        <v>874</v>
      </c>
      <c r="C5" s="631" t="s">
        <v>60</v>
      </c>
      <c r="D5" s="733">
        <v>-2.4761156686019103</v>
      </c>
      <c r="E5" s="733">
        <v>-0.95242489958085941</v>
      </c>
      <c r="F5" s="733">
        <v>-1.0601803518355091</v>
      </c>
      <c r="G5" s="633">
        <v>-0.67999918185887098</v>
      </c>
      <c r="H5" s="633">
        <v>-0.48999941665690133</v>
      </c>
      <c r="I5" s="633">
        <v>0</v>
      </c>
      <c r="J5" s="633">
        <v>0</v>
      </c>
    </row>
    <row r="6" spans="2:12" x14ac:dyDescent="0.3">
      <c r="B6" s="630" t="s">
        <v>875</v>
      </c>
      <c r="C6" s="631" t="s">
        <v>876</v>
      </c>
      <c r="D6" s="632">
        <v>-2.7307505743667457</v>
      </c>
      <c r="E6" s="632">
        <v>-1.2336558778910822</v>
      </c>
      <c r="F6" s="632">
        <v>-1.2544203578024538</v>
      </c>
      <c r="G6" s="633">
        <v>-1.1126033419372767</v>
      </c>
      <c r="H6" s="633">
        <v>-1.1032801199039934</v>
      </c>
      <c r="I6" s="633">
        <v>-0.46475608148249919</v>
      </c>
      <c r="J6" s="633">
        <v>-0.43350021392779908</v>
      </c>
    </row>
    <row r="7" spans="2:12" x14ac:dyDescent="0.3">
      <c r="B7" s="630" t="s">
        <v>877</v>
      </c>
      <c r="C7" s="631" t="s">
        <v>878</v>
      </c>
      <c r="D7" s="633">
        <v>0.56698937672482319</v>
      </c>
      <c r="E7" s="633">
        <v>-6.145508823934308E-3</v>
      </c>
      <c r="F7" s="633">
        <v>0.15072732000719433</v>
      </c>
      <c r="G7" s="633">
        <v>0.39621565264004854</v>
      </c>
      <c r="H7" s="633">
        <v>0.25461149418681328</v>
      </c>
      <c r="I7" s="633">
        <v>0.10845211963221346</v>
      </c>
      <c r="J7" s="633">
        <v>5.9127145727613781E-2</v>
      </c>
    </row>
    <row r="8" spans="2:12" x14ac:dyDescent="0.3">
      <c r="B8" s="630" t="s">
        <v>879</v>
      </c>
      <c r="C8" s="631" t="s">
        <v>880</v>
      </c>
      <c r="D8" s="633">
        <v>-0.31235447095998797</v>
      </c>
      <c r="E8" s="633">
        <v>0.2873764871341572</v>
      </c>
      <c r="F8" s="633">
        <v>4.3512685959750254E-2</v>
      </c>
      <c r="G8" s="633">
        <v>3.638850743835613E-2</v>
      </c>
      <c r="H8" s="633">
        <v>0.35866920906027644</v>
      </c>
      <c r="I8" s="633">
        <v>0.35630396185028573</v>
      </c>
      <c r="J8" s="633">
        <v>0.37437306820018529</v>
      </c>
    </row>
    <row r="9" spans="2:12" x14ac:dyDescent="0.3">
      <c r="B9" s="630" t="s">
        <v>881</v>
      </c>
      <c r="C9" s="630" t="s">
        <v>1126</v>
      </c>
      <c r="D9" s="633">
        <v>0</v>
      </c>
      <c r="E9" s="633">
        <v>0</v>
      </c>
      <c r="F9" s="633">
        <v>0</v>
      </c>
      <c r="G9" s="633">
        <v>0</v>
      </c>
      <c r="H9" s="633">
        <v>0</v>
      </c>
      <c r="I9" s="633">
        <v>-0.74410514333099664</v>
      </c>
      <c r="J9" s="633">
        <v>-1.1450427241134979</v>
      </c>
    </row>
    <row r="10" spans="2:12" x14ac:dyDescent="0.3">
      <c r="B10" s="634" t="s">
        <v>882</v>
      </c>
      <c r="C10" s="634" t="s">
        <v>1125</v>
      </c>
      <c r="D10" s="734">
        <v>-2.4761156686019103</v>
      </c>
      <c r="E10" s="734">
        <v>-0.95242489958085941</v>
      </c>
      <c r="F10" s="734">
        <v>-1.0601803518355091</v>
      </c>
      <c r="G10" s="734">
        <v>-0.67999918185887098</v>
      </c>
      <c r="H10" s="734">
        <v>-0.48999941665690133</v>
      </c>
      <c r="I10" s="735">
        <v>-0.74410514333099664</v>
      </c>
      <c r="J10" s="735">
        <v>-1.1450427241134979</v>
      </c>
    </row>
    <row r="14" spans="2:12" x14ac:dyDescent="0.3">
      <c r="B14" s="862" t="s">
        <v>883</v>
      </c>
      <c r="C14" s="862"/>
      <c r="D14" s="862"/>
      <c r="E14" s="862"/>
      <c r="F14" s="862"/>
      <c r="H14" s="862" t="s">
        <v>1127</v>
      </c>
      <c r="I14" s="862"/>
      <c r="J14" s="862"/>
      <c r="K14" s="862"/>
      <c r="L14" s="862"/>
    </row>
  </sheetData>
  <mergeCells count="2">
    <mergeCell ref="B14:F14"/>
    <mergeCell ref="H14:L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K29"/>
  <sheetViews>
    <sheetView showGridLines="0" workbookViewId="0">
      <selection activeCell="F12" sqref="F12"/>
    </sheetView>
  </sheetViews>
  <sheetFormatPr defaultColWidth="9.109375" defaultRowHeight="13.8" x14ac:dyDescent="0.3"/>
  <cols>
    <col min="1" max="1" width="9.109375" style="6"/>
    <col min="2" max="2" width="50.33203125" style="6" customWidth="1"/>
    <col min="3" max="16384" width="9.109375" style="6"/>
  </cols>
  <sheetData>
    <row r="2" spans="2:9" x14ac:dyDescent="0.3">
      <c r="B2" s="135"/>
    </row>
    <row r="3" spans="2:9" x14ac:dyDescent="0.3">
      <c r="B3" s="135"/>
    </row>
    <row r="4" spans="2:9" x14ac:dyDescent="0.3">
      <c r="B4" s="863" t="s">
        <v>884</v>
      </c>
      <c r="C4" s="863"/>
      <c r="D4" s="863"/>
      <c r="E4" s="863"/>
    </row>
    <row r="5" spans="2:9" x14ac:dyDescent="0.3">
      <c r="B5" s="8"/>
      <c r="C5" s="9" t="s">
        <v>202</v>
      </c>
      <c r="D5" s="9" t="s">
        <v>475</v>
      </c>
      <c r="E5" s="9" t="s">
        <v>575</v>
      </c>
      <c r="F5" s="9" t="s">
        <v>673</v>
      </c>
      <c r="G5" s="9" t="s">
        <v>487</v>
      </c>
      <c r="H5" s="9" t="s">
        <v>488</v>
      </c>
      <c r="I5" s="9" t="s">
        <v>574</v>
      </c>
    </row>
    <row r="6" spans="2:9" ht="16.5" customHeight="1" x14ac:dyDescent="0.3">
      <c r="B6" s="10" t="s">
        <v>144</v>
      </c>
      <c r="C6" s="11">
        <v>-2.4766043259577044</v>
      </c>
      <c r="D6" s="11">
        <v>-0.95247104414076211</v>
      </c>
      <c r="E6" s="11">
        <v>-1.0601803518355066</v>
      </c>
      <c r="F6" s="11">
        <v>-0.67999918185887065</v>
      </c>
      <c r="G6" s="11">
        <v>-0.48999973284565995</v>
      </c>
      <c r="H6" s="11">
        <v>0</v>
      </c>
      <c r="I6" s="11">
        <v>0</v>
      </c>
    </row>
    <row r="7" spans="2:9" ht="16.5" customHeight="1" x14ac:dyDescent="0.3">
      <c r="B7" s="6" t="s">
        <v>223</v>
      </c>
      <c r="C7" s="12">
        <v>-6.2464004461703387E-2</v>
      </c>
      <c r="D7" s="12">
        <v>0.12644643414613574</v>
      </c>
      <c r="E7" s="12">
        <v>0.48921923372297516</v>
      </c>
      <c r="F7" s="12">
        <v>0.21677380398322707</v>
      </c>
      <c r="G7" s="12">
        <v>1.3766804940625722E-2</v>
      </c>
      <c r="H7" s="12">
        <v>8.9913323199984366E-2</v>
      </c>
      <c r="I7" s="12">
        <v>0.17592601845438224</v>
      </c>
    </row>
    <row r="8" spans="2:9" ht="16.5" customHeight="1" x14ac:dyDescent="0.3">
      <c r="B8" s="6" t="s">
        <v>224</v>
      </c>
      <c r="C8" s="12">
        <v>-4.3386850075073681E-2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2:9" ht="16.5" customHeight="1" x14ac:dyDescent="0.3">
      <c r="B9" s="10" t="s">
        <v>5</v>
      </c>
      <c r="C9" s="13">
        <v>-2.3707534714209273</v>
      </c>
      <c r="D9" s="13">
        <v>-1.0789174782868978</v>
      </c>
      <c r="E9" s="13">
        <v>-1.5493995855584819</v>
      </c>
      <c r="F9" s="13">
        <v>-0.89677298584209775</v>
      </c>
      <c r="G9" s="13">
        <v>-0.50376653778628566</v>
      </c>
      <c r="H9" s="13">
        <v>-8.9913323199984366E-2</v>
      </c>
      <c r="I9" s="13">
        <v>-0.17592601845438224</v>
      </c>
    </row>
    <row r="10" spans="2:9" ht="16.5" customHeight="1" x14ac:dyDescent="0.3">
      <c r="B10" s="14" t="s">
        <v>8</v>
      </c>
      <c r="C10" s="15">
        <v>0.16908085477144308</v>
      </c>
      <c r="D10" s="15">
        <v>1.2918359931340295</v>
      </c>
      <c r="E10" s="15">
        <v>-0.47048210727158413</v>
      </c>
      <c r="F10" s="15">
        <v>0.65262659971638415</v>
      </c>
      <c r="G10" s="15">
        <v>0.39300644805581209</v>
      </c>
      <c r="H10" s="15">
        <v>0.41385321458630131</v>
      </c>
      <c r="I10" s="15">
        <v>-8.6012695254397878E-2</v>
      </c>
    </row>
    <row r="11" spans="2:9" ht="16.5" customHeight="1" x14ac:dyDescent="0.3">
      <c r="B11" s="16" t="s">
        <v>174</v>
      </c>
      <c r="C11" s="17">
        <v>0.25</v>
      </c>
      <c r="D11" s="17">
        <v>0.5</v>
      </c>
      <c r="E11" s="17">
        <v>0.5</v>
      </c>
      <c r="F11" s="17">
        <v>0.35</v>
      </c>
      <c r="G11" s="17">
        <v>0</v>
      </c>
      <c r="H11" s="17">
        <v>0</v>
      </c>
      <c r="I11" s="17">
        <v>0</v>
      </c>
    </row>
    <row r="12" spans="2:9" ht="16.5" customHeight="1" x14ac:dyDescent="0.3">
      <c r="B12" s="10" t="s">
        <v>1456</v>
      </c>
      <c r="C12" s="18">
        <v>0.50179018100000006</v>
      </c>
      <c r="D12" s="18">
        <v>0.41780430099999988</v>
      </c>
      <c r="E12" s="18">
        <v>-0.754246902</v>
      </c>
      <c r="F12" s="18">
        <f>IF(OR(E9&gt;=-0.5,ROUND(F9,0.5)&gt;=-0.5),"MTO",F10-F11)</f>
        <v>0.30262659971638417</v>
      </c>
      <c r="G12" s="18" t="str">
        <f>IF(OR(F6&gt;=-1,ROUND(G6,1)&gt;=-1),"MTO",G7-G11)</f>
        <v>MTO</v>
      </c>
      <c r="H12" s="18" t="str">
        <f t="shared" ref="H12:I12" si="0">IF(OR(G6&gt;=-0.5,ROUND(H6,1)&gt;=-0.5),"MTO",H7-H11)</f>
        <v>MTO</v>
      </c>
      <c r="I12" s="18" t="str">
        <f t="shared" si="0"/>
        <v>MTO</v>
      </c>
    </row>
    <row r="13" spans="2:9" ht="16.5" customHeight="1" x14ac:dyDescent="0.3">
      <c r="B13" s="19" t="s">
        <v>1457</v>
      </c>
      <c r="C13" s="303">
        <v>9.1089761737604968E-2</v>
      </c>
      <c r="D13" s="20">
        <v>0.45979724099999997</v>
      </c>
      <c r="E13" s="20">
        <v>-0.16822130050000006</v>
      </c>
      <c r="F13" s="20">
        <f>AVERAGE(E12:F12)</f>
        <v>-0.22581015114180791</v>
      </c>
      <c r="G13" s="20" t="str">
        <f>IF(OR(F9&gt;=-1,ROUND(G9,1)&gt;=-1),"MTO",AVERAGE((F10-F11),(G10-G11)))</f>
        <v>MTO</v>
      </c>
      <c r="H13" s="20" t="str">
        <f t="shared" ref="H13:I13" si="1">IF(OR(G9&gt;=-1,ROUND(H9,1)&gt;=-1),"MTO",AVERAGE((G10-G11),(H10-H11)))</f>
        <v>MTO</v>
      </c>
      <c r="I13" s="20" t="str">
        <f t="shared" si="1"/>
        <v>MTO</v>
      </c>
    </row>
    <row r="14" spans="2:9" ht="16.5" customHeight="1" x14ac:dyDescent="0.3">
      <c r="B14" s="466" t="s">
        <v>677</v>
      </c>
      <c r="C14" s="380">
        <v>0.10200524239980968</v>
      </c>
      <c r="D14" s="380">
        <v>0.3554584239527363</v>
      </c>
      <c r="E14" s="380">
        <v>-8.9323057068777301E-2</v>
      </c>
      <c r="F14" s="380">
        <v>-0.33392775377759998</v>
      </c>
      <c r="G14" s="357"/>
      <c r="H14" s="357"/>
      <c r="I14" s="357"/>
    </row>
    <row r="15" spans="2:9" ht="12" customHeight="1" x14ac:dyDescent="0.3">
      <c r="B15" s="464" t="s">
        <v>674</v>
      </c>
    </row>
    <row r="16" spans="2:9" ht="12" customHeight="1" x14ac:dyDescent="0.3">
      <c r="B16" s="464" t="s">
        <v>675</v>
      </c>
    </row>
    <row r="17" spans="2:11" ht="12" customHeight="1" x14ac:dyDescent="0.3">
      <c r="B17" s="465" t="s">
        <v>676</v>
      </c>
    </row>
    <row r="18" spans="2:11" ht="24" customHeight="1" x14ac:dyDescent="0.3">
      <c r="B18" s="463"/>
      <c r="C18" s="864"/>
      <c r="D18" s="864"/>
      <c r="E18" s="864"/>
    </row>
    <row r="19" spans="2:11" ht="25.5" customHeight="1" x14ac:dyDescent="0.3">
      <c r="B19" s="462"/>
      <c r="C19" s="864"/>
      <c r="D19" s="864"/>
      <c r="E19" s="864"/>
    </row>
    <row r="20" spans="2:11" x14ac:dyDescent="0.3">
      <c r="B20" s="863" t="s">
        <v>1142</v>
      </c>
      <c r="C20" s="863"/>
      <c r="D20" s="863"/>
      <c r="E20" s="863"/>
      <c r="F20" s="863"/>
      <c r="G20" s="863"/>
      <c r="H20" s="863"/>
      <c r="I20" s="727"/>
      <c r="J20" s="727"/>
      <c r="K20" s="727"/>
    </row>
    <row r="21" spans="2:11" x14ac:dyDescent="0.3">
      <c r="B21" s="8"/>
      <c r="C21" s="9" t="s">
        <v>1129</v>
      </c>
      <c r="D21" s="9" t="s">
        <v>1130</v>
      </c>
      <c r="E21" s="9" t="s">
        <v>1144</v>
      </c>
      <c r="F21" s="9" t="s">
        <v>1131</v>
      </c>
      <c r="G21" s="9" t="s">
        <v>1132</v>
      </c>
      <c r="H21" s="9" t="s">
        <v>1133</v>
      </c>
      <c r="I21" s="9" t="s">
        <v>1143</v>
      </c>
    </row>
    <row r="22" spans="2:11" x14ac:dyDescent="0.3">
      <c r="B22" s="10" t="s">
        <v>1134</v>
      </c>
      <c r="C22" s="11">
        <f>C6</f>
        <v>-2.4766043259577044</v>
      </c>
      <c r="D22" s="11">
        <f t="shared" ref="D22:H22" si="2">D6</f>
        <v>-0.95247104414076211</v>
      </c>
      <c r="E22" s="11">
        <f t="shared" si="2"/>
        <v>-1.0601803518355066</v>
      </c>
      <c r="F22" s="11">
        <f t="shared" si="2"/>
        <v>-0.67999918185887065</v>
      </c>
      <c r="G22" s="11">
        <f t="shared" si="2"/>
        <v>-0.48999973284565995</v>
      </c>
      <c r="H22" s="11">
        <f t="shared" si="2"/>
        <v>0</v>
      </c>
      <c r="I22" s="11">
        <f t="shared" ref="I22:I29" si="3">I6</f>
        <v>0</v>
      </c>
    </row>
    <row r="23" spans="2:11" x14ac:dyDescent="0.3">
      <c r="B23" s="727" t="s">
        <v>1135</v>
      </c>
      <c r="C23" s="768">
        <f t="shared" ref="C23:H23" si="4">C7</f>
        <v>-6.2464004461703387E-2</v>
      </c>
      <c r="D23" s="768">
        <f t="shared" si="4"/>
        <v>0.12644643414613574</v>
      </c>
      <c r="E23" s="768">
        <f t="shared" si="4"/>
        <v>0.48921923372297516</v>
      </c>
      <c r="F23" s="768">
        <f t="shared" si="4"/>
        <v>0.21677380398322707</v>
      </c>
      <c r="G23" s="768">
        <f t="shared" si="4"/>
        <v>1.3766804940625722E-2</v>
      </c>
      <c r="H23" s="768">
        <f t="shared" si="4"/>
        <v>8.9913323199984366E-2</v>
      </c>
      <c r="I23" s="768">
        <f t="shared" si="3"/>
        <v>0.17592601845438224</v>
      </c>
    </row>
    <row r="24" spans="2:11" x14ac:dyDescent="0.3">
      <c r="B24" s="727" t="s">
        <v>1136</v>
      </c>
      <c r="C24" s="768">
        <f t="shared" ref="C24:H24" si="5">C8</f>
        <v>-4.3386850075073681E-2</v>
      </c>
      <c r="D24" s="768">
        <f t="shared" si="5"/>
        <v>0</v>
      </c>
      <c r="E24" s="768">
        <f t="shared" si="5"/>
        <v>0</v>
      </c>
      <c r="F24" s="768">
        <f t="shared" si="5"/>
        <v>0</v>
      </c>
      <c r="G24" s="768">
        <f t="shared" si="5"/>
        <v>0</v>
      </c>
      <c r="H24" s="768">
        <f t="shared" si="5"/>
        <v>0</v>
      </c>
      <c r="I24" s="768">
        <f t="shared" si="3"/>
        <v>0</v>
      </c>
    </row>
    <row r="25" spans="2:11" x14ac:dyDescent="0.3">
      <c r="B25" s="10" t="s">
        <v>1137</v>
      </c>
      <c r="C25" s="13">
        <f t="shared" ref="C25:H25" si="6">C9</f>
        <v>-2.3707534714209273</v>
      </c>
      <c r="D25" s="13">
        <f t="shared" si="6"/>
        <v>-1.0789174782868978</v>
      </c>
      <c r="E25" s="13">
        <f t="shared" si="6"/>
        <v>-1.5493995855584819</v>
      </c>
      <c r="F25" s="13">
        <f t="shared" si="6"/>
        <v>-0.89677298584209775</v>
      </c>
      <c r="G25" s="13">
        <f t="shared" si="6"/>
        <v>-0.50376653778628566</v>
      </c>
      <c r="H25" s="13">
        <f t="shared" si="6"/>
        <v>-8.9913323199984366E-2</v>
      </c>
      <c r="I25" s="13">
        <f t="shared" si="3"/>
        <v>-0.17592601845438224</v>
      </c>
    </row>
    <row r="26" spans="2:11" x14ac:dyDescent="0.3">
      <c r="B26" s="14" t="s">
        <v>1138</v>
      </c>
      <c r="C26" s="15">
        <f t="shared" ref="C26:H26" si="7">C10</f>
        <v>0.16908085477144308</v>
      </c>
      <c r="D26" s="15">
        <f t="shared" si="7"/>
        <v>1.2918359931340295</v>
      </c>
      <c r="E26" s="15">
        <f t="shared" si="7"/>
        <v>-0.47048210727158413</v>
      </c>
      <c r="F26" s="15">
        <f t="shared" si="7"/>
        <v>0.65262659971638415</v>
      </c>
      <c r="G26" s="15">
        <f t="shared" si="7"/>
        <v>0.39300644805581209</v>
      </c>
      <c r="H26" s="15">
        <f t="shared" si="7"/>
        <v>0.41385321458630131</v>
      </c>
      <c r="I26" s="15">
        <f t="shared" si="3"/>
        <v>-8.6012695254397878E-2</v>
      </c>
    </row>
    <row r="27" spans="2:11" x14ac:dyDescent="0.3">
      <c r="B27" s="769" t="s">
        <v>1139</v>
      </c>
      <c r="C27" s="771">
        <f t="shared" ref="C27:H27" si="8">C11</f>
        <v>0.25</v>
      </c>
      <c r="D27" s="770">
        <f t="shared" si="8"/>
        <v>0.5</v>
      </c>
      <c r="E27" s="770">
        <f t="shared" si="8"/>
        <v>0.5</v>
      </c>
      <c r="F27" s="770">
        <f t="shared" si="8"/>
        <v>0.35</v>
      </c>
      <c r="G27" s="771">
        <f t="shared" si="8"/>
        <v>0</v>
      </c>
      <c r="H27" s="771">
        <f t="shared" si="8"/>
        <v>0</v>
      </c>
      <c r="I27" s="771">
        <f t="shared" si="3"/>
        <v>0</v>
      </c>
    </row>
    <row r="28" spans="2:11" x14ac:dyDescent="0.3">
      <c r="B28" s="10" t="s">
        <v>1140</v>
      </c>
      <c r="C28" s="18">
        <f t="shared" ref="C28:H28" si="9">C12</f>
        <v>0.50179018100000006</v>
      </c>
      <c r="D28" s="18">
        <f t="shared" si="9"/>
        <v>0.41780430099999988</v>
      </c>
      <c r="E28" s="18">
        <f t="shared" si="9"/>
        <v>-0.754246902</v>
      </c>
      <c r="F28" s="18">
        <f t="shared" si="9"/>
        <v>0.30262659971638417</v>
      </c>
      <c r="G28" s="18" t="str">
        <f t="shared" si="9"/>
        <v>MTO</v>
      </c>
      <c r="H28" s="18" t="str">
        <f t="shared" si="9"/>
        <v>MTO</v>
      </c>
      <c r="I28" s="18" t="str">
        <f t="shared" si="3"/>
        <v>MTO</v>
      </c>
    </row>
    <row r="29" spans="2:11" x14ac:dyDescent="0.3">
      <c r="B29" s="19" t="s">
        <v>1141</v>
      </c>
      <c r="C29" s="303">
        <f t="shared" ref="C29:H29" si="10">C13</f>
        <v>9.1089761737604968E-2</v>
      </c>
      <c r="D29" s="20">
        <f t="shared" si="10"/>
        <v>0.45979724099999997</v>
      </c>
      <c r="E29" s="20">
        <f t="shared" si="10"/>
        <v>-0.16822130050000006</v>
      </c>
      <c r="F29" s="20">
        <f t="shared" si="10"/>
        <v>-0.22581015114180791</v>
      </c>
      <c r="G29" s="20" t="str">
        <f t="shared" si="10"/>
        <v>MTO</v>
      </c>
      <c r="H29" s="20" t="str">
        <f t="shared" si="10"/>
        <v>MTO</v>
      </c>
      <c r="I29" s="20" t="str">
        <f t="shared" si="3"/>
        <v>MTO</v>
      </c>
    </row>
  </sheetData>
  <mergeCells count="3">
    <mergeCell ref="B4:E4"/>
    <mergeCell ref="C18:E19"/>
    <mergeCell ref="B20:H20"/>
  </mergeCells>
  <conditionalFormatting sqref="G12:I12">
    <cfRule type="cellIs" dxfId="65" priority="49" operator="lessThan">
      <formula>-0.501111</formula>
    </cfRule>
    <cfRule type="cellIs" dxfId="64" priority="50" operator="between">
      <formula>-0.0001</formula>
      <formula>-0.5</formula>
    </cfRule>
    <cfRule type="cellIs" dxfId="63" priority="51" operator="greaterThan">
      <formula>0</formula>
    </cfRule>
  </conditionalFormatting>
  <conditionalFormatting sqref="G12:I12 C12:E12 C28:E28">
    <cfRule type="cellIs" dxfId="62" priority="43" operator="lessThan">
      <formula>-0.501111</formula>
    </cfRule>
    <cfRule type="cellIs" dxfId="61" priority="44" operator="between">
      <formula>-0.04</formula>
      <formula>-0.5</formula>
    </cfRule>
    <cfRule type="cellIs" dxfId="60" priority="45" operator="greaterThan">
      <formula>-0.04</formula>
    </cfRule>
  </conditionalFormatting>
  <conditionalFormatting sqref="C13">
    <cfRule type="cellIs" dxfId="59" priority="40" operator="lessThan">
      <formula>-0.501111</formula>
    </cfRule>
    <cfRule type="cellIs" dxfId="58" priority="41" operator="between">
      <formula>-0.0001</formula>
      <formula>-0.5</formula>
    </cfRule>
    <cfRule type="cellIs" dxfId="57" priority="42" operator="greaterThanOrEqual">
      <formula>-0.000001</formula>
    </cfRule>
  </conditionalFormatting>
  <conditionalFormatting sqref="D13 G13:I13">
    <cfRule type="cellIs" dxfId="56" priority="37" operator="lessThan">
      <formula>-0.250001</formula>
    </cfRule>
    <cfRule type="cellIs" dxfId="55" priority="38" operator="between">
      <formula>-0.001</formula>
      <formula>-0.25</formula>
    </cfRule>
    <cfRule type="cellIs" dxfId="54" priority="39" operator="greaterThanOrEqual">
      <formula>-0.000001</formula>
    </cfRule>
  </conditionalFormatting>
  <conditionalFormatting sqref="F12">
    <cfRule type="cellIs" dxfId="53" priority="34" operator="lessThan">
      <formula>-0.501111</formula>
    </cfRule>
    <cfRule type="cellIs" dxfId="52" priority="35" operator="between">
      <formula>-0.0001</formula>
      <formula>-0.5</formula>
    </cfRule>
    <cfRule type="cellIs" dxfId="51" priority="36" operator="greaterThan">
      <formula>0</formula>
    </cfRule>
  </conditionalFormatting>
  <conditionalFormatting sqref="F12">
    <cfRule type="cellIs" dxfId="50" priority="31" operator="lessThan">
      <formula>-0.501111</formula>
    </cfRule>
    <cfRule type="cellIs" dxfId="49" priority="32" operator="between">
      <formula>-0.04</formula>
      <formula>-0.5</formula>
    </cfRule>
    <cfRule type="cellIs" dxfId="48" priority="33" operator="greaterThan">
      <formula>-0.04</formula>
    </cfRule>
  </conditionalFormatting>
  <conditionalFormatting sqref="F13">
    <cfRule type="cellIs" dxfId="47" priority="28" operator="lessThan">
      <formula>-0.250001</formula>
    </cfRule>
    <cfRule type="cellIs" dxfId="46" priority="29" operator="between">
      <formula>-0.001</formula>
      <formula>-0.25</formula>
    </cfRule>
    <cfRule type="cellIs" dxfId="45" priority="30" operator="greaterThanOrEqual">
      <formula>-0.000001</formula>
    </cfRule>
  </conditionalFormatting>
  <conditionalFormatting sqref="E13">
    <cfRule type="cellIs" dxfId="44" priority="25" operator="lessThan">
      <formula>-0.250001</formula>
    </cfRule>
    <cfRule type="cellIs" dxfId="43" priority="26" operator="between">
      <formula>-0.001</formula>
      <formula>-0.25</formula>
    </cfRule>
    <cfRule type="cellIs" dxfId="42" priority="27" operator="greaterThanOrEqual">
      <formula>-0.000001</formula>
    </cfRule>
  </conditionalFormatting>
  <conditionalFormatting sqref="G28:I28">
    <cfRule type="cellIs" dxfId="41" priority="22" operator="lessThan">
      <formula>-0.501111</formula>
    </cfRule>
    <cfRule type="cellIs" dxfId="40" priority="23" operator="between">
      <formula>-0.0001</formula>
      <formula>-0.5</formula>
    </cfRule>
    <cfRule type="cellIs" dxfId="39" priority="24" operator="greaterThan">
      <formula>0</formula>
    </cfRule>
  </conditionalFormatting>
  <conditionalFormatting sqref="G28:I28">
    <cfRule type="cellIs" dxfId="38" priority="19" operator="lessThan">
      <formula>-0.501111</formula>
    </cfRule>
    <cfRule type="cellIs" dxfId="37" priority="20" operator="between">
      <formula>-0.04</formula>
      <formula>-0.5</formula>
    </cfRule>
    <cfRule type="cellIs" dxfId="36" priority="21" operator="greaterThan">
      <formula>-0.04</formula>
    </cfRule>
  </conditionalFormatting>
  <conditionalFormatting sqref="C29">
    <cfRule type="cellIs" dxfId="35" priority="16" operator="lessThan">
      <formula>-0.501111</formula>
    </cfRule>
    <cfRule type="cellIs" dxfId="34" priority="17" operator="between">
      <formula>-0.0001</formula>
      <formula>-0.5</formula>
    </cfRule>
    <cfRule type="cellIs" dxfId="33" priority="18" operator="greaterThanOrEqual">
      <formula>-0.000001</formula>
    </cfRule>
  </conditionalFormatting>
  <conditionalFormatting sqref="D29 G29:I29">
    <cfRule type="cellIs" dxfId="32" priority="13" operator="lessThan">
      <formula>-0.250001</formula>
    </cfRule>
    <cfRule type="cellIs" dxfId="31" priority="14" operator="between">
      <formula>-0.001</formula>
      <formula>-0.25</formula>
    </cfRule>
    <cfRule type="cellIs" dxfId="30" priority="15" operator="greaterThanOrEqual">
      <formula>-0.000001</formula>
    </cfRule>
  </conditionalFormatting>
  <conditionalFormatting sqref="F28">
    <cfRule type="cellIs" dxfId="29" priority="10" operator="lessThan">
      <formula>-0.501111</formula>
    </cfRule>
    <cfRule type="cellIs" dxfId="28" priority="11" operator="between">
      <formula>-0.0001</formula>
      <formula>-0.5</formula>
    </cfRule>
    <cfRule type="cellIs" dxfId="27" priority="12" operator="greaterThan">
      <formula>0</formula>
    </cfRule>
  </conditionalFormatting>
  <conditionalFormatting sqref="F28">
    <cfRule type="cellIs" dxfId="26" priority="7" operator="lessThan">
      <formula>-0.501111</formula>
    </cfRule>
    <cfRule type="cellIs" dxfId="25" priority="8" operator="between">
      <formula>-0.04</formula>
      <formula>-0.5</formula>
    </cfRule>
    <cfRule type="cellIs" dxfId="24" priority="9" operator="greaterThan">
      <formula>-0.04</formula>
    </cfRule>
  </conditionalFormatting>
  <conditionalFormatting sqref="F29">
    <cfRule type="cellIs" dxfId="23" priority="4" operator="lessThan">
      <formula>-0.250001</formula>
    </cfRule>
    <cfRule type="cellIs" dxfId="22" priority="5" operator="between">
      <formula>-0.001</formula>
      <formula>-0.25</formula>
    </cfRule>
    <cfRule type="cellIs" dxfId="21" priority="6" operator="greaterThanOrEqual">
      <formula>-0.000001</formula>
    </cfRule>
  </conditionalFormatting>
  <conditionalFormatting sqref="E29">
    <cfRule type="cellIs" dxfId="20" priority="1" operator="lessThan">
      <formula>-0.250001</formula>
    </cfRule>
    <cfRule type="cellIs" dxfId="19" priority="2" operator="between">
      <formula>-0.001</formula>
      <formula>-0.25</formula>
    </cfRule>
    <cfRule type="cellIs" dxfId="18" priority="3" operator="greaterThanOrEqual">
      <formula>-0.000001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W53"/>
  <sheetViews>
    <sheetView showGridLines="0" workbookViewId="0">
      <selection activeCell="B23" sqref="B23"/>
    </sheetView>
  </sheetViews>
  <sheetFormatPr defaultColWidth="9.109375" defaultRowHeight="13.8" x14ac:dyDescent="0.3"/>
  <cols>
    <col min="1" max="1" width="8.33203125" style="145" customWidth="1"/>
    <col min="2" max="2" width="18.5546875" style="145" customWidth="1"/>
    <col min="3" max="9" width="8.33203125" style="145" customWidth="1"/>
    <col min="10" max="10" width="20.5546875" style="145" customWidth="1"/>
    <col min="11" max="12" width="27.88671875" style="145" customWidth="1"/>
    <col min="13" max="13" width="8" style="145" bestFit="1" customWidth="1"/>
    <col min="14" max="14" width="7" style="145" customWidth="1"/>
    <col min="15" max="16" width="7.6640625" style="145" bestFit="1" customWidth="1"/>
    <col min="17" max="17" width="7.6640625" style="145" customWidth="1"/>
    <col min="18" max="18" width="7.44140625" style="145" customWidth="1"/>
    <col min="19" max="16384" width="9.109375" style="145"/>
  </cols>
  <sheetData>
    <row r="2" spans="2:23" x14ac:dyDescent="0.3">
      <c r="B2" s="135"/>
    </row>
    <row r="3" spans="2:23" x14ac:dyDescent="0.3">
      <c r="B3" s="135"/>
    </row>
    <row r="4" spans="2:23" ht="14.4" thickBot="1" x14ac:dyDescent="0.35">
      <c r="B4" s="49" t="s">
        <v>885</v>
      </c>
      <c r="K4" s="146" t="s">
        <v>176</v>
      </c>
      <c r="L4" s="146" t="s">
        <v>1145</v>
      </c>
      <c r="M4" s="147"/>
      <c r="N4" s="147"/>
      <c r="O4" s="147"/>
      <c r="P4" s="147"/>
      <c r="Q4" s="147"/>
      <c r="R4" s="147"/>
      <c r="S4" s="147"/>
      <c r="T4" s="148"/>
      <c r="U4" s="148"/>
      <c r="V4" s="148"/>
      <c r="W4" s="148"/>
    </row>
    <row r="5" spans="2:23" x14ac:dyDescent="0.3"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</row>
    <row r="6" spans="2:23" x14ac:dyDescent="0.3">
      <c r="K6" s="149"/>
      <c r="L6" s="149"/>
      <c r="M6" s="150">
        <v>2016</v>
      </c>
      <c r="N6" s="150">
        <v>2017</v>
      </c>
      <c r="O6" s="150">
        <v>2018</v>
      </c>
      <c r="P6" s="150">
        <v>2019</v>
      </c>
      <c r="Q6" s="151">
        <v>2020</v>
      </c>
      <c r="R6" s="151">
        <v>2021</v>
      </c>
      <c r="S6" s="151">
        <v>2022</v>
      </c>
    </row>
    <row r="7" spans="2:23" x14ac:dyDescent="0.3">
      <c r="K7" s="157" t="s">
        <v>185</v>
      </c>
      <c r="L7" s="157" t="s">
        <v>185</v>
      </c>
      <c r="M7" s="153">
        <f>'Tabuľka 2 '!C9</f>
        <v>-2.3707534714209273</v>
      </c>
      <c r="N7" s="153">
        <f>'Tabuľka 2 '!D9</f>
        <v>-1.0789174782868978</v>
      </c>
      <c r="O7" s="153">
        <f>'Tabuľka 2 '!E9</f>
        <v>-1.5493995855584819</v>
      </c>
      <c r="P7" s="153">
        <f>'Tabuľka 2 '!F9</f>
        <v>-0.89677298584209775</v>
      </c>
      <c r="Q7" s="153">
        <f>'Tabuľka 2 '!G9</f>
        <v>-0.50376653778628566</v>
      </c>
      <c r="R7" s="153">
        <f>'Tabuľka 2 '!H9</f>
        <v>-8.9913323199984366E-2</v>
      </c>
      <c r="S7" s="153">
        <f>'Tabuľka 2 '!I9</f>
        <v>-0.17592601845438224</v>
      </c>
    </row>
    <row r="8" spans="2:23" x14ac:dyDescent="0.3">
      <c r="K8" s="157" t="s">
        <v>198</v>
      </c>
      <c r="L8" s="157" t="s">
        <v>198</v>
      </c>
      <c r="M8" s="153">
        <f>MMF_TABULKA!M59/MMF_TABULKA!M91*100</f>
        <v>1.6942145400020898</v>
      </c>
      <c r="N8" s="153">
        <f>MMF_TABULKA!N59/MMF_TABULKA!N91*100</f>
        <v>1.4393600435793954</v>
      </c>
      <c r="O8" s="153">
        <f>MMF_TABULKA!O59/MMF_TABULKA!O91*100</f>
        <v>1.3455395333984441</v>
      </c>
      <c r="P8" s="153">
        <f>MMF_TABULKA!Q59/MMF_TABULKA!Q91*100</f>
        <v>1.2063060708999132</v>
      </c>
      <c r="Q8" s="153">
        <f>MMF_TABULKA!R59/MMF_TABULKA!R91*100</f>
        <v>1.0782433875733237</v>
      </c>
      <c r="R8" s="153">
        <f>MMF_TABULKA!S59/MMF_TABULKA!S91*100</f>
        <v>0.97198437000044358</v>
      </c>
      <c r="S8" s="153">
        <f>MMF_TABULKA!T59/MMF_TABULKA!T91*100</f>
        <v>0.93519079800215443</v>
      </c>
    </row>
    <row r="9" spans="2:23" x14ac:dyDescent="0.3">
      <c r="K9" s="157" t="s">
        <v>199</v>
      </c>
      <c r="L9" s="157" t="s">
        <v>199</v>
      </c>
      <c r="M9" s="153">
        <f t="shared" ref="M9:Q9" si="0">M7+M8</f>
        <v>-0.67653893141883747</v>
      </c>
      <c r="N9" s="153">
        <f t="shared" si="0"/>
        <v>0.36044256529249763</v>
      </c>
      <c r="O9" s="153">
        <f t="shared" si="0"/>
        <v>-0.20386005216003777</v>
      </c>
      <c r="P9" s="153">
        <f t="shared" si="0"/>
        <v>0.3095330850578154</v>
      </c>
      <c r="Q9" s="153">
        <f t="shared" si="0"/>
        <v>0.57447684978703806</v>
      </c>
      <c r="R9" s="153">
        <f t="shared" ref="R9:S9" si="1">R7+R8</f>
        <v>0.88207104680045922</v>
      </c>
      <c r="S9" s="153">
        <f t="shared" si="1"/>
        <v>0.75926477954777216</v>
      </c>
    </row>
    <row r="10" spans="2:23" x14ac:dyDescent="0.3">
      <c r="K10" s="157" t="s">
        <v>186</v>
      </c>
      <c r="L10" s="157" t="s">
        <v>186</v>
      </c>
      <c r="M10" s="480"/>
      <c r="N10" s="480">
        <f t="shared" ref="N10:S10" si="2">(N9-M9)</f>
        <v>1.0369814967113351</v>
      </c>
      <c r="O10" s="480">
        <f t="shared" si="2"/>
        <v>-0.5643026174525354</v>
      </c>
      <c r="P10" s="480">
        <f>(P9-O9)</f>
        <v>0.51339313721785318</v>
      </c>
      <c r="Q10" s="480">
        <f t="shared" si="2"/>
        <v>0.26494376472922265</v>
      </c>
      <c r="R10" s="480">
        <f t="shared" si="2"/>
        <v>0.30759419701342117</v>
      </c>
      <c r="S10" s="480">
        <f t="shared" si="2"/>
        <v>-0.12280626725268706</v>
      </c>
      <c r="T10" s="148"/>
      <c r="U10" s="148"/>
      <c r="V10" s="148"/>
      <c r="W10" s="148"/>
    </row>
    <row r="11" spans="2:23" x14ac:dyDescent="0.3">
      <c r="K11" s="157" t="s">
        <v>187</v>
      </c>
      <c r="L11" s="157" t="s">
        <v>187</v>
      </c>
      <c r="M11" s="153">
        <v>-0.15878338211967802</v>
      </c>
      <c r="N11" s="153">
        <v>0.32142659830600717</v>
      </c>
      <c r="O11" s="153">
        <v>1.2435943740391586</v>
      </c>
      <c r="P11" s="153">
        <v>0.55103860292062823</v>
      </c>
      <c r="Q11" s="153">
        <v>3.4995192323838964E-2</v>
      </c>
      <c r="R11" s="153">
        <v>0.22855949884010851</v>
      </c>
      <c r="S11" s="153">
        <v>0.44720360876258081</v>
      </c>
      <c r="T11" s="152"/>
      <c r="U11" s="152"/>
      <c r="V11" s="152"/>
      <c r="W11" s="152"/>
    </row>
    <row r="12" spans="2:23" x14ac:dyDescent="0.3">
      <c r="K12" s="468" t="s">
        <v>188</v>
      </c>
      <c r="L12" s="468" t="s">
        <v>188</v>
      </c>
      <c r="M12" s="469"/>
      <c r="N12" s="469">
        <f t="shared" ref="N12:P12" si="3">N11-M11</f>
        <v>0.48020998042568519</v>
      </c>
      <c r="O12" s="469">
        <f t="shared" si="3"/>
        <v>0.92216777573315145</v>
      </c>
      <c r="P12" s="469">
        <f t="shared" si="3"/>
        <v>-0.69255577111853039</v>
      </c>
      <c r="Q12" s="469">
        <f>Q11-P11</f>
        <v>-0.51604341059678926</v>
      </c>
      <c r="R12" s="469">
        <f>R11-Q11</f>
        <v>0.19356430651626955</v>
      </c>
      <c r="S12" s="469">
        <f>S11-R11</f>
        <v>0.2186441099224723</v>
      </c>
      <c r="T12" s="148"/>
      <c r="U12" s="148"/>
      <c r="V12" s="148"/>
      <c r="W12" s="148"/>
    </row>
    <row r="13" spans="2:23" x14ac:dyDescent="0.3">
      <c r="K13" s="149"/>
      <c r="L13" s="149"/>
      <c r="M13" s="149"/>
      <c r="N13" s="149"/>
      <c r="O13" s="149"/>
      <c r="P13" s="149"/>
      <c r="Q13" s="148"/>
      <c r="R13" s="148"/>
      <c r="S13" s="467" t="s">
        <v>3</v>
      </c>
      <c r="T13" s="148"/>
      <c r="U13" s="148"/>
      <c r="V13" s="148"/>
      <c r="W13" s="148"/>
    </row>
    <row r="14" spans="2:23" x14ac:dyDescent="0.3">
      <c r="K14" s="149"/>
      <c r="L14" s="149"/>
      <c r="M14" s="467"/>
      <c r="N14" s="467"/>
      <c r="O14" s="467"/>
      <c r="P14" s="467"/>
      <c r="Q14" s="467"/>
      <c r="S14" s="155"/>
      <c r="T14" s="148"/>
      <c r="U14" s="148"/>
      <c r="V14" s="148"/>
      <c r="W14" s="148"/>
    </row>
    <row r="15" spans="2:23" x14ac:dyDescent="0.3">
      <c r="M15" s="155"/>
      <c r="N15" s="155"/>
      <c r="O15" s="155"/>
      <c r="P15" s="155"/>
      <c r="Q15" s="155"/>
      <c r="R15" s="155"/>
      <c r="S15" s="155"/>
      <c r="T15" s="154"/>
      <c r="U15" s="154"/>
      <c r="V15" s="148"/>
      <c r="W15" s="148"/>
    </row>
    <row r="16" spans="2:23" x14ac:dyDescent="0.3">
      <c r="K16" s="155"/>
      <c r="L16" s="155"/>
      <c r="M16" s="155"/>
      <c r="N16" s="155"/>
      <c r="O16" s="155"/>
      <c r="P16" s="155"/>
      <c r="Q16" s="155"/>
      <c r="R16" s="155"/>
      <c r="S16" s="155"/>
      <c r="T16" s="148"/>
      <c r="U16" s="148"/>
      <c r="V16" s="148"/>
      <c r="W16" s="148"/>
    </row>
    <row r="17" spans="2:23" x14ac:dyDescent="0.3">
      <c r="K17" s="155"/>
      <c r="L17" s="155"/>
      <c r="M17" s="155"/>
      <c r="N17" s="155"/>
      <c r="O17" s="155"/>
      <c r="P17" s="155"/>
      <c r="Q17" s="155"/>
      <c r="R17" s="155"/>
      <c r="S17" s="155"/>
      <c r="T17" s="148"/>
      <c r="U17" s="148"/>
      <c r="V17" s="148"/>
      <c r="W17" s="148"/>
    </row>
    <row r="18" spans="2:23" x14ac:dyDescent="0.3">
      <c r="K18" s="155"/>
      <c r="L18" s="155"/>
      <c r="T18" s="149"/>
      <c r="U18" s="149"/>
      <c r="V18" s="148"/>
      <c r="W18" s="148"/>
    </row>
    <row r="19" spans="2:23" x14ac:dyDescent="0.3">
      <c r="T19" s="149"/>
      <c r="U19" s="149"/>
      <c r="V19" s="148"/>
      <c r="W19" s="148"/>
    </row>
    <row r="20" spans="2:23" x14ac:dyDescent="0.3">
      <c r="T20" s="155"/>
      <c r="U20" s="155"/>
    </row>
    <row r="21" spans="2:23" x14ac:dyDescent="0.3">
      <c r="T21" s="155"/>
      <c r="U21" s="155"/>
    </row>
    <row r="22" spans="2:23" x14ac:dyDescent="0.3">
      <c r="B22" s="49"/>
      <c r="T22" s="155"/>
      <c r="U22" s="155"/>
    </row>
    <row r="23" spans="2:23" x14ac:dyDescent="0.3">
      <c r="B23" s="49" t="s">
        <v>1146</v>
      </c>
      <c r="T23" s="155"/>
      <c r="U23" s="155"/>
    </row>
    <row r="24" spans="2:23" x14ac:dyDescent="0.3">
      <c r="T24" s="155"/>
      <c r="U24" s="155"/>
    </row>
    <row r="25" spans="2:23" x14ac:dyDescent="0.3">
      <c r="T25" s="155"/>
      <c r="U25" s="155"/>
    </row>
    <row r="26" spans="2:23" x14ac:dyDescent="0.3">
      <c r="T26" s="155"/>
      <c r="U26" s="155"/>
    </row>
    <row r="52" spans="5:5" x14ac:dyDescent="0.3">
      <c r="E52" s="156"/>
    </row>
    <row r="53" spans="5:5" x14ac:dyDescent="0.3">
      <c r="E53" s="15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S49"/>
  <sheetViews>
    <sheetView showGridLines="0" topLeftCell="A7" zoomScale="80" zoomScaleNormal="80" workbookViewId="0">
      <selection activeCell="E42" sqref="E42"/>
    </sheetView>
  </sheetViews>
  <sheetFormatPr defaultColWidth="9.109375" defaultRowHeight="13.8" x14ac:dyDescent="0.3"/>
  <cols>
    <col min="1" max="1" width="10" style="6" customWidth="1"/>
    <col min="2" max="3" width="10" style="158" customWidth="1"/>
    <col min="4" max="9" width="10" style="6" customWidth="1"/>
    <col min="10" max="11" width="60.88671875" style="6" customWidth="1"/>
    <col min="12" max="14" width="10" style="6" customWidth="1"/>
    <col min="15" max="17" width="9.33203125" style="6" bestFit="1" customWidth="1"/>
    <col min="18" max="18" width="9.6640625" style="6" bestFit="1" customWidth="1"/>
    <col min="19" max="16384" width="9.109375" style="6"/>
  </cols>
  <sheetData>
    <row r="2" spans="2:19" x14ac:dyDescent="0.3">
      <c r="B2" s="6"/>
    </row>
    <row r="3" spans="2:19" ht="16.5" customHeight="1" thickBot="1" x14ac:dyDescent="0.35">
      <c r="B3" s="6"/>
      <c r="G3" s="159"/>
      <c r="H3" s="122"/>
      <c r="J3" s="399" t="s">
        <v>886</v>
      </c>
      <c r="K3" s="399"/>
      <c r="L3" s="48"/>
      <c r="M3" s="48"/>
      <c r="N3" s="48"/>
      <c r="O3" s="48"/>
      <c r="P3" s="48"/>
      <c r="Q3" s="48"/>
      <c r="R3" s="48"/>
      <c r="S3" s="48"/>
    </row>
    <row r="4" spans="2:19" ht="16.5" customHeight="1" thickBot="1" x14ac:dyDescent="0.35">
      <c r="G4" s="160"/>
      <c r="H4" s="122"/>
      <c r="J4" s="397"/>
      <c r="K4" s="397"/>
      <c r="L4" s="398"/>
      <c r="M4" s="684" t="s">
        <v>202</v>
      </c>
      <c r="N4" s="684" t="s">
        <v>475</v>
      </c>
      <c r="O4" s="684">
        <v>2018</v>
      </c>
      <c r="P4" s="684" t="s">
        <v>673</v>
      </c>
      <c r="Q4" s="684" t="s">
        <v>487</v>
      </c>
      <c r="R4" s="684" t="s">
        <v>488</v>
      </c>
      <c r="S4" s="684" t="s">
        <v>574</v>
      </c>
    </row>
    <row r="5" spans="2:19" ht="16.5" customHeight="1" x14ac:dyDescent="0.3">
      <c r="B5" s="113" t="s">
        <v>887</v>
      </c>
      <c r="G5" s="122"/>
      <c r="H5" s="122"/>
      <c r="I5" s="35"/>
      <c r="J5" s="28" t="s">
        <v>29</v>
      </c>
      <c r="K5" s="740" t="s">
        <v>1147</v>
      </c>
      <c r="L5" s="23" t="s">
        <v>1</v>
      </c>
      <c r="M5" s="349">
        <v>34533.025000000001</v>
      </c>
      <c r="N5" s="349">
        <v>35025.885999999999</v>
      </c>
      <c r="O5" s="349">
        <v>37520.832999999999</v>
      </c>
      <c r="P5" s="349">
        <v>38380.156999999999</v>
      </c>
      <c r="Q5" s="349">
        <v>39346.335000000014</v>
      </c>
      <c r="R5" s="349">
        <v>40813.138999999996</v>
      </c>
      <c r="S5" s="349">
        <v>43025.534999999996</v>
      </c>
    </row>
    <row r="6" spans="2:19" ht="16.5" customHeight="1" thickBot="1" x14ac:dyDescent="0.35">
      <c r="G6" s="35"/>
      <c r="H6" s="122"/>
      <c r="I6" s="35"/>
      <c r="J6" s="387" t="s">
        <v>235</v>
      </c>
      <c r="K6" s="387" t="s">
        <v>1148</v>
      </c>
      <c r="L6" s="304" t="s">
        <v>1</v>
      </c>
      <c r="M6" s="350">
        <v>32283.228984048426</v>
      </c>
      <c r="N6" s="350">
        <v>33165.932449236461</v>
      </c>
      <c r="O6" s="350">
        <v>35269.715239167723</v>
      </c>
      <c r="P6" s="350">
        <v>36515.242549298673</v>
      </c>
      <c r="Q6" s="350">
        <v>38243.211233555026</v>
      </c>
      <c r="R6" s="350">
        <v>39060.396622600725</v>
      </c>
      <c r="S6" s="350">
        <v>40120.803202553747</v>
      </c>
    </row>
    <row r="7" spans="2:19" ht="16.5" customHeight="1" x14ac:dyDescent="0.3">
      <c r="G7" s="35"/>
      <c r="H7" s="122"/>
      <c r="I7" s="35"/>
      <c r="J7" s="6" t="s">
        <v>236</v>
      </c>
      <c r="K7" s="6" t="s">
        <v>1149</v>
      </c>
      <c r="L7" s="34" t="s">
        <v>1</v>
      </c>
      <c r="M7" s="396">
        <v>58.254842111069209</v>
      </c>
      <c r="N7" s="396">
        <v>331.73420848302698</v>
      </c>
      <c r="O7" s="396">
        <v>-51.381962183017443</v>
      </c>
      <c r="P7" s="396">
        <v>-63.204244916754035</v>
      </c>
      <c r="Q7" s="396">
        <v>-37.495975104463142</v>
      </c>
      <c r="R7" s="396">
        <v>166.28954709422069</v>
      </c>
      <c r="S7" s="396">
        <v>254.03681541958392</v>
      </c>
    </row>
    <row r="8" spans="2:19" ht="16.5" customHeight="1" x14ac:dyDescent="0.3">
      <c r="G8" s="35"/>
      <c r="H8" s="122"/>
      <c r="I8" s="35"/>
      <c r="J8" s="6" t="s">
        <v>237</v>
      </c>
      <c r="K8" s="6" t="s">
        <v>1150</v>
      </c>
      <c r="L8" s="161" t="s">
        <v>10</v>
      </c>
      <c r="M8" s="395">
        <v>2.1972248721556147</v>
      </c>
      <c r="N8" s="395">
        <v>1.7066733224772812</v>
      </c>
      <c r="O8" s="395">
        <v>6.4981280276469198</v>
      </c>
      <c r="P8" s="395">
        <v>3.7106382803860347</v>
      </c>
      <c r="Q8" s="395">
        <v>4.8348704160386982</v>
      </c>
      <c r="R8" s="395">
        <v>1.7019905519345475</v>
      </c>
      <c r="S8" s="395">
        <v>2.0644177587968073</v>
      </c>
    </row>
    <row r="9" spans="2:19" ht="16.5" customHeight="1" thickBot="1" x14ac:dyDescent="0.35">
      <c r="G9" s="35"/>
      <c r="H9" s="122"/>
      <c r="I9" s="35"/>
      <c r="J9" s="114" t="s">
        <v>238</v>
      </c>
      <c r="K9" s="114" t="s">
        <v>1151</v>
      </c>
      <c r="L9" s="405" t="s">
        <v>10</v>
      </c>
      <c r="M9" s="406">
        <v>1.0232393342733515</v>
      </c>
      <c r="N9" s="394">
        <v>0.53921298301102816</v>
      </c>
      <c r="O9" s="394">
        <v>4.9153083677525355</v>
      </c>
      <c r="P9" s="394">
        <v>1.1598641529784848</v>
      </c>
      <c r="Q9" s="394">
        <v>2.305325950550996</v>
      </c>
      <c r="R9" s="394">
        <v>-0.46603436887002747</v>
      </c>
      <c r="S9" s="394">
        <v>-0.30094729980607582</v>
      </c>
    </row>
    <row r="10" spans="2:19" ht="16.5" customHeight="1" x14ac:dyDescent="0.3">
      <c r="G10" s="5"/>
      <c r="H10" s="122"/>
      <c r="I10" s="5"/>
      <c r="J10" s="402" t="s">
        <v>239</v>
      </c>
      <c r="K10" s="402" t="s">
        <v>1152</v>
      </c>
      <c r="L10" s="403" t="s">
        <v>11</v>
      </c>
      <c r="M10" s="404">
        <v>2.0834922277143519</v>
      </c>
      <c r="N10" s="351">
        <v>1.3480051001340336</v>
      </c>
      <c r="O10" s="351">
        <v>1.3398076150772882</v>
      </c>
      <c r="P10" s="351">
        <v>1.9796474402117019</v>
      </c>
      <c r="Q10" s="351">
        <v>3.2772813675909962</v>
      </c>
      <c r="R10" s="351">
        <v>2.8523076781139758</v>
      </c>
      <c r="S10" s="351">
        <v>2.9198905112789721</v>
      </c>
    </row>
    <row r="11" spans="2:19" ht="16.5" customHeight="1" thickBot="1" x14ac:dyDescent="0.35">
      <c r="G11" s="5"/>
      <c r="H11" s="122"/>
      <c r="I11" s="5"/>
      <c r="J11" s="253" t="s">
        <v>240</v>
      </c>
      <c r="K11" s="253" t="s">
        <v>1153</v>
      </c>
      <c r="L11" s="304" t="s">
        <v>11</v>
      </c>
      <c r="M11" s="352">
        <v>1.0602528934410005</v>
      </c>
      <c r="N11" s="352">
        <v>0.80879211712300547</v>
      </c>
      <c r="O11" s="352">
        <v>-3.5755007526752474</v>
      </c>
      <c r="P11" s="352">
        <v>0.81978328723321714</v>
      </c>
      <c r="Q11" s="352">
        <v>0.97195541704000021</v>
      </c>
      <c r="R11" s="352">
        <v>3.3183420469840033</v>
      </c>
      <c r="S11" s="352">
        <v>3.220837811085048</v>
      </c>
    </row>
    <row r="12" spans="2:19" ht="16.5" customHeight="1" x14ac:dyDescent="0.3">
      <c r="G12" s="162"/>
      <c r="H12" s="122"/>
      <c r="I12" s="162"/>
      <c r="J12" s="174" t="s">
        <v>489</v>
      </c>
      <c r="K12" s="174" t="s">
        <v>1154</v>
      </c>
      <c r="L12" s="161" t="s">
        <v>0</v>
      </c>
      <c r="M12" s="407">
        <v>0.29906482172594501</v>
      </c>
      <c r="N12" s="384">
        <v>-1.8046938224697565E-2</v>
      </c>
      <c r="O12" s="385">
        <v>-1.1530516140637244</v>
      </c>
      <c r="P12" s="386">
        <v>0.30730494796286623</v>
      </c>
      <c r="Q12" s="386">
        <v>0.36199722612464802</v>
      </c>
      <c r="R12" s="386">
        <v>1.2327368509969034</v>
      </c>
      <c r="S12" s="386">
        <v>1.1623026590115291</v>
      </c>
    </row>
    <row r="13" spans="2:19" ht="16.5" customHeight="1" thickBot="1" x14ac:dyDescent="0.35">
      <c r="G13" s="35"/>
      <c r="H13" s="122"/>
      <c r="I13" s="5"/>
      <c r="J13" s="387" t="s">
        <v>490</v>
      </c>
      <c r="K13" s="387" t="s">
        <v>1155</v>
      </c>
      <c r="L13" s="304" t="s">
        <v>0</v>
      </c>
      <c r="M13" s="382">
        <v>-0.30810687755435062</v>
      </c>
      <c r="N13" s="353">
        <v>0.14050894175062373</v>
      </c>
      <c r="O13" s="382">
        <v>-0.58554927614421093</v>
      </c>
      <c r="P13" s="382">
        <v>-0.42287333305042907</v>
      </c>
      <c r="Q13" s="353">
        <v>0.33465108704375712</v>
      </c>
      <c r="R13" s="353">
        <v>0.79736703856077573</v>
      </c>
      <c r="S13" s="353">
        <v>1.1975197550042163</v>
      </c>
    </row>
    <row r="14" spans="2:19" ht="13.95" customHeight="1" x14ac:dyDescent="0.3">
      <c r="G14" s="163"/>
      <c r="H14" s="122"/>
      <c r="I14" s="35"/>
      <c r="J14" s="470" t="s">
        <v>679</v>
      </c>
      <c r="K14" s="470"/>
      <c r="L14" s="34"/>
      <c r="M14" s="354"/>
      <c r="N14" s="355"/>
      <c r="O14" s="356"/>
      <c r="P14" s="356"/>
      <c r="Q14" s="355"/>
      <c r="R14" s="355"/>
      <c r="S14" s="685" t="s">
        <v>3</v>
      </c>
    </row>
    <row r="15" spans="2:19" ht="16.5" customHeight="1" x14ac:dyDescent="0.3">
      <c r="G15" s="41"/>
      <c r="H15" s="122"/>
      <c r="I15" s="41"/>
      <c r="J15" s="450" t="s">
        <v>678</v>
      </c>
      <c r="K15" s="450"/>
      <c r="L15" s="34"/>
      <c r="M15" s="354"/>
      <c r="N15" s="355"/>
      <c r="O15" s="356"/>
      <c r="P15" s="356"/>
      <c r="Q15" s="355"/>
      <c r="R15" s="355"/>
      <c r="S15" s="685"/>
    </row>
    <row r="16" spans="2:19" ht="16.5" customHeight="1" x14ac:dyDescent="0.3">
      <c r="G16" s="41"/>
      <c r="H16" s="122"/>
      <c r="I16" s="41"/>
      <c r="J16" s="348"/>
      <c r="K16" s="348"/>
      <c r="L16" s="34"/>
      <c r="M16" s="354"/>
      <c r="N16" s="355"/>
      <c r="O16" s="356"/>
      <c r="P16" s="356"/>
      <c r="Q16" s="355"/>
      <c r="R16" s="355"/>
      <c r="S16" s="685"/>
    </row>
    <row r="17" spans="2:19" ht="16.5" customHeight="1" x14ac:dyDescent="0.3">
      <c r="G17" s="41"/>
      <c r="H17" s="122"/>
      <c r="I17" s="41"/>
      <c r="M17" s="685"/>
      <c r="N17" s="685"/>
      <c r="O17" s="685"/>
      <c r="P17" s="685"/>
      <c r="Q17" s="685"/>
      <c r="R17" s="685"/>
      <c r="S17" s="685"/>
    </row>
    <row r="18" spans="2:19" ht="16.5" customHeight="1" thickBot="1" x14ac:dyDescent="0.35">
      <c r="G18" s="164"/>
      <c r="H18" s="122"/>
      <c r="I18" s="164"/>
      <c r="J18" s="399" t="s">
        <v>555</v>
      </c>
      <c r="K18" s="399"/>
      <c r="L18" s="48"/>
      <c r="M18" s="686"/>
      <c r="N18" s="686"/>
      <c r="O18" s="686"/>
      <c r="P18" s="686"/>
      <c r="Q18" s="686"/>
      <c r="R18" s="687"/>
      <c r="S18" s="685"/>
    </row>
    <row r="19" spans="2:19" ht="16.5" customHeight="1" thickBot="1" x14ac:dyDescent="0.35">
      <c r="G19" s="165"/>
      <c r="H19" s="122"/>
      <c r="I19" s="166"/>
      <c r="J19" s="400"/>
      <c r="K19" s="400"/>
      <c r="L19" s="401"/>
      <c r="M19" s="688" t="str">
        <f>M4</f>
        <v>2016 S</v>
      </c>
      <c r="N19" s="688" t="str">
        <f t="shared" ref="N19:S19" si="0">N4</f>
        <v>2017 S</v>
      </c>
      <c r="O19" s="688">
        <f t="shared" si="0"/>
        <v>2018</v>
      </c>
      <c r="P19" s="688" t="str">
        <f t="shared" si="0"/>
        <v>2019 OS</v>
      </c>
      <c r="Q19" s="688" t="str">
        <f t="shared" si="0"/>
        <v>2020 NRVS</v>
      </c>
      <c r="R19" s="688" t="str">
        <f t="shared" si="0"/>
        <v>2021 NRVS</v>
      </c>
      <c r="S19" s="688" t="str">
        <f t="shared" si="0"/>
        <v>2022 NRVS</v>
      </c>
    </row>
    <row r="20" spans="2:19" x14ac:dyDescent="0.3">
      <c r="G20" s="167"/>
      <c r="H20" s="122"/>
      <c r="J20" s="22" t="s">
        <v>145</v>
      </c>
      <c r="K20" s="22" t="s">
        <v>1156</v>
      </c>
      <c r="L20" s="23" t="s">
        <v>1</v>
      </c>
      <c r="M20" s="689">
        <v>34533.025000000001</v>
      </c>
      <c r="N20" s="689">
        <v>35025.885999999999</v>
      </c>
      <c r="O20" s="689">
        <v>37520.832999999999</v>
      </c>
      <c r="P20" s="689">
        <v>38380.156999999999</v>
      </c>
      <c r="Q20" s="689">
        <v>39346.335000000014</v>
      </c>
      <c r="R20" s="689">
        <v>40813.138999999996</v>
      </c>
      <c r="S20" s="689">
        <v>43025.534999999996</v>
      </c>
    </row>
    <row r="21" spans="2:19" ht="16.5" customHeight="1" x14ac:dyDescent="0.3">
      <c r="G21" s="46"/>
      <c r="H21" s="122"/>
      <c r="I21" s="46"/>
      <c r="J21" s="24" t="s">
        <v>108</v>
      </c>
      <c r="K21" s="739" t="s">
        <v>1157</v>
      </c>
      <c r="L21" s="23" t="s">
        <v>1</v>
      </c>
      <c r="M21" s="690">
        <v>1372.9639999999999</v>
      </c>
      <c r="N21" s="690">
        <v>1216.5039999999999</v>
      </c>
      <c r="O21" s="690">
        <v>1207.231</v>
      </c>
      <c r="P21" s="690">
        <v>1134.982</v>
      </c>
      <c r="Q21" s="690">
        <v>1057.1389999999999</v>
      </c>
      <c r="R21" s="690">
        <v>1000.609</v>
      </c>
      <c r="S21" s="690">
        <v>1012.247</v>
      </c>
    </row>
    <row r="22" spans="2:19" ht="16.5" customHeight="1" x14ac:dyDescent="0.3">
      <c r="B22" s="168"/>
      <c r="J22" s="24" t="s">
        <v>107</v>
      </c>
      <c r="K22" s="739" t="s">
        <v>1158</v>
      </c>
      <c r="L22" s="23" t="s">
        <v>1</v>
      </c>
      <c r="M22" s="690">
        <v>506.88200000000001</v>
      </c>
      <c r="N22" s="690">
        <v>440.24799999999999</v>
      </c>
      <c r="O22" s="690">
        <v>748.95899999999995</v>
      </c>
      <c r="P22" s="690">
        <v>575.02700000000004</v>
      </c>
      <c r="Q22" s="690">
        <v>118.206</v>
      </c>
      <c r="R22" s="690">
        <v>22.776</v>
      </c>
      <c r="S22" s="690">
        <v>348.32799999999997</v>
      </c>
    </row>
    <row r="23" spans="2:19" ht="16.5" customHeight="1" x14ac:dyDescent="0.3">
      <c r="J23" s="25" t="s">
        <v>109</v>
      </c>
      <c r="K23" s="25" t="s">
        <v>1159</v>
      </c>
      <c r="L23" s="23" t="s">
        <v>1</v>
      </c>
      <c r="M23" s="690">
        <v>796.34500000000003</v>
      </c>
      <c r="N23" s="690">
        <v>631.81200000000001</v>
      </c>
      <c r="O23" s="690">
        <v>956.6389999999999</v>
      </c>
      <c r="P23" s="690">
        <v>939.63200000000006</v>
      </c>
      <c r="Q23" s="690">
        <v>546.89400000000001</v>
      </c>
      <c r="R23" s="690">
        <v>812.02499999999998</v>
      </c>
      <c r="S23" s="690">
        <v>1124.0349999999999</v>
      </c>
    </row>
    <row r="24" spans="2:19" ht="16.5" customHeight="1" x14ac:dyDescent="0.3">
      <c r="J24" s="26" t="s">
        <v>110</v>
      </c>
      <c r="K24" s="26" t="s">
        <v>1160</v>
      </c>
      <c r="L24" s="23" t="s">
        <v>1</v>
      </c>
      <c r="M24" s="690">
        <v>2251.1179999999999</v>
      </c>
      <c r="N24" s="690">
        <v>2411.058</v>
      </c>
      <c r="O24" s="690">
        <v>2604.154</v>
      </c>
      <c r="P24" s="690">
        <v>2150.5140000000001</v>
      </c>
      <c r="Q24" s="690">
        <v>1721.2260000000001</v>
      </c>
      <c r="R24" s="690">
        <v>2082.4080000000004</v>
      </c>
      <c r="S24" s="690">
        <v>3016.788</v>
      </c>
    </row>
    <row r="25" spans="2:19" x14ac:dyDescent="0.3">
      <c r="J25" s="26" t="s">
        <v>111</v>
      </c>
      <c r="K25" s="26" t="s">
        <v>1161</v>
      </c>
      <c r="L25" s="23" t="s">
        <v>1</v>
      </c>
      <c r="M25" s="690">
        <v>2172.12075</v>
      </c>
      <c r="N25" s="690">
        <v>2396.2752499999997</v>
      </c>
      <c r="O25" s="690">
        <v>2503.9882499999999</v>
      </c>
      <c r="P25" s="690">
        <v>2354.2110000000002</v>
      </c>
      <c r="Q25" s="690">
        <v>2221.7379999999998</v>
      </c>
      <c r="R25" s="690">
        <v>2139.5754999999999</v>
      </c>
      <c r="S25" s="690">
        <v>2242.7340000000004</v>
      </c>
    </row>
    <row r="26" spans="2:19" x14ac:dyDescent="0.3">
      <c r="B26" s="865"/>
      <c r="C26" s="865"/>
      <c r="D26" s="865"/>
      <c r="E26" s="865"/>
      <c r="F26" s="865"/>
      <c r="G26" s="865"/>
      <c r="H26" s="865"/>
      <c r="J26" s="27" t="s">
        <v>112</v>
      </c>
      <c r="K26" s="27" t="s">
        <v>1162</v>
      </c>
      <c r="L26" s="23" t="s">
        <v>1</v>
      </c>
      <c r="M26" s="690">
        <v>1.48976595157296</v>
      </c>
      <c r="N26" s="690">
        <v>-3.1451992364568166</v>
      </c>
      <c r="O26" s="690">
        <v>-12.917989167724905</v>
      </c>
      <c r="P26" s="690">
        <v>-6.0025492986683036</v>
      </c>
      <c r="Q26" s="690">
        <v>-0.39723355501995861</v>
      </c>
      <c r="R26" s="690">
        <v>-2.724122600733772</v>
      </c>
      <c r="S26" s="690">
        <v>-5.6042025537569202</v>
      </c>
    </row>
    <row r="27" spans="2:19" x14ac:dyDescent="0.3">
      <c r="J27" s="28" t="s">
        <v>113</v>
      </c>
      <c r="K27" s="740" t="s">
        <v>1163</v>
      </c>
      <c r="L27" s="23" t="s">
        <v>1</v>
      </c>
      <c r="M27" s="691">
        <v>0</v>
      </c>
      <c r="N27" s="691">
        <v>0</v>
      </c>
      <c r="O27" s="691">
        <v>0</v>
      </c>
      <c r="P27" s="691">
        <v>0</v>
      </c>
      <c r="Q27" s="691">
        <v>0</v>
      </c>
      <c r="R27" s="691">
        <v>0</v>
      </c>
      <c r="S27" s="691">
        <v>0</v>
      </c>
    </row>
    <row r="28" spans="2:19" ht="14.4" thickBot="1" x14ac:dyDescent="0.35">
      <c r="J28" s="29" t="s">
        <v>114</v>
      </c>
      <c r="K28" s="29" t="s">
        <v>1164</v>
      </c>
      <c r="L28" s="30" t="s">
        <v>1</v>
      </c>
      <c r="M28" s="692">
        <v>32283.228984048426</v>
      </c>
      <c r="N28" s="692">
        <v>33165.932449236461</v>
      </c>
      <c r="O28" s="692">
        <v>35269.715239167723</v>
      </c>
      <c r="P28" s="692">
        <v>36515.242549298673</v>
      </c>
      <c r="Q28" s="692">
        <v>38243.211233555026</v>
      </c>
      <c r="R28" s="692">
        <v>39060.396622600725</v>
      </c>
      <c r="S28" s="692">
        <v>40120.803202553747</v>
      </c>
    </row>
    <row r="29" spans="2:19" ht="15" thickTop="1" thickBot="1" x14ac:dyDescent="0.35">
      <c r="J29" s="31" t="s">
        <v>225</v>
      </c>
      <c r="K29" s="31" t="s">
        <v>1165</v>
      </c>
      <c r="L29" s="32" t="s">
        <v>1</v>
      </c>
      <c r="M29" s="693">
        <v>818.2707308634308</v>
      </c>
      <c r="N29" s="693">
        <v>882.7034651880349</v>
      </c>
      <c r="O29" s="693">
        <v>2103.7827899312615</v>
      </c>
      <c r="P29" s="693">
        <v>1245.5273101309504</v>
      </c>
      <c r="Q29" s="693">
        <v>1727.9686842563533</v>
      </c>
      <c r="R29" s="693">
        <v>817.18538904569868</v>
      </c>
      <c r="S29" s="693">
        <v>1060.4065799530217</v>
      </c>
    </row>
    <row r="30" spans="2:19" ht="16.2" customHeight="1" thickTop="1" x14ac:dyDescent="0.3">
      <c r="J30" s="33" t="s">
        <v>9</v>
      </c>
      <c r="K30" s="33" t="s">
        <v>1166</v>
      </c>
      <c r="L30" s="34" t="s">
        <v>1</v>
      </c>
      <c r="M30" s="694">
        <v>58.254842111069209</v>
      </c>
      <c r="N30" s="694">
        <v>331.73420848302698</v>
      </c>
      <c r="O30" s="694">
        <v>-51.381962183017443</v>
      </c>
      <c r="P30" s="694">
        <v>-63.204244916754035</v>
      </c>
      <c r="Q30" s="694">
        <v>-37.495975104463142</v>
      </c>
      <c r="R30" s="694">
        <v>166.28954709422069</v>
      </c>
      <c r="S30" s="694">
        <v>254.03681541958392</v>
      </c>
    </row>
    <row r="31" spans="2:19" x14ac:dyDescent="0.3">
      <c r="J31" s="33" t="s">
        <v>226</v>
      </c>
      <c r="K31" s="33" t="s">
        <v>1167</v>
      </c>
      <c r="L31" s="34" t="s">
        <v>1</v>
      </c>
      <c r="M31" s="694">
        <v>0</v>
      </c>
      <c r="N31" s="694">
        <v>0</v>
      </c>
      <c r="O31" s="694">
        <v>0</v>
      </c>
      <c r="P31" s="694">
        <v>0</v>
      </c>
      <c r="Q31" s="694">
        <v>0</v>
      </c>
      <c r="R31" s="694">
        <v>0</v>
      </c>
      <c r="S31" s="694">
        <v>0</v>
      </c>
    </row>
    <row r="32" spans="2:19" x14ac:dyDescent="0.3">
      <c r="J32" s="33" t="s">
        <v>227</v>
      </c>
      <c r="K32" s="33" t="s">
        <v>1168</v>
      </c>
      <c r="L32" s="34" t="s">
        <v>1</v>
      </c>
      <c r="M32" s="694">
        <v>-35.159999999999997</v>
      </c>
      <c r="N32" s="694">
        <v>0</v>
      </c>
      <c r="O32" s="694">
        <v>0</v>
      </c>
      <c r="P32" s="694">
        <v>0</v>
      </c>
      <c r="Q32" s="694">
        <v>0</v>
      </c>
      <c r="R32" s="694">
        <v>0</v>
      </c>
      <c r="S32" s="694">
        <v>0</v>
      </c>
    </row>
    <row r="33" spans="9:19" ht="14.4" thickBot="1" x14ac:dyDescent="0.35">
      <c r="J33" s="36" t="s">
        <v>228</v>
      </c>
      <c r="K33" s="36" t="s">
        <v>1169</v>
      </c>
      <c r="L33" s="30" t="s">
        <v>1</v>
      </c>
      <c r="M33" s="694">
        <v>-33.5</v>
      </c>
      <c r="N33" s="694">
        <v>0</v>
      </c>
      <c r="O33" s="694">
        <v>0</v>
      </c>
      <c r="P33" s="694">
        <v>0</v>
      </c>
      <c r="Q33" s="694">
        <v>0</v>
      </c>
      <c r="R33" s="694">
        <v>0</v>
      </c>
      <c r="S33" s="694">
        <v>0</v>
      </c>
    </row>
    <row r="34" spans="9:19" ht="16.95" customHeight="1" thickTop="1" x14ac:dyDescent="0.3">
      <c r="I34" s="540" t="s">
        <v>1182</v>
      </c>
      <c r="J34" s="37" t="s">
        <v>229</v>
      </c>
      <c r="K34" s="37" t="s">
        <v>1170</v>
      </c>
      <c r="L34" s="38" t="s">
        <v>10</v>
      </c>
      <c r="M34" s="695">
        <v>2.1972248721556147</v>
      </c>
      <c r="N34" s="695">
        <v>1.7066733224772812</v>
      </c>
      <c r="O34" s="695">
        <v>6.4981280276469198</v>
      </c>
      <c r="P34" s="695">
        <v>3.7106382803860347</v>
      </c>
      <c r="Q34" s="695">
        <v>4.8348704160386982</v>
      </c>
      <c r="R34" s="695">
        <v>1.7019905519345475</v>
      </c>
      <c r="S34" s="695">
        <v>2.0644177587968073</v>
      </c>
    </row>
    <row r="35" spans="9:19" x14ac:dyDescent="0.3">
      <c r="I35" s="540" t="s">
        <v>703</v>
      </c>
      <c r="J35" s="39" t="s">
        <v>230</v>
      </c>
      <c r="K35" s="39" t="s">
        <v>1171</v>
      </c>
      <c r="L35" s="40" t="s">
        <v>10</v>
      </c>
      <c r="M35" s="696">
        <v>1.0232393342733515</v>
      </c>
      <c r="N35" s="696">
        <v>0.53921298301102816</v>
      </c>
      <c r="O35" s="696">
        <v>4.9153083677525355</v>
      </c>
      <c r="P35" s="696">
        <v>1.1598641529784848</v>
      </c>
      <c r="Q35" s="696">
        <v>2.305325950550996</v>
      </c>
      <c r="R35" s="696">
        <v>-0.46603436887002747</v>
      </c>
      <c r="S35" s="696">
        <v>-0.30094729980607582</v>
      </c>
    </row>
    <row r="36" spans="9:19" x14ac:dyDescent="0.3">
      <c r="I36" s="540" t="s">
        <v>702</v>
      </c>
      <c r="J36" s="42" t="s">
        <v>231</v>
      </c>
      <c r="K36" s="42" t="s">
        <v>1172</v>
      </c>
      <c r="L36" s="43" t="s">
        <v>11</v>
      </c>
      <c r="M36" s="697">
        <v>2.0834922277143519</v>
      </c>
      <c r="N36" s="697">
        <v>1.3480051001340336</v>
      </c>
      <c r="O36" s="697">
        <v>1.3398076150772882</v>
      </c>
      <c r="P36" s="697">
        <v>1.9796474402117019</v>
      </c>
      <c r="Q36" s="697">
        <v>3.2772813675909962</v>
      </c>
      <c r="R36" s="697">
        <v>2.8523076781139758</v>
      </c>
      <c r="S36" s="697">
        <v>2.9198905112789721</v>
      </c>
    </row>
    <row r="37" spans="9:19" ht="14.4" thickBot="1" x14ac:dyDescent="0.35">
      <c r="I37" s="540" t="s">
        <v>1181</v>
      </c>
      <c r="J37" s="253" t="s">
        <v>232</v>
      </c>
      <c r="K37" s="253" t="s">
        <v>1173</v>
      </c>
      <c r="L37" s="304" t="s">
        <v>11</v>
      </c>
      <c r="M37" s="698">
        <v>1.0602528934410005</v>
      </c>
      <c r="N37" s="698">
        <v>0.80879211712300547</v>
      </c>
      <c r="O37" s="698">
        <v>-3.5755007526752474</v>
      </c>
      <c r="P37" s="698">
        <v>0.81978328723321714</v>
      </c>
      <c r="Q37" s="698">
        <v>0.97195541704000021</v>
      </c>
      <c r="R37" s="698">
        <v>3.3183420469840033</v>
      </c>
      <c r="S37" s="698">
        <v>3.220837811085048</v>
      </c>
    </row>
    <row r="38" spans="9:19" x14ac:dyDescent="0.3">
      <c r="J38" s="174" t="s">
        <v>233</v>
      </c>
      <c r="K38" s="174" t="s">
        <v>1174</v>
      </c>
      <c r="L38" s="161" t="s">
        <v>0</v>
      </c>
      <c r="M38" s="388">
        <v>0.29906482172594501</v>
      </c>
      <c r="N38" s="388">
        <v>-1.8046938224697565E-2</v>
      </c>
      <c r="O38" s="389">
        <v>-1.1530516140637244</v>
      </c>
      <c r="P38" s="388">
        <v>0.30730494796286623</v>
      </c>
      <c r="Q38" s="389">
        <v>0.36199722612464802</v>
      </c>
      <c r="R38" s="389">
        <v>1.2327368509969034</v>
      </c>
      <c r="S38" s="389">
        <v>1.1623026590115291</v>
      </c>
    </row>
    <row r="39" spans="9:19" ht="14.4" thickBot="1" x14ac:dyDescent="0.35">
      <c r="J39" s="387" t="s">
        <v>234</v>
      </c>
      <c r="K39" s="387" t="s">
        <v>1175</v>
      </c>
      <c r="L39" s="304" t="s">
        <v>0</v>
      </c>
      <c r="M39" s="390">
        <v>-0.30810687755435062</v>
      </c>
      <c r="N39" s="391">
        <v>0.14050894175062373</v>
      </c>
      <c r="O39" s="383">
        <v>-0.58554927614421093</v>
      </c>
      <c r="P39" s="383">
        <v>-0.42287333305042907</v>
      </c>
      <c r="Q39" s="391">
        <v>0.33465108704375712</v>
      </c>
      <c r="R39" s="391">
        <v>0.79736703856077573</v>
      </c>
      <c r="S39" s="391">
        <v>1.1975197550042163</v>
      </c>
    </row>
    <row r="40" spans="9:19" x14ac:dyDescent="0.3">
      <c r="J40" s="44" t="s">
        <v>146</v>
      </c>
      <c r="K40" s="44" t="s">
        <v>1176</v>
      </c>
      <c r="L40" s="45" t="s">
        <v>10</v>
      </c>
      <c r="M40" s="699">
        <v>1.162094529554436</v>
      </c>
      <c r="N40" s="699">
        <v>1.1611990036798137</v>
      </c>
      <c r="O40" s="699">
        <v>1.508664164</v>
      </c>
      <c r="P40" s="699">
        <v>2.5215278300000001</v>
      </c>
      <c r="Q40" s="699">
        <v>2.4725442609999999</v>
      </c>
      <c r="R40" s="699">
        <v>2.1781759694366132</v>
      </c>
      <c r="S40" s="699">
        <v>2.3725050484840526</v>
      </c>
    </row>
    <row r="41" spans="9:19" x14ac:dyDescent="0.3">
      <c r="J41" s="6" t="s">
        <v>161</v>
      </c>
      <c r="K41" s="6" t="s">
        <v>1177</v>
      </c>
      <c r="M41" s="700">
        <v>-0.5</v>
      </c>
      <c r="N41" s="700">
        <v>-0.5</v>
      </c>
      <c r="O41" s="700">
        <v>-0.5</v>
      </c>
      <c r="P41" s="700">
        <v>-0.5</v>
      </c>
      <c r="Q41" s="700">
        <v>-0.5</v>
      </c>
      <c r="R41" s="700">
        <v>-0.5</v>
      </c>
      <c r="S41" s="700">
        <v>-0.5</v>
      </c>
    </row>
    <row r="42" spans="9:19" x14ac:dyDescent="0.3">
      <c r="J42" s="6" t="s">
        <v>160</v>
      </c>
      <c r="K42" s="6" t="s">
        <v>1178</v>
      </c>
      <c r="M42" s="701">
        <v>-0.25</v>
      </c>
      <c r="N42" s="700">
        <v>-0.25</v>
      </c>
      <c r="O42" s="685">
        <v>-0.25</v>
      </c>
      <c r="P42" s="685">
        <v>-0.25</v>
      </c>
      <c r="Q42" s="685">
        <v>-0.25</v>
      </c>
      <c r="R42" s="685">
        <v>-0.25</v>
      </c>
      <c r="S42" s="685">
        <v>-0.25</v>
      </c>
    </row>
    <row r="43" spans="9:19" x14ac:dyDescent="0.3">
      <c r="J43" s="16" t="s">
        <v>175</v>
      </c>
      <c r="K43" s="769" t="s">
        <v>1179</v>
      </c>
      <c r="L43" s="16"/>
      <c r="M43" s="702">
        <v>81038.379000000001</v>
      </c>
      <c r="N43" s="702">
        <v>84517.00499999999</v>
      </c>
      <c r="O43" s="702">
        <v>89720.96100000001</v>
      </c>
      <c r="P43" s="702">
        <v>94087.398495250498</v>
      </c>
      <c r="Q43" s="702">
        <v>98042.706515379556</v>
      </c>
      <c r="R43" s="702">
        <v>102944.96813766088</v>
      </c>
      <c r="S43" s="702">
        <v>108239.62363214658</v>
      </c>
    </row>
    <row r="44" spans="9:19" x14ac:dyDescent="0.3">
      <c r="J44" s="470" t="s">
        <v>679</v>
      </c>
      <c r="K44" s="470"/>
      <c r="S44" s="169" t="s">
        <v>3</v>
      </c>
    </row>
    <row r="45" spans="9:19" x14ac:dyDescent="0.3">
      <c r="J45" s="450" t="s">
        <v>678</v>
      </c>
      <c r="K45" s="450"/>
    </row>
    <row r="48" spans="9:19" ht="14.4" x14ac:dyDescent="0.3">
      <c r="J48" s="472"/>
      <c r="K48" s="472"/>
      <c r="L48" s="473"/>
      <c r="M48" s="474">
        <v>2016</v>
      </c>
      <c r="N48" s="474">
        <v>2017</v>
      </c>
      <c r="O48" s="474">
        <v>2018</v>
      </c>
      <c r="P48" s="474">
        <v>2019</v>
      </c>
      <c r="Q48" s="474">
        <v>2020</v>
      </c>
      <c r="R48" s="474">
        <v>2021</v>
      </c>
      <c r="S48" s="474">
        <v>2022</v>
      </c>
    </row>
    <row r="49" spans="10:19" x14ac:dyDescent="0.3">
      <c r="J49" s="535" t="s">
        <v>701</v>
      </c>
      <c r="K49" s="727" t="s">
        <v>1180</v>
      </c>
      <c r="M49" s="471">
        <f>M36</f>
        <v>2.0834922277143519</v>
      </c>
      <c r="N49" s="471">
        <f t="shared" ref="N49:Q49" si="1">N36</f>
        <v>1.3480051001340336</v>
      </c>
      <c r="O49" s="471">
        <f t="shared" si="1"/>
        <v>1.3398076150772882</v>
      </c>
      <c r="P49" s="471">
        <f t="shared" si="1"/>
        <v>1.9796474402117019</v>
      </c>
      <c r="Q49" s="471">
        <f t="shared" si="1"/>
        <v>3.2772813675909962</v>
      </c>
      <c r="R49" s="471">
        <v>1.5047910726010401</v>
      </c>
      <c r="S49" s="471">
        <v>0.83066229441046702</v>
      </c>
    </row>
  </sheetData>
  <mergeCells count="1">
    <mergeCell ref="B26:H26"/>
  </mergeCells>
  <conditionalFormatting sqref="I19 G19">
    <cfRule type="cellIs" dxfId="17" priority="46" operator="between">
      <formula>-0.0000001</formula>
      <formula>-0.5</formula>
    </cfRule>
    <cfRule type="cellIs" dxfId="16" priority="47" operator="lessThan">
      <formula>-0.5000001</formula>
    </cfRule>
    <cfRule type="cellIs" dxfId="15" priority="48" operator="greaterThan">
      <formula>0</formula>
    </cfRule>
  </conditionalFormatting>
  <conditionalFormatting sqref="N39 O38 Q38:S39">
    <cfRule type="cellIs" dxfId="14" priority="34" operator="lessThan">
      <formula>-0.501111</formula>
    </cfRule>
    <cfRule type="cellIs" dxfId="13" priority="35" operator="between">
      <formula>-0.04</formula>
      <formula>-0.5</formula>
    </cfRule>
    <cfRule type="cellIs" dxfId="12" priority="36" operator="greaterThan">
      <formula>-0.04</formula>
    </cfRule>
  </conditionalFormatting>
  <conditionalFormatting sqref="M39">
    <cfRule type="cellIs" dxfId="11" priority="10" operator="between">
      <formula>-0.00001</formula>
      <formula>-0.25</formula>
    </cfRule>
    <cfRule type="cellIs" dxfId="10" priority="11" operator="lessThan">
      <formula>-0.25000001</formula>
    </cfRule>
    <cfRule type="cellIs" dxfId="9" priority="12" operator="greaterThanOrEqual">
      <formula>-0.00000001</formula>
    </cfRule>
  </conditionalFormatting>
  <conditionalFormatting sqref="M38">
    <cfRule type="cellIs" dxfId="8" priority="13" operator="between">
      <formula>-0.0000001</formula>
      <formula>-0.5</formula>
    </cfRule>
    <cfRule type="cellIs" dxfId="7" priority="14" operator="lessThan">
      <formula>-0.5000001</formula>
    </cfRule>
    <cfRule type="cellIs" dxfId="6" priority="15" operator="greaterThanOrEqual">
      <formula>-0.000001</formula>
    </cfRule>
  </conditionalFormatting>
  <conditionalFormatting sqref="N38">
    <cfRule type="cellIs" dxfId="5" priority="1" operator="between">
      <formula>-0.0000001</formula>
      <formula>-0.5</formula>
    </cfRule>
    <cfRule type="cellIs" dxfId="4" priority="2" operator="lessThan">
      <formula>-0.5000001</formula>
    </cfRule>
    <cfRule type="cellIs" dxfId="3" priority="3" operator="greaterThanOrEqual">
      <formula>-0.000001</formula>
    </cfRule>
  </conditionalFormatting>
  <conditionalFormatting sqref="P38">
    <cfRule type="cellIs" dxfId="2" priority="7" operator="between">
      <formula>-0.0000001</formula>
      <formula>-0.5</formula>
    </cfRule>
    <cfRule type="cellIs" dxfId="1" priority="8" operator="lessThan">
      <formula>-0.5000001</formula>
    </cfRule>
    <cfRule type="cellIs" dxfId="0" priority="9" operator="greaterThanOrEqual">
      <formula>-0.000001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2:AH35"/>
  <sheetViews>
    <sheetView showGridLines="0" workbookViewId="0">
      <selection activeCell="A25" sqref="A25"/>
    </sheetView>
  </sheetViews>
  <sheetFormatPr defaultColWidth="9.109375" defaultRowHeight="13.8" x14ac:dyDescent="0.3"/>
  <cols>
    <col min="1" max="11" width="9.109375" style="6"/>
    <col min="12" max="13" width="6" style="6" customWidth="1"/>
    <col min="14" max="16" width="9.109375" style="6"/>
    <col min="17" max="17" width="20.5546875" style="47" customWidth="1"/>
    <col min="18" max="18" width="9.5546875" style="6" hidden="1" customWidth="1"/>
    <col min="19" max="34" width="6.88671875" style="6" customWidth="1"/>
    <col min="35" max="16384" width="9.109375" style="6"/>
  </cols>
  <sheetData>
    <row r="2" spans="1:34" x14ac:dyDescent="0.3">
      <c r="O2" s="727" t="s">
        <v>1128</v>
      </c>
      <c r="Q2" s="772" t="s">
        <v>1010</v>
      </c>
    </row>
    <row r="3" spans="1:34" x14ac:dyDescent="0.3">
      <c r="A3" s="113" t="s">
        <v>508</v>
      </c>
      <c r="B3" s="10"/>
      <c r="C3" s="10"/>
      <c r="D3" s="10"/>
    </row>
    <row r="4" spans="1:34" ht="14.4" thickBot="1" x14ac:dyDescent="0.35">
      <c r="N4" s="48"/>
      <c r="O4" s="48"/>
      <c r="P4" s="48"/>
      <c r="Q4" s="398"/>
      <c r="R4" s="114">
        <v>2006</v>
      </c>
      <c r="S4" s="114">
        <v>2007</v>
      </c>
      <c r="T4" s="114">
        <v>2008</v>
      </c>
      <c r="U4" s="114">
        <v>2009</v>
      </c>
      <c r="V4" s="114">
        <v>2010</v>
      </c>
      <c r="W4" s="114">
        <v>2011</v>
      </c>
      <c r="X4" s="114">
        <v>2012</v>
      </c>
      <c r="Y4" s="114">
        <v>2013</v>
      </c>
      <c r="Z4" s="114">
        <v>2014</v>
      </c>
      <c r="AA4" s="114">
        <v>2015</v>
      </c>
      <c r="AB4" s="114">
        <v>2016</v>
      </c>
      <c r="AC4" s="114">
        <v>2017</v>
      </c>
      <c r="AD4" s="114">
        <v>2018</v>
      </c>
      <c r="AE4" s="114">
        <v>2019</v>
      </c>
      <c r="AF4" s="114">
        <v>2020</v>
      </c>
      <c r="AG4" s="114">
        <v>2021</v>
      </c>
      <c r="AH4" s="114">
        <v>2022</v>
      </c>
    </row>
    <row r="5" spans="1:34" x14ac:dyDescent="0.3">
      <c r="P5" s="311" t="s">
        <v>513</v>
      </c>
      <c r="Q5" s="311" t="s">
        <v>1015</v>
      </c>
      <c r="R5" s="7">
        <v>31.02765044002853</v>
      </c>
      <c r="S5" s="7">
        <v>30.164017775301126</v>
      </c>
      <c r="T5" s="7">
        <v>28.534855720215337</v>
      </c>
      <c r="U5" s="7">
        <v>36.360955279884692</v>
      </c>
      <c r="V5" s="7">
        <v>40.988525627992928</v>
      </c>
      <c r="W5" s="7">
        <v>43.46415984736344</v>
      </c>
      <c r="X5" s="7">
        <v>51.753738394282202</v>
      </c>
      <c r="Y5" s="7">
        <v>54.707293115868914</v>
      </c>
      <c r="Z5" s="7">
        <v>53.507170649294146</v>
      </c>
      <c r="AA5" s="7">
        <v>51.88713014805073</v>
      </c>
      <c r="AB5" s="7">
        <v>52.024438938987174</v>
      </c>
      <c r="AC5" s="7">
        <v>51.314560898129315</v>
      </c>
      <c r="AD5" s="7">
        <v>49.399662582749201</v>
      </c>
      <c r="AE5" s="7">
        <v>47.92929189064612</v>
      </c>
      <c r="AF5" s="7">
        <v>46.811134827452079</v>
      </c>
      <c r="AG5" s="7">
        <v>45.899876890669269</v>
      </c>
      <c r="AH5" s="7">
        <v>44.792971185669288</v>
      </c>
    </row>
    <row r="6" spans="1:34" x14ac:dyDescent="0.3">
      <c r="P6" s="312" t="s">
        <v>514</v>
      </c>
      <c r="Q6" s="312" t="s">
        <v>1021</v>
      </c>
      <c r="R6" s="7">
        <v>1.1211204111440571</v>
      </c>
      <c r="S6" s="7">
        <v>1.2335122173566553</v>
      </c>
      <c r="T6" s="7">
        <v>1.2622180767681173</v>
      </c>
      <c r="U6" s="7">
        <v>2.4407759300615068</v>
      </c>
      <c r="V6" s="7">
        <v>3.1100437924834639</v>
      </c>
      <c r="W6" s="7">
        <v>3.0545906405120045</v>
      </c>
      <c r="X6" s="7">
        <v>2.7070529891599797</v>
      </c>
      <c r="Y6" s="7">
        <v>2.6325883673081454</v>
      </c>
      <c r="Z6" s="7">
        <v>1.9344547125665867</v>
      </c>
      <c r="AA6" s="7">
        <v>1.8130035987021671</v>
      </c>
      <c r="AB6" s="7">
        <v>1.6692726541334202</v>
      </c>
      <c r="AC6" s="7">
        <v>1.6046764790115315</v>
      </c>
      <c r="AD6" s="7">
        <v>1.6357097423421489</v>
      </c>
      <c r="AE6" s="7">
        <v>1.5604730532262672</v>
      </c>
      <c r="AF6" s="7">
        <v>1.3660531696867297</v>
      </c>
      <c r="AG6" s="7">
        <v>1.1726172943059878</v>
      </c>
      <c r="AH6" s="7">
        <v>1.0156691820512733</v>
      </c>
    </row>
    <row r="7" spans="1:34" x14ac:dyDescent="0.3">
      <c r="P7" s="312" t="s">
        <v>515</v>
      </c>
      <c r="Q7" s="312" t="s">
        <v>515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0.24238501133205015</v>
      </c>
      <c r="X7" s="7">
        <v>2.3919386860992065</v>
      </c>
      <c r="Y7" s="7">
        <v>3.2575722536977922</v>
      </c>
      <c r="Z7" s="7">
        <v>3.4832828391552244</v>
      </c>
      <c r="AA7" s="7">
        <v>3.1844248719573325</v>
      </c>
      <c r="AB7" s="7">
        <v>3.1341198156702714</v>
      </c>
      <c r="AC7" s="7">
        <v>3.0051229270807402</v>
      </c>
      <c r="AD7" s="7">
        <v>2.8308210993604672</v>
      </c>
      <c r="AE7" s="7">
        <v>2.6994474660336016</v>
      </c>
      <c r="AF7" s="7">
        <v>2.7220177710193494</v>
      </c>
      <c r="AG7" s="7">
        <v>2.5872948845593733</v>
      </c>
      <c r="AH7" s="7">
        <v>2.4558842735549695</v>
      </c>
    </row>
    <row r="8" spans="1:34" x14ac:dyDescent="0.3">
      <c r="P8" s="312" t="s">
        <v>516</v>
      </c>
      <c r="Q8" s="312" t="s">
        <v>1022</v>
      </c>
      <c r="R8" s="7">
        <v>29.906530028884475</v>
      </c>
      <c r="S8" s="7">
        <v>28.930505557944475</v>
      </c>
      <c r="T8" s="7">
        <v>27.272637643447219</v>
      </c>
      <c r="U8" s="7">
        <v>33.920179349823186</v>
      </c>
      <c r="V8" s="7">
        <v>37.878481835509461</v>
      </c>
      <c r="W8" s="7">
        <v>40.167184195519376</v>
      </c>
      <c r="X8" s="7">
        <v>46.654746719023017</v>
      </c>
      <c r="Y8" s="7">
        <v>48.817132494862982</v>
      </c>
      <c r="Z8" s="7">
        <v>48.089433097572339</v>
      </c>
      <c r="AA8" s="7">
        <v>46.88970167739123</v>
      </c>
      <c r="AB8" s="7">
        <v>47.221046469183477</v>
      </c>
      <c r="AC8" s="7">
        <v>46.704761492037044</v>
      </c>
      <c r="AD8" s="7">
        <v>44.93313174104658</v>
      </c>
      <c r="AE8" s="7">
        <v>43.669371371386248</v>
      </c>
      <c r="AF8" s="7">
        <v>42.723063886745997</v>
      </c>
      <c r="AG8" s="7">
        <v>42.139964711803898</v>
      </c>
      <c r="AH8" s="7">
        <v>41.32141773006304</v>
      </c>
    </row>
    <row r="9" spans="1:34" x14ac:dyDescent="0.3">
      <c r="P9" s="312" t="s">
        <v>509</v>
      </c>
      <c r="Q9" s="312" t="s">
        <v>1023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7">
        <v>60</v>
      </c>
      <c r="AD9" s="7">
        <f>AC9-1</f>
        <v>59</v>
      </c>
      <c r="AE9" s="7">
        <f t="shared" ref="AE9:AH9" si="0">AD9-1</f>
        <v>58</v>
      </c>
      <c r="AF9" s="7">
        <f t="shared" si="0"/>
        <v>57</v>
      </c>
      <c r="AG9" s="7">
        <f t="shared" si="0"/>
        <v>56</v>
      </c>
      <c r="AH9" s="7">
        <f t="shared" si="0"/>
        <v>55</v>
      </c>
    </row>
    <row r="10" spans="1:34" x14ac:dyDescent="0.3">
      <c r="P10" s="312" t="s">
        <v>510</v>
      </c>
      <c r="Q10" s="312" t="s">
        <v>1024</v>
      </c>
      <c r="X10" s="7">
        <v>57</v>
      </c>
      <c r="Y10" s="7">
        <f>X10</f>
        <v>57</v>
      </c>
      <c r="Z10" s="7">
        <f t="shared" ref="Z10:AC10" si="1">Y10</f>
        <v>57</v>
      </c>
      <c r="AA10" s="7">
        <f t="shared" si="1"/>
        <v>57</v>
      </c>
      <c r="AB10" s="7">
        <f t="shared" si="1"/>
        <v>57</v>
      </c>
      <c r="AC10" s="7">
        <f t="shared" si="1"/>
        <v>57</v>
      </c>
      <c r="AD10" s="7">
        <f t="shared" ref="AD10:AH12" si="2">AC10-1</f>
        <v>56</v>
      </c>
      <c r="AE10" s="7">
        <f t="shared" si="2"/>
        <v>55</v>
      </c>
      <c r="AF10" s="7">
        <f t="shared" si="2"/>
        <v>54</v>
      </c>
      <c r="AG10" s="7">
        <f t="shared" si="2"/>
        <v>53</v>
      </c>
      <c r="AH10" s="7">
        <f t="shared" si="2"/>
        <v>52</v>
      </c>
    </row>
    <row r="11" spans="1:34" x14ac:dyDescent="0.3">
      <c r="P11" s="312" t="s">
        <v>511</v>
      </c>
      <c r="Q11" s="312" t="s">
        <v>1025</v>
      </c>
      <c r="X11" s="7">
        <v>55</v>
      </c>
      <c r="Y11" s="7">
        <f t="shared" ref="Y11:AC12" si="3">X11</f>
        <v>55</v>
      </c>
      <c r="Z11" s="7">
        <f t="shared" si="3"/>
        <v>55</v>
      </c>
      <c r="AA11" s="7">
        <f t="shared" si="3"/>
        <v>55</v>
      </c>
      <c r="AB11" s="7">
        <f t="shared" si="3"/>
        <v>55</v>
      </c>
      <c r="AC11" s="7">
        <f t="shared" si="3"/>
        <v>55</v>
      </c>
      <c r="AD11" s="7">
        <f t="shared" si="2"/>
        <v>54</v>
      </c>
      <c r="AE11" s="7">
        <f t="shared" si="2"/>
        <v>53</v>
      </c>
      <c r="AF11" s="7">
        <f t="shared" si="2"/>
        <v>52</v>
      </c>
      <c r="AG11" s="7">
        <f t="shared" si="2"/>
        <v>51</v>
      </c>
      <c r="AH11" s="7">
        <f t="shared" si="2"/>
        <v>50</v>
      </c>
    </row>
    <row r="12" spans="1:34" x14ac:dyDescent="0.3">
      <c r="P12" s="312" t="s">
        <v>512</v>
      </c>
      <c r="Q12" s="312" t="s">
        <v>1026</v>
      </c>
      <c r="X12" s="7">
        <v>50</v>
      </c>
      <c r="Y12" s="7">
        <f t="shared" si="3"/>
        <v>50</v>
      </c>
      <c r="Z12" s="7">
        <f t="shared" si="3"/>
        <v>50</v>
      </c>
      <c r="AA12" s="7">
        <f t="shared" si="3"/>
        <v>50</v>
      </c>
      <c r="AB12" s="7">
        <f t="shared" si="3"/>
        <v>50</v>
      </c>
      <c r="AC12" s="7">
        <f t="shared" si="3"/>
        <v>50</v>
      </c>
      <c r="AD12" s="7">
        <f t="shared" si="2"/>
        <v>49</v>
      </c>
      <c r="AE12" s="7">
        <f t="shared" si="2"/>
        <v>48</v>
      </c>
      <c r="AF12" s="7">
        <f t="shared" si="2"/>
        <v>47</v>
      </c>
      <c r="AG12" s="7">
        <f t="shared" si="2"/>
        <v>46</v>
      </c>
      <c r="AH12" s="7">
        <f t="shared" si="2"/>
        <v>45</v>
      </c>
    </row>
    <row r="19" spans="1:16" x14ac:dyDescent="0.3">
      <c r="O19" s="727" t="s">
        <v>791</v>
      </c>
      <c r="P19" s="727"/>
    </row>
    <row r="25" spans="1:16" x14ac:dyDescent="0.3">
      <c r="A25" s="113" t="s">
        <v>1183</v>
      </c>
    </row>
    <row r="26" spans="1:16" x14ac:dyDescent="0.3">
      <c r="A26" s="47"/>
      <c r="B26" s="47"/>
      <c r="C26" s="47"/>
      <c r="D26" s="47"/>
    </row>
    <row r="27" spans="1:16" x14ac:dyDescent="0.3">
      <c r="A27" s="47"/>
      <c r="B27" s="47"/>
      <c r="C27" s="47"/>
      <c r="D27" s="47"/>
    </row>
    <row r="28" spans="1:16" x14ac:dyDescent="0.3">
      <c r="A28" s="313"/>
      <c r="B28" s="47"/>
      <c r="C28" s="47"/>
      <c r="D28" s="47"/>
    </row>
    <row r="29" spans="1:16" x14ac:dyDescent="0.3">
      <c r="A29" s="314"/>
      <c r="B29" s="47"/>
      <c r="C29" s="47"/>
      <c r="D29" s="47"/>
    </row>
    <row r="30" spans="1:16" x14ac:dyDescent="0.3">
      <c r="A30" s="314"/>
      <c r="B30" s="47"/>
      <c r="C30" s="47"/>
      <c r="D30" s="47"/>
    </row>
    <row r="31" spans="1:16" x14ac:dyDescent="0.3">
      <c r="A31" s="314"/>
      <c r="B31" s="47"/>
      <c r="C31" s="47"/>
      <c r="D31" s="47"/>
    </row>
    <row r="32" spans="1:16" x14ac:dyDescent="0.3">
      <c r="A32" s="47"/>
      <c r="B32" s="47"/>
      <c r="C32" s="47"/>
      <c r="D32" s="47"/>
    </row>
    <row r="33" spans="1:4" x14ac:dyDescent="0.3">
      <c r="A33" s="47"/>
      <c r="B33" s="47"/>
      <c r="C33" s="47"/>
      <c r="D33" s="47"/>
    </row>
    <row r="34" spans="1:4" x14ac:dyDescent="0.3">
      <c r="A34" s="47"/>
      <c r="B34" s="47"/>
      <c r="C34" s="47"/>
      <c r="D34" s="47"/>
    </row>
    <row r="35" spans="1:4" x14ac:dyDescent="0.3">
      <c r="A35" s="47"/>
      <c r="B35" s="47"/>
      <c r="C35" s="47"/>
      <c r="D35" s="4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B4:S23"/>
  <sheetViews>
    <sheetView showGridLines="0" zoomScaleNormal="100" zoomScalePageLayoutView="90" workbookViewId="0">
      <selection activeCell="J23" sqref="J23"/>
    </sheetView>
  </sheetViews>
  <sheetFormatPr defaultColWidth="8.88671875" defaultRowHeight="13.8" x14ac:dyDescent="0.3"/>
  <cols>
    <col min="1" max="1" width="8.88671875" style="6"/>
    <col min="2" max="2" width="9.5546875" style="6" customWidth="1"/>
    <col min="3" max="3" width="7.44140625" style="6" customWidth="1"/>
    <col min="4" max="4" width="6.33203125" style="6" customWidth="1"/>
    <col min="5" max="5" width="8.33203125" style="6" customWidth="1"/>
    <col min="6" max="6" width="8.109375" style="6" customWidth="1"/>
    <col min="7" max="9" width="8.33203125" style="6" customWidth="1"/>
    <col min="10" max="10" width="34.88671875" style="6" customWidth="1"/>
    <col min="11" max="11" width="44.6640625" style="6" bestFit="1" customWidth="1"/>
    <col min="12" max="12" width="7.6640625" style="6" hidden="1" customWidth="1"/>
    <col min="13" max="17" width="6.6640625" style="6" customWidth="1"/>
    <col min="18" max="18" width="7" style="6" customWidth="1"/>
    <col min="19" max="16384" width="8.88671875" style="6"/>
  </cols>
  <sheetData>
    <row r="4" spans="2:19" ht="14.4" thickBot="1" x14ac:dyDescent="0.35">
      <c r="B4" s="49" t="s">
        <v>529</v>
      </c>
      <c r="J4" s="114" t="s">
        <v>176</v>
      </c>
      <c r="K4" s="114" t="s">
        <v>1010</v>
      </c>
      <c r="L4" s="48"/>
      <c r="M4" s="48"/>
      <c r="N4" s="48"/>
      <c r="O4" s="48"/>
      <c r="P4" s="48"/>
      <c r="Q4" s="48"/>
      <c r="R4" s="48"/>
      <c r="S4" s="48"/>
    </row>
    <row r="5" spans="2:19" x14ac:dyDescent="0.3">
      <c r="K5" s="727"/>
    </row>
    <row r="6" spans="2:19" x14ac:dyDescent="0.3">
      <c r="K6" s="727"/>
      <c r="L6" s="10">
        <v>2015</v>
      </c>
      <c r="M6" s="10">
        <v>2016</v>
      </c>
      <c r="N6" s="10">
        <v>2017</v>
      </c>
      <c r="O6" s="10">
        <v>2018</v>
      </c>
      <c r="P6" s="10">
        <v>2019</v>
      </c>
      <c r="Q6" s="10">
        <v>2020</v>
      </c>
      <c r="R6" s="10">
        <v>2021</v>
      </c>
      <c r="S6" s="10">
        <v>2022</v>
      </c>
    </row>
    <row r="7" spans="2:19" x14ac:dyDescent="0.3">
      <c r="J7" s="16" t="s">
        <v>117</v>
      </c>
      <c r="K7" s="769" t="s">
        <v>1184</v>
      </c>
      <c r="L7" s="176">
        <v>-1.3429083213278972</v>
      </c>
      <c r="M7" s="176">
        <f>'Graf 19'!AB5-'Graf 19'!AA5</f>
        <v>0.13730879093644432</v>
      </c>
      <c r="N7" s="176">
        <f>'Graf 19'!AC5-'Graf 19'!AB5</f>
        <v>-0.70987804085785911</v>
      </c>
      <c r="O7" s="176">
        <f>'Graf 19'!AD5-'Graf 19'!AC5</f>
        <v>-1.914898315380114</v>
      </c>
      <c r="P7" s="176">
        <f>'Graf 19'!AE5-'Graf 19'!AD5</f>
        <v>-1.4703706921030815</v>
      </c>
      <c r="Q7" s="176">
        <f>'Graf 19'!AF5-'Graf 19'!AE5</f>
        <v>-1.1181570631940403</v>
      </c>
      <c r="R7" s="176">
        <f>'Graf 19'!AG5-'Graf 19'!AF5</f>
        <v>-0.91125793678281042</v>
      </c>
      <c r="S7" s="176">
        <f>'Graf 19'!AH5-'Graf 19'!AG5</f>
        <v>-1.1069057049999813</v>
      </c>
    </row>
    <row r="8" spans="2:19" x14ac:dyDescent="0.3">
      <c r="J8" s="177" t="s">
        <v>118</v>
      </c>
      <c r="K8" s="177" t="s">
        <v>1185</v>
      </c>
      <c r="L8" s="178"/>
      <c r="M8" s="178"/>
      <c r="N8" s="178"/>
      <c r="O8" s="178"/>
      <c r="P8" s="178"/>
      <c r="Q8" s="178"/>
      <c r="R8" s="178"/>
      <c r="S8" s="178"/>
    </row>
    <row r="9" spans="2:19" x14ac:dyDescent="0.3">
      <c r="J9" s="6" t="s">
        <v>119</v>
      </c>
      <c r="K9" s="727" t="s">
        <v>1186</v>
      </c>
      <c r="L9" s="7">
        <v>0.81822894170431559</v>
      </c>
      <c r="M9" s="7">
        <v>0.78190112859981986</v>
      </c>
      <c r="N9" s="7">
        <v>-0.4869351439985411</v>
      </c>
      <c r="O9" s="7">
        <v>-0.28535918156293721</v>
      </c>
      <c r="P9" s="7">
        <v>-0.51917154455562731</v>
      </c>
      <c r="Q9" s="7">
        <v>-0.5882436547276636</v>
      </c>
      <c r="R9" s="7">
        <v>-0.97198437000044358</v>
      </c>
      <c r="S9" s="7">
        <v>-0.93519079800215443</v>
      </c>
    </row>
    <row r="10" spans="2:19" ht="17.100000000000001" customHeight="1" x14ac:dyDescent="0.3">
      <c r="J10" s="6" t="s">
        <v>120</v>
      </c>
      <c r="K10" s="727" t="s">
        <v>1187</v>
      </c>
      <c r="L10" s="7">
        <v>1.7430346759535043</v>
      </c>
      <c r="M10" s="7">
        <v>1.6942145400020898</v>
      </c>
      <c r="N10" s="7">
        <v>1.4393600435793954</v>
      </c>
      <c r="O10" s="7">
        <v>1.3455395333984441</v>
      </c>
      <c r="P10" s="7">
        <v>1.2063081965830886</v>
      </c>
      <c r="Q10" s="7">
        <v>1.0782433875733237</v>
      </c>
      <c r="R10" s="7">
        <v>0.97198437000044358</v>
      </c>
      <c r="S10" s="7">
        <v>0.93519079800215443</v>
      </c>
    </row>
    <row r="11" spans="2:19" ht="17.100000000000001" customHeight="1" x14ac:dyDescent="0.3">
      <c r="J11" s="6" t="s">
        <v>121</v>
      </c>
      <c r="K11" s="727" t="s">
        <v>1188</v>
      </c>
      <c r="L11" s="7">
        <v>-0.81967234512503684</v>
      </c>
      <c r="M11" s="7">
        <v>-0.81967234512503684</v>
      </c>
      <c r="N11" s="7">
        <v>-2.1412680907063986</v>
      </c>
      <c r="O11" s="7">
        <v>-2.9763247528432628</v>
      </c>
      <c r="P11" s="7">
        <v>-2.2925550329136466</v>
      </c>
      <c r="Q11" s="7">
        <v>-1.9335973001157531</v>
      </c>
      <c r="R11" s="7">
        <v>-2.2291563532584489</v>
      </c>
      <c r="S11" s="7">
        <v>-2.2452409498514081</v>
      </c>
    </row>
    <row r="12" spans="2:19" ht="17.100000000000001" customHeight="1" x14ac:dyDescent="0.3">
      <c r="J12" s="6" t="s">
        <v>122</v>
      </c>
      <c r="K12" s="727" t="s">
        <v>1189</v>
      </c>
      <c r="L12" s="7">
        <v>-1.8410530271824801</v>
      </c>
      <c r="M12" s="7">
        <v>-1.5191345325404284</v>
      </c>
      <c r="N12" s="7">
        <v>0.47896515026768516</v>
      </c>
      <c r="O12" s="7">
        <v>1.2460856276419463E-3</v>
      </c>
      <c r="P12" s="7">
        <v>0.1350476887831038</v>
      </c>
      <c r="Q12" s="7">
        <v>0.32544050407605274</v>
      </c>
      <c r="R12" s="7">
        <v>1.3178984164756384</v>
      </c>
      <c r="S12" s="7">
        <v>1.1383352448514268</v>
      </c>
    </row>
    <row r="13" spans="2:19" ht="17.100000000000001" customHeight="1" x14ac:dyDescent="0.3">
      <c r="J13" s="6" t="s">
        <v>123</v>
      </c>
      <c r="K13" s="727" t="s">
        <v>1190</v>
      </c>
      <c r="L13" s="7">
        <v>-2.1386488836920772</v>
      </c>
      <c r="M13" s="7">
        <v>-1.0560237043804959</v>
      </c>
      <c r="N13" s="7">
        <v>-1.5435403478647378</v>
      </c>
      <c r="O13" s="7">
        <v>-1.9958315360073706</v>
      </c>
      <c r="P13" s="7">
        <v>-1.2034915317623791</v>
      </c>
      <c r="Q13" s="7">
        <v>-1.078743181108857</v>
      </c>
      <c r="R13" s="7">
        <v>-1.2847335768734751</v>
      </c>
      <c r="S13" s="7">
        <v>-1.2374550814940115</v>
      </c>
    </row>
    <row r="14" spans="2:19" ht="17.100000000000001" customHeight="1" x14ac:dyDescent="0.3">
      <c r="J14" s="16" t="s">
        <v>124</v>
      </c>
      <c r="K14" s="769" t="s">
        <v>1191</v>
      </c>
      <c r="L14" s="176">
        <v>-0.47243705453158258</v>
      </c>
      <c r="M14" s="176">
        <v>0.23635135925545903</v>
      </c>
      <c r="N14" s="176">
        <v>-0.59772774284166075</v>
      </c>
      <c r="O14" s="176">
        <v>-0.98049321683589219</v>
      </c>
      <c r="P14" s="176">
        <v>-1.0890635011512675</v>
      </c>
      <c r="Q14" s="176">
        <v>-0.85485411900689612</v>
      </c>
      <c r="R14" s="176">
        <v>-0.94442277638497374</v>
      </c>
      <c r="S14" s="176">
        <v>-1.0077858683573966</v>
      </c>
    </row>
    <row r="15" spans="2:19" ht="17.100000000000001" customHeight="1" x14ac:dyDescent="0.3">
      <c r="C15" s="175"/>
    </row>
    <row r="16" spans="2:19" ht="17.100000000000001" customHeight="1" x14ac:dyDescent="0.3">
      <c r="L16" s="7"/>
      <c r="M16" s="7"/>
      <c r="N16" s="7"/>
      <c r="O16" s="7"/>
      <c r="P16" s="7"/>
      <c r="Q16" s="7"/>
      <c r="R16" s="7"/>
    </row>
    <row r="17" spans="2:17" ht="17.100000000000001" customHeight="1" x14ac:dyDescent="0.3"/>
    <row r="18" spans="2:17" ht="17.100000000000001" customHeight="1" x14ac:dyDescent="0.3"/>
    <row r="19" spans="2:17" ht="17.100000000000001" customHeight="1" x14ac:dyDescent="0.3"/>
    <row r="22" spans="2:17" x14ac:dyDescent="0.3">
      <c r="B22" s="49" t="s">
        <v>1192</v>
      </c>
    </row>
    <row r="23" spans="2:17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7"/>
  <dimension ref="A1:AD106"/>
  <sheetViews>
    <sheetView showGridLines="0" zoomScale="85" zoomScaleNormal="85" workbookViewId="0">
      <pane xSplit="4" ySplit="5" topLeftCell="K34" activePane="bottomRight" state="frozen"/>
      <selection pane="topRight" activeCell="E1" sqref="E1"/>
      <selection pane="bottomLeft" activeCell="A6" sqref="A6"/>
      <selection pane="bottomRight" activeCell="O79" sqref="O79"/>
    </sheetView>
  </sheetViews>
  <sheetFormatPr defaultColWidth="9.109375" defaultRowHeight="13.8" x14ac:dyDescent="0.3"/>
  <cols>
    <col min="1" max="1" width="40.88671875" style="271" customWidth="1"/>
    <col min="2" max="2" width="40.88671875" style="271" hidden="1" customWidth="1"/>
    <col min="3" max="3" width="9.33203125" style="276" hidden="1" customWidth="1"/>
    <col min="4" max="4" width="23.6640625" style="276" customWidth="1"/>
    <col min="5" max="5" width="10.109375" style="271" customWidth="1"/>
    <col min="6" max="8" width="10" style="271" customWidth="1"/>
    <col min="9" max="11" width="10.33203125" style="271" customWidth="1"/>
    <col min="12" max="12" width="10.5546875" style="271" bestFit="1" customWidth="1"/>
    <col min="13" max="13" width="10.88671875" style="271" customWidth="1"/>
    <col min="14" max="14" width="10.5546875" style="271" bestFit="1" customWidth="1"/>
    <col min="15" max="16" width="10.5546875" style="271" customWidth="1"/>
    <col min="17" max="17" width="10.44140625" style="271" customWidth="1"/>
    <col min="18" max="20" width="10.6640625" style="271" bestFit="1" customWidth="1"/>
    <col min="21" max="21" width="19.109375" style="271" customWidth="1"/>
    <col min="22" max="24" width="10.6640625" style="271" bestFit="1" customWidth="1"/>
    <col min="25" max="25" width="4.44140625" style="271" bestFit="1" customWidth="1"/>
    <col min="26" max="26" width="5.6640625" style="271" bestFit="1" customWidth="1"/>
    <col min="27" max="27" width="7" style="271" bestFit="1" customWidth="1"/>
    <col min="28" max="30" width="4.44140625" style="271" bestFit="1" customWidth="1"/>
    <col min="31" max="16384" width="9.109375" style="271"/>
  </cols>
  <sheetData>
    <row r="1" spans="1:30" ht="15.75" customHeight="1" x14ac:dyDescent="0.3">
      <c r="A1" s="6"/>
    </row>
    <row r="2" spans="1:30" ht="15.75" customHeight="1" x14ac:dyDescent="0.3">
      <c r="K2" s="274"/>
    </row>
    <row r="3" spans="1:30" ht="16.5" customHeight="1" x14ac:dyDescent="0.3">
      <c r="A3" s="50" t="s">
        <v>263</v>
      </c>
      <c r="B3" s="50"/>
      <c r="C3" s="51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V3" s="52"/>
      <c r="W3" s="52"/>
      <c r="X3" s="52"/>
    </row>
    <row r="4" spans="1:30" ht="16.5" customHeight="1" x14ac:dyDescent="0.3">
      <c r="A4" s="53"/>
      <c r="B4" s="854" t="s">
        <v>264</v>
      </c>
      <c r="C4" s="854" t="s">
        <v>265</v>
      </c>
      <c r="D4" s="854" t="s">
        <v>266</v>
      </c>
      <c r="E4" s="277">
        <v>2008</v>
      </c>
      <c r="F4" s="277">
        <v>2009</v>
      </c>
      <c r="G4" s="277">
        <v>2010</v>
      </c>
      <c r="H4" s="278">
        <v>2011</v>
      </c>
      <c r="I4" s="279">
        <v>2012</v>
      </c>
      <c r="J4" s="279">
        <v>2013</v>
      </c>
      <c r="K4" s="279">
        <v>2014</v>
      </c>
      <c r="L4" s="279">
        <v>2015</v>
      </c>
      <c r="M4" s="279">
        <v>2016</v>
      </c>
      <c r="N4" s="279">
        <v>2017</v>
      </c>
      <c r="O4" s="279">
        <v>2018</v>
      </c>
      <c r="P4" s="279">
        <v>2019</v>
      </c>
      <c r="Q4" s="279">
        <v>2019</v>
      </c>
      <c r="R4" s="279">
        <v>2020</v>
      </c>
      <c r="S4" s="279">
        <v>2021</v>
      </c>
      <c r="T4" s="279">
        <v>2022</v>
      </c>
      <c r="V4" s="279" t="s">
        <v>649</v>
      </c>
      <c r="W4" s="279" t="s">
        <v>650</v>
      </c>
      <c r="X4" s="279" t="s">
        <v>651</v>
      </c>
    </row>
    <row r="5" spans="1:30" x14ac:dyDescent="0.3">
      <c r="A5" s="54"/>
      <c r="B5" s="855"/>
      <c r="C5" s="855"/>
      <c r="D5" s="855"/>
      <c r="E5" s="280" t="s">
        <v>267</v>
      </c>
      <c r="F5" s="280" t="s">
        <v>267</v>
      </c>
      <c r="G5" s="280" t="s">
        <v>267</v>
      </c>
      <c r="H5" s="281" t="s">
        <v>267</v>
      </c>
      <c r="I5" s="281" t="s">
        <v>267</v>
      </c>
      <c r="J5" s="281" t="s">
        <v>267</v>
      </c>
      <c r="K5" s="281" t="s">
        <v>268</v>
      </c>
      <c r="L5" s="281" t="s">
        <v>268</v>
      </c>
      <c r="M5" s="281" t="s">
        <v>268</v>
      </c>
      <c r="N5" s="281" t="s">
        <v>267</v>
      </c>
      <c r="O5" s="281" t="s">
        <v>267</v>
      </c>
      <c r="P5" s="281" t="s">
        <v>270</v>
      </c>
      <c r="Q5" s="281" t="s">
        <v>269</v>
      </c>
      <c r="R5" s="281" t="s">
        <v>271</v>
      </c>
      <c r="S5" s="281" t="s">
        <v>271</v>
      </c>
      <c r="T5" s="281" t="s">
        <v>271</v>
      </c>
      <c r="V5" s="281"/>
      <c r="W5" s="281"/>
      <c r="X5" s="281"/>
    </row>
    <row r="6" spans="1:30" ht="16.5" customHeight="1" x14ac:dyDescent="0.3">
      <c r="A6" s="55" t="s">
        <v>32</v>
      </c>
      <c r="B6" s="56" t="s">
        <v>33</v>
      </c>
      <c r="C6" s="56" t="s">
        <v>272</v>
      </c>
      <c r="D6" s="56" t="s">
        <v>272</v>
      </c>
      <c r="E6" s="282">
        <f t="shared" ref="E6:N6" si="0">E8+E23+E29+E36</f>
        <v>23643.783000000003</v>
      </c>
      <c r="F6" s="282">
        <f t="shared" si="0"/>
        <v>23239.896000000001</v>
      </c>
      <c r="G6" s="282">
        <f t="shared" si="0"/>
        <v>23659.915000000001</v>
      </c>
      <c r="H6" s="282">
        <f t="shared" si="0"/>
        <v>26339.775000000001</v>
      </c>
      <c r="I6" s="282">
        <f t="shared" si="0"/>
        <v>26893.898999999998</v>
      </c>
      <c r="J6" s="282">
        <f t="shared" si="0"/>
        <v>29307.413</v>
      </c>
      <c r="K6" s="282">
        <f t="shared" si="0"/>
        <v>30571.504000000004</v>
      </c>
      <c r="L6" s="282">
        <f>L8+L23+L29+L36</f>
        <v>34299.132999999994</v>
      </c>
      <c r="M6" s="282">
        <f t="shared" si="0"/>
        <v>32526.421000000002</v>
      </c>
      <c r="N6" s="282">
        <f t="shared" si="0"/>
        <v>34220.925000000003</v>
      </c>
      <c r="O6" s="282">
        <v>36569.629000000001</v>
      </c>
      <c r="P6" s="282">
        <f>P8+P23+P29+P36</f>
        <v>37216.334999999999</v>
      </c>
      <c r="Q6" s="282">
        <f>Q8+Q23+Q29+Q36+Q41</f>
        <v>37740.36346</v>
      </c>
      <c r="R6" s="282">
        <f>R8+R23+R29+R36+R41</f>
        <v>38865.925999999999</v>
      </c>
      <c r="S6" s="282">
        <f>S8+S23+S29+S36+S41</f>
        <v>40813.139000000003</v>
      </c>
      <c r="T6" s="282">
        <f>T8+T23+T29+T36+T41</f>
        <v>43025.534999999996</v>
      </c>
      <c r="V6" s="282">
        <f>V8+V23+V29+V36+V41</f>
        <v>39236.656572000007</v>
      </c>
      <c r="W6" s="282">
        <f>W8+W23+W29+W36+W41</f>
        <v>40835.072508509009</v>
      </c>
      <c r="X6" s="282">
        <f>X8+X23+X29+X36+X41</f>
        <v>42831.523439516204</v>
      </c>
    </row>
    <row r="7" spans="1:30" ht="16.5" customHeight="1" x14ac:dyDescent="0.3">
      <c r="A7" s="57" t="s">
        <v>4</v>
      </c>
      <c r="B7" s="58"/>
      <c r="C7" s="59"/>
      <c r="D7" s="59"/>
      <c r="E7" s="60">
        <f t="shared" ref="E7:S7" si="1">E6/E91</f>
        <v>0.34470912560616607</v>
      </c>
      <c r="F7" s="60">
        <f t="shared" si="1"/>
        <v>0.36258222669200946</v>
      </c>
      <c r="G7" s="60">
        <f t="shared" si="1"/>
        <v>0.34746490107259831</v>
      </c>
      <c r="H7" s="60">
        <f t="shared" si="1"/>
        <v>0.36986592330002088</v>
      </c>
      <c r="I7" s="60">
        <f t="shared" si="1"/>
        <v>0.36598394405778173</v>
      </c>
      <c r="J7" s="60">
        <f t="shared" si="1"/>
        <v>0.39415606340111392</v>
      </c>
      <c r="K7" s="60">
        <f t="shared" si="1"/>
        <v>0.4009069677219283</v>
      </c>
      <c r="L7" s="60">
        <f t="shared" si="1"/>
        <v>0.43003896602578701</v>
      </c>
      <c r="M7" s="60">
        <f t="shared" si="1"/>
        <v>0.4013705777604461</v>
      </c>
      <c r="N7" s="60">
        <f t="shared" si="1"/>
        <v>0.40489987784115161</v>
      </c>
      <c r="O7" s="60">
        <f t="shared" si="1"/>
        <v>0.40759292580470691</v>
      </c>
      <c r="P7" s="60">
        <f t="shared" ref="P7" si="2">P6/P91</f>
        <v>0.38410774496817035</v>
      </c>
      <c r="Q7" s="60">
        <f t="shared" si="1"/>
        <v>0.40112027820500462</v>
      </c>
      <c r="R7" s="60">
        <f t="shared" si="1"/>
        <v>0.39641833014782463</v>
      </c>
      <c r="S7" s="60">
        <f t="shared" si="1"/>
        <v>0.39645589034933254</v>
      </c>
      <c r="T7" s="60">
        <f t="shared" ref="T7" si="3">T6/T91</f>
        <v>0.3975026294088263</v>
      </c>
      <c r="V7" s="60">
        <f t="shared" ref="V7:X7" si="4">V6/V91</f>
        <v>0.40019964734291708</v>
      </c>
      <c r="W7" s="60">
        <f t="shared" si="4"/>
        <v>0.39666895086997572</v>
      </c>
      <c r="X7" s="60">
        <f t="shared" si="4"/>
        <v>0.39571020299441878</v>
      </c>
    </row>
    <row r="8" spans="1:30" s="273" customFormat="1" ht="16.5" customHeight="1" x14ac:dyDescent="0.3">
      <c r="A8" s="61" t="s">
        <v>273</v>
      </c>
      <c r="B8" s="62" t="s">
        <v>274</v>
      </c>
      <c r="C8" s="63" t="s">
        <v>275</v>
      </c>
      <c r="D8" s="63" t="s">
        <v>276</v>
      </c>
      <c r="E8" s="283">
        <f t="shared" ref="E8:F8" si="5">E9+E14+E22</f>
        <v>11723.415000000001</v>
      </c>
      <c r="F8" s="283">
        <f t="shared" si="5"/>
        <v>10404.861000000001</v>
      </c>
      <c r="G8" s="283">
        <f>G9+G14+G22</f>
        <v>10778.236000000001</v>
      </c>
      <c r="H8" s="283">
        <f t="shared" ref="H8:T8" si="6">H9+H14+H22</f>
        <v>11946.500000000002</v>
      </c>
      <c r="I8" s="283">
        <f t="shared" si="6"/>
        <v>11933.864</v>
      </c>
      <c r="J8" s="283">
        <f t="shared" si="6"/>
        <v>12972.047</v>
      </c>
      <c r="K8" s="283">
        <f t="shared" si="6"/>
        <v>13858.657000000003</v>
      </c>
      <c r="L8" s="283">
        <f t="shared" si="6"/>
        <v>14926.842999999999</v>
      </c>
      <c r="M8" s="283">
        <f t="shared" si="6"/>
        <v>15230.1</v>
      </c>
      <c r="N8" s="283">
        <f t="shared" si="6"/>
        <v>16248.073</v>
      </c>
      <c r="O8" s="283">
        <f>O9+O14+O22</f>
        <v>17212.253000000001</v>
      </c>
      <c r="P8" s="283">
        <f t="shared" si="6"/>
        <v>17782.278000000002</v>
      </c>
      <c r="Q8" s="283">
        <f t="shared" si="6"/>
        <v>17615.245460000002</v>
      </c>
      <c r="R8" s="283">
        <f t="shared" si="6"/>
        <v>18438.759000000002</v>
      </c>
      <c r="S8" s="283">
        <f t="shared" si="6"/>
        <v>18979.02</v>
      </c>
      <c r="T8" s="283">
        <f t="shared" si="6"/>
        <v>19842.328999999998</v>
      </c>
      <c r="V8" s="283">
        <v>18671.071000000004</v>
      </c>
      <c r="W8" s="283">
        <v>19182.288</v>
      </c>
      <c r="X8" s="283">
        <v>20048.985999999997</v>
      </c>
    </row>
    <row r="9" spans="1:30" s="287" customFormat="1" ht="16.5" customHeight="1" x14ac:dyDescent="0.3">
      <c r="A9" s="64" t="s">
        <v>277</v>
      </c>
      <c r="B9" s="65" t="s">
        <v>35</v>
      </c>
      <c r="C9" s="66" t="s">
        <v>272</v>
      </c>
      <c r="D9" s="66" t="s">
        <v>278</v>
      </c>
      <c r="E9" s="285">
        <f>7078.889-7078.889+7186.13</f>
        <v>7186.13</v>
      </c>
      <c r="F9" s="285">
        <f>6630.007-6630.007+6734.898</f>
        <v>6734.8980000000001</v>
      </c>
      <c r="G9" s="285">
        <f>6779.116-6779.116+7037.871</f>
        <v>7037.8710000000001</v>
      </c>
      <c r="H9" s="285">
        <f>7377.566-7377.566+7967.341</f>
        <v>7967.3410000000003</v>
      </c>
      <c r="I9" s="285">
        <f>7163.223-7163.223+7788.108</f>
        <v>7788.1080000000002</v>
      </c>
      <c r="J9" s="285">
        <f>7632.281-7632.281+8348.508</f>
        <v>8348.5079999999998</v>
      </c>
      <c r="K9" s="285">
        <f>8045.254-8045.254+8745.379</f>
        <v>8745.3790000000008</v>
      </c>
      <c r="L9" s="286">
        <f>8505.784-8505.784+8506.184-8506.184+9229.613</f>
        <v>9229.6129999999994</v>
      </c>
      <c r="M9" s="285">
        <f>8620.776-8620.776+8630.302-8630.302+9391.175</f>
        <v>9391.1749999999993</v>
      </c>
      <c r="N9" s="285">
        <f>9291.959-9291.959+9250.854-9250.854+10126.285</f>
        <v>10126.285</v>
      </c>
      <c r="O9" s="285">
        <f>9803.147-9803.147+10692.592</f>
        <v>10692.592000000001</v>
      </c>
      <c r="P9" s="285">
        <v>10666.058000000001</v>
      </c>
      <c r="Q9" s="285">
        <v>10681.482460000001</v>
      </c>
      <c r="R9" s="285">
        <v>11430.003000000001</v>
      </c>
      <c r="S9" s="285">
        <v>11625.707</v>
      </c>
      <c r="T9" s="285">
        <v>12183.616</v>
      </c>
      <c r="V9" s="285">
        <v>11405.701000000001</v>
      </c>
      <c r="W9" s="285">
        <v>11569.584000000001</v>
      </c>
      <c r="X9" s="285">
        <v>12130.819</v>
      </c>
    </row>
    <row r="10" spans="1:30" s="287" customFormat="1" ht="16.5" customHeight="1" x14ac:dyDescent="0.3">
      <c r="A10" s="67" t="s">
        <v>279</v>
      </c>
      <c r="B10" s="68" t="s">
        <v>280</v>
      </c>
      <c r="C10" s="69" t="s">
        <v>281</v>
      </c>
      <c r="D10" s="69" t="s">
        <v>282</v>
      </c>
      <c r="E10" s="285">
        <v>4621.424</v>
      </c>
      <c r="F10" s="285">
        <v>4221.2879999999996</v>
      </c>
      <c r="G10" s="285">
        <v>4182.1009999999997</v>
      </c>
      <c r="H10" s="285">
        <v>4710.9139999999998</v>
      </c>
      <c r="I10" s="285">
        <v>4327.7020000000002</v>
      </c>
      <c r="J10" s="285">
        <v>4696.12</v>
      </c>
      <c r="K10" s="285">
        <v>5021.1310000000003</v>
      </c>
      <c r="L10" s="286">
        <f>5420.173-5420.173+5422.535</f>
        <v>5422.5349999999999</v>
      </c>
      <c r="M10" s="285">
        <f>5419.65-5419.65+5423.632</f>
        <v>5423.6319999999996</v>
      </c>
      <c r="N10" s="285">
        <f>5957.889-5957.889+5916.589-5916.589+5918.744</f>
        <v>5918.7439999999997</v>
      </c>
      <c r="O10" s="285">
        <f>6325.98</f>
        <v>6325.98</v>
      </c>
      <c r="P10" s="285">
        <v>6663.6639999999998</v>
      </c>
      <c r="Q10" s="285">
        <v>6668.0929999999998</v>
      </c>
      <c r="R10" s="285">
        <v>6920.3720000000003</v>
      </c>
      <c r="S10" s="285">
        <v>7247.22</v>
      </c>
      <c r="T10" s="285">
        <v>7632.2280000000001</v>
      </c>
      <c r="V10" s="285">
        <v>6986.942</v>
      </c>
      <c r="W10" s="285">
        <v>7311.5219999999999</v>
      </c>
      <c r="X10" s="285">
        <v>7700.0969999999998</v>
      </c>
    </row>
    <row r="11" spans="1:30" s="287" customFormat="1" ht="16.5" customHeight="1" x14ac:dyDescent="0.3">
      <c r="A11" s="70" t="s">
        <v>283</v>
      </c>
      <c r="B11" s="68" t="s">
        <v>284</v>
      </c>
      <c r="C11" s="69" t="s">
        <v>281</v>
      </c>
      <c r="D11" s="69" t="s">
        <v>285</v>
      </c>
      <c r="E11" s="285">
        <f>0+1809.268</f>
        <v>1809.268</v>
      </c>
      <c r="F11" s="285">
        <f>0+1761.719</f>
        <v>1761.7190000000001</v>
      </c>
      <c r="G11" s="285">
        <f>0+1930.806</f>
        <v>1930.806</v>
      </c>
      <c r="H11" s="285">
        <f>0+1999.131</f>
        <v>1999.1310000000001</v>
      </c>
      <c r="I11" s="285">
        <f>0+1973.341</f>
        <v>1973.3409999999999</v>
      </c>
      <c r="J11" s="285">
        <f>0+1984.783</f>
        <v>1984.7829999999999</v>
      </c>
      <c r="K11" s="285">
        <f>0+2014.994</f>
        <v>2014.9939999999999</v>
      </c>
      <c r="L11" s="285">
        <f>0+2108.224-2108.224+2108.223</f>
        <v>2108.223</v>
      </c>
      <c r="M11" s="285">
        <f>0+2173.884</f>
        <v>2173.884</v>
      </c>
      <c r="N11" s="285">
        <f>0+2250.888</f>
        <v>2250.8879999999999</v>
      </c>
      <c r="O11" s="285">
        <f>0+2315.347</f>
        <v>2315.3470000000002</v>
      </c>
      <c r="P11" s="285">
        <v>2426.4250000000002</v>
      </c>
      <c r="Q11" s="285">
        <v>2370.7820000000002</v>
      </c>
      <c r="R11" s="285">
        <v>2486.1840000000002</v>
      </c>
      <c r="S11" s="285">
        <v>2559.125</v>
      </c>
      <c r="T11" s="285">
        <v>2598.424</v>
      </c>
      <c r="V11" s="285">
        <v>2401.3120000000004</v>
      </c>
      <c r="W11" s="285">
        <v>2444.6999999999998</v>
      </c>
      <c r="X11" s="285">
        <v>2483.7579999999998</v>
      </c>
    </row>
    <row r="12" spans="1:30" s="287" customFormat="1" ht="16.5" customHeight="1" x14ac:dyDescent="0.3">
      <c r="A12" s="67" t="s">
        <v>286</v>
      </c>
      <c r="B12" s="68" t="s">
        <v>287</v>
      </c>
      <c r="C12" s="69" t="s">
        <v>281</v>
      </c>
      <c r="D12" s="69" t="s">
        <v>288</v>
      </c>
      <c r="E12" s="285">
        <v>3.3000000000000002E-2</v>
      </c>
      <c r="F12" s="285">
        <v>2.1999999999999999E-2</v>
      </c>
      <c r="G12" s="285">
        <v>1.9E-2</v>
      </c>
      <c r="H12" s="285">
        <v>5.5E-2</v>
      </c>
      <c r="I12" s="285">
        <v>8.3000000000000004E-2</v>
      </c>
      <c r="J12" s="285">
        <v>5.8000000000000003E-2</v>
      </c>
      <c r="K12" s="285">
        <v>-7.0000000000000001E-3</v>
      </c>
      <c r="L12" s="286">
        <v>0.02</v>
      </c>
      <c r="M12" s="285">
        <v>3.9E-2</v>
      </c>
      <c r="N12" s="285">
        <f>128.423-128.423+0.008</f>
        <v>8.0000000000000002E-3</v>
      </c>
      <c r="O12" s="285">
        <v>1.7999999999999999E-2</v>
      </c>
      <c r="P12" s="285">
        <v>0</v>
      </c>
      <c r="Q12" s="285">
        <v>0</v>
      </c>
      <c r="R12" s="285">
        <v>0</v>
      </c>
      <c r="S12" s="285">
        <v>0</v>
      </c>
      <c r="T12" s="285">
        <v>0</v>
      </c>
      <c r="V12" s="285">
        <v>0</v>
      </c>
      <c r="W12" s="285">
        <v>0</v>
      </c>
      <c r="X12" s="285">
        <v>0</v>
      </c>
    </row>
    <row r="13" spans="1:30" s="287" customFormat="1" ht="16.5" customHeight="1" x14ac:dyDescent="0.3">
      <c r="A13" s="70" t="s">
        <v>289</v>
      </c>
      <c r="B13" s="68" t="s">
        <v>290</v>
      </c>
      <c r="C13" s="69" t="s">
        <v>281</v>
      </c>
      <c r="D13" s="69" t="s">
        <v>291</v>
      </c>
      <c r="E13" s="285">
        <v>171.512</v>
      </c>
      <c r="F13" s="285">
        <v>182.28200000000001</v>
      </c>
      <c r="G13" s="285">
        <v>188.87</v>
      </c>
      <c r="H13" s="285">
        <v>195.32599999999999</v>
      </c>
      <c r="I13" s="285">
        <v>215.346</v>
      </c>
      <c r="J13" s="285">
        <v>222.65199999999999</v>
      </c>
      <c r="K13" s="285">
        <v>224.87299999999999</v>
      </c>
      <c r="L13" s="286">
        <f>228.214-228.214+228.213</f>
        <v>228.21299999999999</v>
      </c>
      <c r="M13" s="285">
        <v>236.89500000000001</v>
      </c>
      <c r="N13" s="285">
        <v>245.89500000000001</v>
      </c>
      <c r="O13" s="285">
        <v>252.03100000000001</v>
      </c>
      <c r="P13" s="285">
        <v>258.37900000000002</v>
      </c>
      <c r="Q13" s="285">
        <v>342.483</v>
      </c>
      <c r="R13" s="285">
        <v>349.90100000000001</v>
      </c>
      <c r="S13" s="285">
        <v>357.49200000000002</v>
      </c>
      <c r="T13" s="285">
        <v>364.63099999999997</v>
      </c>
      <c r="U13" s="284"/>
      <c r="V13" s="285">
        <v>349.90100000000001</v>
      </c>
      <c r="W13" s="285">
        <v>357.49200000000002</v>
      </c>
      <c r="X13" s="285">
        <v>364.63099999999997</v>
      </c>
      <c r="Y13" s="288"/>
      <c r="Z13" s="288"/>
      <c r="AA13" s="288"/>
      <c r="AB13" s="288"/>
      <c r="AC13" s="288"/>
      <c r="AD13" s="288"/>
    </row>
    <row r="14" spans="1:30" ht="16.5" customHeight="1" x14ac:dyDescent="0.3">
      <c r="A14" s="71" t="s">
        <v>36</v>
      </c>
      <c r="B14" s="65" t="s">
        <v>37</v>
      </c>
      <c r="C14" s="72" t="s">
        <v>272</v>
      </c>
      <c r="D14" s="66" t="s">
        <v>292</v>
      </c>
      <c r="E14" s="285">
        <f>4601.153-4601.153+4537.185</f>
        <v>4537.1850000000004</v>
      </c>
      <c r="F14" s="289">
        <f>3738.676-3738.676+3669.918</f>
        <v>3669.9180000000001</v>
      </c>
      <c r="G14" s="289">
        <f>3812.051-3812.051+3740.345</f>
        <v>3740.3449999999998</v>
      </c>
      <c r="H14" s="289">
        <f>4053.429-4053.429+3979.146</f>
        <v>3979.1460000000002</v>
      </c>
      <c r="I14" s="289">
        <f>4227.83-4227.83+4145.744</f>
        <v>4145.7439999999997</v>
      </c>
      <c r="J14" s="285">
        <f>4714.516-4714.516+4623.532</f>
        <v>4623.5320000000002</v>
      </c>
      <c r="K14" s="285">
        <f>5206.715-5206.715+5113.274</f>
        <v>5113.2740000000003</v>
      </c>
      <c r="L14" s="286">
        <f>5795.901-5795.901+5697.236</f>
        <v>5697.2359999999999</v>
      </c>
      <c r="M14" s="285">
        <f>5956.85-5956.85+5942.758-5942.758+5838.921</f>
        <v>5838.9210000000003</v>
      </c>
      <c r="N14" s="285">
        <f>6052.23-6052.23+6238.503-6238.503+6229.874-622.9874+622.9874-6229.874+6121.788</f>
        <v>6121.7879999999996</v>
      </c>
      <c r="O14" s="285">
        <f>6578.889-6578.889+6519.661</f>
        <v>6519.6610000000001</v>
      </c>
      <c r="P14" s="285">
        <v>7116.22</v>
      </c>
      <c r="Q14" s="285">
        <v>6933.7629999999999</v>
      </c>
      <c r="R14" s="285">
        <v>7008.7560000000003</v>
      </c>
      <c r="S14" s="285">
        <v>7353.3130000000001</v>
      </c>
      <c r="T14" s="285">
        <v>7658.7129999999997</v>
      </c>
      <c r="U14" s="284"/>
      <c r="V14" s="285">
        <v>7265.3700000000008</v>
      </c>
      <c r="W14" s="285">
        <v>7612.7039999999997</v>
      </c>
      <c r="X14" s="285">
        <v>7918.1669999999995</v>
      </c>
      <c r="Y14" s="288"/>
      <c r="Z14" s="288"/>
      <c r="AA14" s="288"/>
      <c r="AB14" s="288"/>
      <c r="AC14" s="288"/>
      <c r="AD14" s="288"/>
    </row>
    <row r="15" spans="1:30" ht="16.5" customHeight="1" x14ac:dyDescent="0.3">
      <c r="A15" s="67" t="s">
        <v>293</v>
      </c>
      <c r="B15" s="68" t="s">
        <v>294</v>
      </c>
      <c r="C15" s="69" t="s">
        <v>281</v>
      </c>
      <c r="D15" s="69" t="s">
        <v>295</v>
      </c>
      <c r="E15" s="285">
        <v>2095.1779999999999</v>
      </c>
      <c r="F15" s="289">
        <v>1793.693</v>
      </c>
      <c r="G15" s="289">
        <v>1789.5650000000001</v>
      </c>
      <c r="H15" s="289">
        <v>1999.8820000000001</v>
      </c>
      <c r="I15" s="289">
        <v>2122.7759999999998</v>
      </c>
      <c r="J15" s="285">
        <v>2175.0250000000001</v>
      </c>
      <c r="K15" s="286">
        <v>2275.1170000000002</v>
      </c>
      <c r="L15" s="286">
        <f>2464.414-2464.414+2463.642</f>
        <v>2463.6419999999998</v>
      </c>
      <c r="M15" s="285">
        <f>2682.069-2682.069+2679.466</f>
        <v>2679.4659999999999</v>
      </c>
      <c r="N15" s="285">
        <f>2876.846-2876.846+2856.065-2856.065+2855.23</f>
        <v>2855.23</v>
      </c>
      <c r="O15" s="285">
        <v>3207.922</v>
      </c>
      <c r="P15" s="285">
        <v>3426.902</v>
      </c>
      <c r="Q15" s="285">
        <v>3535.1149999999998</v>
      </c>
      <c r="R15" s="285">
        <v>3609.2039999999997</v>
      </c>
      <c r="S15" s="285">
        <v>3845.627</v>
      </c>
      <c r="T15" s="285">
        <v>4042.5709999999999</v>
      </c>
      <c r="U15" s="284"/>
      <c r="V15" s="285">
        <v>3778.0339999999997</v>
      </c>
      <c r="W15" s="285">
        <v>4026.0360000000001</v>
      </c>
      <c r="X15" s="285">
        <v>4222.021999999999</v>
      </c>
    </row>
    <row r="16" spans="1:30" ht="16.5" customHeight="1" x14ac:dyDescent="0.3">
      <c r="A16" s="73" t="s">
        <v>296</v>
      </c>
      <c r="B16" s="68" t="s">
        <v>297</v>
      </c>
      <c r="C16" s="72" t="s">
        <v>298</v>
      </c>
      <c r="D16" s="72" t="s">
        <v>298</v>
      </c>
      <c r="E16" s="286">
        <f>0+1639.776</f>
        <v>1639.7760000000001</v>
      </c>
      <c r="F16" s="290">
        <v>1468.115</v>
      </c>
      <c r="G16" s="290">
        <v>1431.1880000000001</v>
      </c>
      <c r="H16" s="290">
        <v>1638.58</v>
      </c>
      <c r="I16" s="290">
        <v>1763.433</v>
      </c>
      <c r="J16" s="286">
        <v>1788.0440000000001</v>
      </c>
      <c r="K16" s="286">
        <v>1903.7840000000001</v>
      </c>
      <c r="L16" s="286">
        <f>2082.0493+0.007</f>
        <v>2082.0563000000002</v>
      </c>
      <c r="M16" s="285">
        <f>2291.785</f>
        <v>2291.7849999999999</v>
      </c>
      <c r="N16" s="285">
        <v>2512.1080000000002</v>
      </c>
      <c r="O16" s="285">
        <f>2836.353388+0.366061</f>
        <v>2836.7194490000002</v>
      </c>
      <c r="P16" s="285">
        <v>3307.288</v>
      </c>
      <c r="Q16" s="285">
        <v>3411.1708888418752</v>
      </c>
      <c r="R16" s="285">
        <v>3517.3609999999999</v>
      </c>
      <c r="S16" s="285">
        <v>3751.165</v>
      </c>
      <c r="T16" s="285">
        <v>3941.5859999999998</v>
      </c>
      <c r="U16" s="284"/>
      <c r="V16" s="285">
        <v>3686.1909999999998</v>
      </c>
      <c r="W16" s="285">
        <v>3931.5740000000001</v>
      </c>
      <c r="X16" s="285">
        <v>4121.0369999999994</v>
      </c>
    </row>
    <row r="17" spans="1:24" ht="16.5" customHeight="1" x14ac:dyDescent="0.3">
      <c r="A17" s="73" t="s">
        <v>299</v>
      </c>
      <c r="B17" s="68" t="s">
        <v>300</v>
      </c>
      <c r="C17" s="74" t="s">
        <v>301</v>
      </c>
      <c r="D17" s="74" t="s">
        <v>301</v>
      </c>
      <c r="E17" s="286">
        <v>202.36500000000001</v>
      </c>
      <c r="F17" s="290">
        <v>188.64599999999999</v>
      </c>
      <c r="G17" s="290">
        <v>47.405999999999999</v>
      </c>
      <c r="H17" s="290">
        <v>59.451999999999998</v>
      </c>
      <c r="I17" s="290">
        <v>85.807000000000002</v>
      </c>
      <c r="J17" s="286">
        <v>79.712000000000003</v>
      </c>
      <c r="K17" s="286">
        <v>82.671000000000006</v>
      </c>
      <c r="L17" s="286">
        <v>100.68899999999999</v>
      </c>
      <c r="M17" s="285">
        <v>111.893</v>
      </c>
      <c r="N17" s="285">
        <v>92.941999999999993</v>
      </c>
      <c r="O17" s="285">
        <f>61.918545+0</f>
        <v>61.918545000000002</v>
      </c>
      <c r="P17" s="285">
        <v>119.614</v>
      </c>
      <c r="Q17" s="285">
        <v>123.94411115812476</v>
      </c>
      <c r="R17" s="285">
        <v>91.843000000000004</v>
      </c>
      <c r="S17" s="285">
        <v>94.462000000000003</v>
      </c>
      <c r="T17" s="285">
        <v>100.985</v>
      </c>
      <c r="U17" s="284"/>
      <c r="V17" s="285">
        <v>91.843000000000004</v>
      </c>
      <c r="W17" s="285">
        <v>94.462000000000003</v>
      </c>
      <c r="X17" s="285">
        <v>100.985</v>
      </c>
    </row>
    <row r="18" spans="1:24" ht="16.5" customHeight="1" x14ac:dyDescent="0.3">
      <c r="A18" s="75" t="s">
        <v>302</v>
      </c>
      <c r="B18" s="68" t="s">
        <v>303</v>
      </c>
      <c r="C18" s="69" t="s">
        <v>281</v>
      </c>
      <c r="D18" s="69" t="s">
        <v>304</v>
      </c>
      <c r="E18" s="286">
        <v>2087.4659999999999</v>
      </c>
      <c r="F18" s="290">
        <v>1576.972</v>
      </c>
      <c r="G18" s="290">
        <v>1659.23</v>
      </c>
      <c r="H18" s="290">
        <v>1699.1869999999999</v>
      </c>
      <c r="I18" s="290">
        <v>1714.779</v>
      </c>
      <c r="J18" s="286">
        <v>2117.8330000000001</v>
      </c>
      <c r="K18" s="286">
        <v>2504.402</v>
      </c>
      <c r="L18" s="286">
        <f>2945.325-2945.325+2916.816</f>
        <v>2916.8159999999998</v>
      </c>
      <c r="M18" s="285">
        <f>2829.047-2829.047+2817.558</f>
        <v>2817.558</v>
      </c>
      <c r="N18" s="285">
        <f>2726.201-2726.201+2933.255-2933.255+2925.461</f>
        <v>2925.4609999999998</v>
      </c>
      <c r="O18" s="285">
        <v>2890.9470000000001</v>
      </c>
      <c r="P18" s="285">
        <v>3144.1039999999998</v>
      </c>
      <c r="Q18" s="285">
        <v>2922.672</v>
      </c>
      <c r="R18" s="285">
        <v>2935.049</v>
      </c>
      <c r="S18" s="285">
        <v>3049.8530000000001</v>
      </c>
      <c r="T18" s="285">
        <v>3139.373</v>
      </c>
      <c r="U18" s="284"/>
      <c r="V18" s="285">
        <v>3014.8670000000002</v>
      </c>
      <c r="W18" s="285">
        <v>3120.8690000000001</v>
      </c>
      <c r="X18" s="285">
        <v>3211.41</v>
      </c>
    </row>
    <row r="19" spans="1:24" ht="16.5" customHeight="1" x14ac:dyDescent="0.3">
      <c r="A19" s="76" t="s">
        <v>305</v>
      </c>
      <c r="B19" s="68" t="s">
        <v>306</v>
      </c>
      <c r="C19" s="69" t="s">
        <v>281</v>
      </c>
      <c r="D19" s="69" t="s">
        <v>307</v>
      </c>
      <c r="E19" s="286">
        <v>205.96799999999999</v>
      </c>
      <c r="F19" s="290">
        <v>155.755</v>
      </c>
      <c r="G19" s="290">
        <v>152.33199999999999</v>
      </c>
      <c r="H19" s="290">
        <v>143.19999999999999</v>
      </c>
      <c r="I19" s="290">
        <v>167.14400000000001</v>
      </c>
      <c r="J19" s="286">
        <v>177.78399999999999</v>
      </c>
      <c r="K19" s="286">
        <v>175.06100000000001</v>
      </c>
      <c r="L19" s="286">
        <f>162.006-162.006+162.005</f>
        <v>162.005</v>
      </c>
      <c r="M19" s="285">
        <v>179.21199999999999</v>
      </c>
      <c r="N19" s="285">
        <v>178.43100000000001</v>
      </c>
      <c r="O19" s="285">
        <v>209.16900000000001</v>
      </c>
      <c r="P19" s="285">
        <v>235.63900000000001</v>
      </c>
      <c r="Q19" s="285">
        <v>249.00200000000001</v>
      </c>
      <c r="R19" s="285">
        <v>256.27999999999997</v>
      </c>
      <c r="S19" s="285">
        <v>253.452</v>
      </c>
      <c r="T19" s="285">
        <v>270.86399999999998</v>
      </c>
      <c r="U19" s="284"/>
      <c r="V19" s="285">
        <v>256.27999999999997</v>
      </c>
      <c r="W19" s="285">
        <v>253.452</v>
      </c>
      <c r="X19" s="285">
        <v>270.86399999999998</v>
      </c>
    </row>
    <row r="20" spans="1:24" s="287" customFormat="1" ht="16.5" customHeight="1" x14ac:dyDescent="0.3">
      <c r="A20" s="76" t="s">
        <v>308</v>
      </c>
      <c r="B20" s="68" t="s">
        <v>306</v>
      </c>
      <c r="C20" s="66" t="s">
        <v>309</v>
      </c>
      <c r="D20" s="66" t="s">
        <v>310</v>
      </c>
      <c r="E20" s="286">
        <v>0</v>
      </c>
      <c r="F20" s="286">
        <v>0</v>
      </c>
      <c r="G20" s="286">
        <v>0</v>
      </c>
      <c r="H20" s="286">
        <v>0</v>
      </c>
      <c r="I20" s="286">
        <v>0</v>
      </c>
      <c r="J20" s="286">
        <v>0</v>
      </c>
      <c r="K20" s="286">
        <f>0.006-0.006</f>
        <v>0</v>
      </c>
      <c r="L20" s="286">
        <v>0</v>
      </c>
      <c r="M20" s="285">
        <v>0</v>
      </c>
      <c r="N20" s="285">
        <v>0</v>
      </c>
      <c r="O20" s="285">
        <v>-8.8324090000000002</v>
      </c>
      <c r="P20" s="285">
        <v>0</v>
      </c>
      <c r="Q20" s="285">
        <v>-0.90800000000000003</v>
      </c>
      <c r="R20" s="285">
        <v>0</v>
      </c>
      <c r="S20" s="285">
        <v>0</v>
      </c>
      <c r="T20" s="285">
        <v>0</v>
      </c>
      <c r="U20" s="284"/>
      <c r="V20" s="285">
        <v>0</v>
      </c>
      <c r="W20" s="285">
        <v>0</v>
      </c>
      <c r="X20" s="285">
        <v>0</v>
      </c>
    </row>
    <row r="21" spans="1:24" ht="16.5" customHeight="1" x14ac:dyDescent="0.3">
      <c r="A21" s="75" t="s">
        <v>289</v>
      </c>
      <c r="B21" s="68" t="s">
        <v>311</v>
      </c>
      <c r="C21" s="69" t="s">
        <v>281</v>
      </c>
      <c r="D21" s="69" t="s">
        <v>312</v>
      </c>
      <c r="E21" s="286">
        <v>78.835999999999999</v>
      </c>
      <c r="F21" s="286">
        <v>84.311999999999998</v>
      </c>
      <c r="G21" s="286">
        <v>87.986999999999995</v>
      </c>
      <c r="H21" s="286">
        <v>90.650999999999996</v>
      </c>
      <c r="I21" s="286">
        <v>100.535</v>
      </c>
      <c r="J21" s="286">
        <v>104.57899999999999</v>
      </c>
      <c r="K21" s="286">
        <v>105.777</v>
      </c>
      <c r="L21" s="286">
        <f>106.937-106.937+106.936</f>
        <v>106.93600000000001</v>
      </c>
      <c r="M21" s="285">
        <v>111.006</v>
      </c>
      <c r="N21" s="285">
        <v>114.812</v>
      </c>
      <c r="O21" s="285">
        <v>117.136</v>
      </c>
      <c r="P21" s="285">
        <v>118.465</v>
      </c>
      <c r="Q21" s="285">
        <v>36.811000000000007</v>
      </c>
      <c r="R21" s="285">
        <v>37.265999999999998</v>
      </c>
      <c r="S21" s="285">
        <v>38.011000000000003</v>
      </c>
      <c r="T21" s="285">
        <v>38.732999999999997</v>
      </c>
      <c r="U21" s="284"/>
      <c r="V21" s="285">
        <v>37.265999999999998</v>
      </c>
      <c r="W21" s="285">
        <v>38.011000000000003</v>
      </c>
      <c r="X21" s="285">
        <v>38.732999999999997</v>
      </c>
    </row>
    <row r="22" spans="1:24" ht="16.5" customHeight="1" x14ac:dyDescent="0.3">
      <c r="A22" s="77" t="s">
        <v>313</v>
      </c>
      <c r="B22" s="65" t="s">
        <v>39</v>
      </c>
      <c r="C22" s="69" t="s">
        <v>272</v>
      </c>
      <c r="D22" s="66" t="s">
        <v>314</v>
      </c>
      <c r="E22" s="285">
        <v>0.1</v>
      </c>
      <c r="F22" s="286">
        <v>4.4999999999999998E-2</v>
      </c>
      <c r="G22" s="286">
        <v>0.02</v>
      </c>
      <c r="H22" s="286">
        <v>1.2999999999999999E-2</v>
      </c>
      <c r="I22" s="286">
        <v>1.2E-2</v>
      </c>
      <c r="J22" s="286">
        <v>7.0000000000000001E-3</v>
      </c>
      <c r="K22" s="286">
        <v>4.0000000000000001E-3</v>
      </c>
      <c r="L22" s="286">
        <v>-6.0000000000000001E-3</v>
      </c>
      <c r="M22" s="285">
        <v>4.0000000000000001E-3</v>
      </c>
      <c r="N22" s="285">
        <v>0</v>
      </c>
      <c r="O22" s="285">
        <v>0</v>
      </c>
      <c r="P22" s="285">
        <v>0</v>
      </c>
      <c r="Q22" s="285">
        <v>0</v>
      </c>
      <c r="R22" s="285">
        <v>0</v>
      </c>
      <c r="S22" s="285">
        <v>0</v>
      </c>
      <c r="T22" s="285">
        <v>0</v>
      </c>
      <c r="U22" s="284"/>
      <c r="V22" s="285">
        <v>0</v>
      </c>
      <c r="W22" s="285">
        <v>0</v>
      </c>
      <c r="X22" s="285">
        <v>0</v>
      </c>
    </row>
    <row r="23" spans="1:24" s="273" customFormat="1" ht="16.5" customHeight="1" x14ac:dyDescent="0.3">
      <c r="A23" s="78" t="s">
        <v>40</v>
      </c>
      <c r="B23" s="62" t="s">
        <v>41</v>
      </c>
      <c r="C23" s="79" t="s">
        <v>272</v>
      </c>
      <c r="D23" s="80" t="s">
        <v>315</v>
      </c>
      <c r="E23" s="283">
        <f>E24+E28</f>
        <v>8081.1660000000002</v>
      </c>
      <c r="F23" s="283">
        <f t="shared" ref="F23:J23" si="7">F24+F28</f>
        <v>8042.8820000000005</v>
      </c>
      <c r="G23" s="283">
        <f t="shared" si="7"/>
        <v>8323.8810000000012</v>
      </c>
      <c r="H23" s="283">
        <f t="shared" si="7"/>
        <v>8721.9049999999988</v>
      </c>
      <c r="I23" s="283">
        <f t="shared" si="7"/>
        <v>9107.7000000000007</v>
      </c>
      <c r="J23" s="283">
        <f t="shared" si="7"/>
        <v>10006.788</v>
      </c>
      <c r="K23" s="283">
        <v>10393.99</v>
      </c>
      <c r="L23" s="283">
        <v>11078.508</v>
      </c>
      <c r="M23" s="283">
        <v>11656.605</v>
      </c>
      <c r="N23" s="283">
        <v>12588.77</v>
      </c>
      <c r="O23" s="283">
        <v>13435.470000000001</v>
      </c>
      <c r="P23" s="283">
        <f t="shared" ref="P23:T23" si="8">P24+P28</f>
        <v>14053.315000000001</v>
      </c>
      <c r="Q23" s="283">
        <f t="shared" si="8"/>
        <v>14232.634000000002</v>
      </c>
      <c r="R23" s="283">
        <f t="shared" si="8"/>
        <v>14828.610999999999</v>
      </c>
      <c r="S23" s="283">
        <f t="shared" si="8"/>
        <v>15485.088000000002</v>
      </c>
      <c r="T23" s="283">
        <f t="shared" si="8"/>
        <v>16224.847999999998</v>
      </c>
      <c r="U23" s="284"/>
      <c r="V23" s="283">
        <v>14843.152</v>
      </c>
      <c r="W23" s="283">
        <v>15521.495000000001</v>
      </c>
      <c r="X23" s="283">
        <v>16257.504000000001</v>
      </c>
    </row>
    <row r="24" spans="1:24" ht="15.75" customHeight="1" x14ac:dyDescent="0.3">
      <c r="A24" s="64" t="s">
        <v>316</v>
      </c>
      <c r="B24" s="65" t="s">
        <v>317</v>
      </c>
      <c r="C24" s="69" t="s">
        <v>281</v>
      </c>
      <c r="D24" s="69" t="s">
        <v>318</v>
      </c>
      <c r="E24" s="285">
        <f t="shared" ref="E24:K24" si="9">E25+E26+E27</f>
        <v>7994.9760000000006</v>
      </c>
      <c r="F24" s="285">
        <f t="shared" si="9"/>
        <v>7947.0910000000003</v>
      </c>
      <c r="G24" s="285">
        <f t="shared" si="9"/>
        <v>8185.0930000000008</v>
      </c>
      <c r="H24" s="285">
        <f t="shared" si="9"/>
        <v>8573.57</v>
      </c>
      <c r="I24" s="285">
        <f t="shared" si="9"/>
        <v>8987.6020000000008</v>
      </c>
      <c r="J24" s="285">
        <f t="shared" si="9"/>
        <v>9864.496000000001</v>
      </c>
      <c r="K24" s="285">
        <f t="shared" si="9"/>
        <v>10206.748</v>
      </c>
      <c r="L24" s="285">
        <f>L25+L26+L27</f>
        <v>10871.448000000002</v>
      </c>
      <c r="M24" s="285">
        <f>M25+M26+M27</f>
        <v>11436.457999999999</v>
      </c>
      <c r="N24" s="285">
        <f>N25+N26+N27</f>
        <v>12335.350999999999</v>
      </c>
      <c r="O24" s="285">
        <f>O25+O26+O27</f>
        <v>13168.274999999998</v>
      </c>
      <c r="P24" s="285">
        <v>13879.348</v>
      </c>
      <c r="Q24" s="285">
        <v>14058.667000000001</v>
      </c>
      <c r="R24" s="285">
        <v>14636.46</v>
      </c>
      <c r="S24" s="285">
        <v>15292.562000000002</v>
      </c>
      <c r="T24" s="285">
        <v>16027.348999999998</v>
      </c>
      <c r="U24" s="284"/>
      <c r="V24" s="285">
        <v>14651.001</v>
      </c>
      <c r="W24" s="285">
        <v>15328.969000000001</v>
      </c>
      <c r="X24" s="285">
        <v>16060.005000000001</v>
      </c>
    </row>
    <row r="25" spans="1:24" ht="16.5" customHeight="1" x14ac:dyDescent="0.3">
      <c r="A25" s="76" t="s">
        <v>319</v>
      </c>
      <c r="B25" s="68" t="s">
        <v>320</v>
      </c>
      <c r="C25" s="69" t="s">
        <v>281</v>
      </c>
      <c r="D25" s="69" t="s">
        <v>321</v>
      </c>
      <c r="E25" s="285">
        <f>1817.308+2647.291</f>
        <v>4464.5990000000002</v>
      </c>
      <c r="F25" s="285">
        <f>1747.634+2558.815</f>
        <v>4306.4490000000005</v>
      </c>
      <c r="G25" s="285">
        <f>1783.901+2795.29</f>
        <v>4579.1909999999998</v>
      </c>
      <c r="H25" s="285">
        <f>1907.943+2742.951</f>
        <v>4650.8940000000002</v>
      </c>
      <c r="I25" s="285">
        <f>2067.599+2801.073</f>
        <v>4868.6720000000005</v>
      </c>
      <c r="J25" s="285">
        <f>2530.574+3024.958</f>
        <v>5555.5320000000002</v>
      </c>
      <c r="K25" s="285">
        <f>2650.909+3180.657</f>
        <v>5831.5660000000007</v>
      </c>
      <c r="L25" s="285">
        <f>2923.897+3358.847</f>
        <v>6282.7440000000006</v>
      </c>
      <c r="M25" s="285">
        <f>2994.504+3472.675</f>
        <v>6467.1790000000001</v>
      </c>
      <c r="N25" s="285">
        <f>3349.31+3849.062</f>
        <v>7198.3719999999994</v>
      </c>
      <c r="O25" s="285">
        <f>3594.158+4196.98</f>
        <v>7791.137999999999</v>
      </c>
      <c r="P25" s="285">
        <v>8017.7269999999999</v>
      </c>
      <c r="Q25" s="285">
        <v>8083.128506</v>
      </c>
      <c r="R25" s="285">
        <v>8430.0020000000004</v>
      </c>
      <c r="S25" s="285">
        <v>8778.9770000000008</v>
      </c>
      <c r="T25" s="285">
        <v>9214.8819999999996</v>
      </c>
      <c r="V25" s="285">
        <v>8438.3770209464583</v>
      </c>
      <c r="W25" s="285">
        <v>8799.8771091928884</v>
      </c>
      <c r="X25" s="285">
        <v>9233.6574809976373</v>
      </c>
    </row>
    <row r="26" spans="1:24" ht="16.5" customHeight="1" x14ac:dyDescent="0.3">
      <c r="A26" s="76" t="s">
        <v>322</v>
      </c>
      <c r="B26" s="68" t="s">
        <v>323</v>
      </c>
      <c r="C26" s="69" t="s">
        <v>281</v>
      </c>
      <c r="D26" s="69" t="s">
        <v>324</v>
      </c>
      <c r="E26" s="285">
        <v>1982.5840000000001</v>
      </c>
      <c r="F26" s="285">
        <v>1911.952</v>
      </c>
      <c r="G26" s="285">
        <v>2108.2130000000002</v>
      </c>
      <c r="H26" s="285">
        <v>2050.326</v>
      </c>
      <c r="I26" s="285">
        <v>2159.192</v>
      </c>
      <c r="J26" s="285">
        <f>2254.846</f>
        <v>2254.846</v>
      </c>
      <c r="K26" s="285">
        <v>2292.3809999999999</v>
      </c>
      <c r="L26" s="285">
        <v>2477.6559999999999</v>
      </c>
      <c r="M26" s="285">
        <v>2632.7469999999998</v>
      </c>
      <c r="N26" s="285">
        <v>2667.0540000000001</v>
      </c>
      <c r="O26" s="285">
        <v>5377.1369999999997</v>
      </c>
      <c r="P26" s="285">
        <v>5861.6210000000001</v>
      </c>
      <c r="Q26" s="285">
        <v>5975.5384940000004</v>
      </c>
      <c r="R26" s="285">
        <v>6206.4579999999996</v>
      </c>
      <c r="S26" s="285">
        <v>6513.585</v>
      </c>
      <c r="T26" s="285">
        <v>6812.4669999999996</v>
      </c>
      <c r="V26" s="285">
        <v>6212.623979053541</v>
      </c>
      <c r="W26" s="285">
        <v>6529.0918908071126</v>
      </c>
      <c r="X26" s="285">
        <v>6826.3475190023628</v>
      </c>
    </row>
    <row r="27" spans="1:24" ht="16.5" customHeight="1" x14ac:dyDescent="0.3">
      <c r="A27" s="76" t="s">
        <v>325</v>
      </c>
      <c r="B27" s="68" t="s">
        <v>326</v>
      </c>
      <c r="C27" s="69" t="s">
        <v>281</v>
      </c>
      <c r="D27" s="69" t="s">
        <v>327</v>
      </c>
      <c r="E27" s="285">
        <f>0.066+1547.727+0</f>
        <v>1547.7930000000001</v>
      </c>
      <c r="F27" s="285">
        <f>0.026+1728.664+0</f>
        <v>1728.69</v>
      </c>
      <c r="G27" s="285">
        <f>0.029+1497.66+0</f>
        <v>1497.6890000000001</v>
      </c>
      <c r="H27" s="285">
        <f>0.014+1872.336+0</f>
        <v>1872.35</v>
      </c>
      <c r="I27" s="285">
        <f>0.108+1959.63+0</f>
        <v>1959.7380000000001</v>
      </c>
      <c r="J27" s="285">
        <f>0.214+2053.904+0</f>
        <v>2054.1179999999999</v>
      </c>
      <c r="K27" s="285">
        <f>0.244+2082.557+0</f>
        <v>2082.8009999999999</v>
      </c>
      <c r="L27" s="285">
        <f>0.295+2110.753+0</f>
        <v>2111.0480000000002</v>
      </c>
      <c r="M27" s="285">
        <f>14.534+2321.998+0</f>
        <v>2336.5320000000002</v>
      </c>
      <c r="N27" s="285">
        <f>8.794+2461.097+0+0.034</f>
        <v>2469.9250000000002</v>
      </c>
      <c r="O27" s="285">
        <f>0+0+0</f>
        <v>0</v>
      </c>
      <c r="P27" s="285"/>
      <c r="Q27" s="285" t="s">
        <v>2</v>
      </c>
      <c r="R27" s="285" t="s">
        <v>2</v>
      </c>
      <c r="S27" s="285"/>
      <c r="T27" s="285"/>
      <c r="V27" s="285"/>
      <c r="W27" s="285"/>
      <c r="X27" s="285"/>
    </row>
    <row r="28" spans="1:24" ht="16.5" customHeight="1" x14ac:dyDescent="0.3">
      <c r="A28" s="64" t="s">
        <v>328</v>
      </c>
      <c r="B28" s="65" t="s">
        <v>329</v>
      </c>
      <c r="C28" s="69" t="s">
        <v>281</v>
      </c>
      <c r="D28" s="69" t="s">
        <v>330</v>
      </c>
      <c r="E28" s="285">
        <v>86.19</v>
      </c>
      <c r="F28" s="285">
        <v>95.790999999999997</v>
      </c>
      <c r="G28" s="285">
        <v>138.78800000000001</v>
      </c>
      <c r="H28" s="285">
        <v>148.33500000000001</v>
      </c>
      <c r="I28" s="285">
        <v>120.098</v>
      </c>
      <c r="J28" s="285">
        <v>142.292</v>
      </c>
      <c r="K28" s="285">
        <v>153.363</v>
      </c>
      <c r="L28" s="285">
        <v>170.85599999999999</v>
      </c>
      <c r="M28" s="285">
        <v>180.63499999999999</v>
      </c>
      <c r="N28" s="285">
        <v>189.23600000000002</v>
      </c>
      <c r="O28" s="285">
        <v>188.24600000000001</v>
      </c>
      <c r="P28" s="285">
        <v>173.96700000000001</v>
      </c>
      <c r="Q28" s="285">
        <v>173.96700000000001</v>
      </c>
      <c r="R28" s="285">
        <v>192.15100000000001</v>
      </c>
      <c r="S28" s="285">
        <v>192.52600000000001</v>
      </c>
      <c r="T28" s="285">
        <v>197.499</v>
      </c>
      <c r="V28" s="285">
        <v>192.15100000000001</v>
      </c>
      <c r="W28" s="285">
        <v>192.52600000000001</v>
      </c>
      <c r="X28" s="285">
        <v>197.499</v>
      </c>
    </row>
    <row r="29" spans="1:24" s="291" customFormat="1" ht="16.5" customHeight="1" x14ac:dyDescent="0.3">
      <c r="A29" s="81" t="s">
        <v>331</v>
      </c>
      <c r="B29" s="62" t="s">
        <v>275</v>
      </c>
      <c r="C29" s="82" t="s">
        <v>275</v>
      </c>
      <c r="D29" s="82" t="s">
        <v>275</v>
      </c>
      <c r="E29" s="283">
        <f t="shared" ref="E29:T29" si="10">E30+E33</f>
        <v>2631.6390000000001</v>
      </c>
      <c r="F29" s="283">
        <f t="shared" si="10"/>
        <v>2981.5860000000002</v>
      </c>
      <c r="G29" s="283">
        <f t="shared" si="10"/>
        <v>2975.0010000000002</v>
      </c>
      <c r="H29" s="283">
        <f t="shared" si="10"/>
        <v>3355.7359999999999</v>
      </c>
      <c r="I29" s="283">
        <f t="shared" si="10"/>
        <v>3948.54</v>
      </c>
      <c r="J29" s="283">
        <f t="shared" si="10"/>
        <v>4074.1350000000002</v>
      </c>
      <c r="K29" s="283">
        <f t="shared" si="10"/>
        <v>4068.9649999999997</v>
      </c>
      <c r="L29" s="283">
        <f>L30+L33</f>
        <v>4317.7029999999995</v>
      </c>
      <c r="M29" s="283">
        <f>M30+M33</f>
        <v>4340.4750000000004</v>
      </c>
      <c r="N29" s="283">
        <f>N30+N33</f>
        <v>4458.4769999999999</v>
      </c>
      <c r="O29" s="283">
        <f>O30+O33</f>
        <v>4682.8339999999998</v>
      </c>
      <c r="P29" s="283">
        <f t="shared" si="10"/>
        <v>4182.0230000000001</v>
      </c>
      <c r="Q29" s="283">
        <f t="shared" si="10"/>
        <v>4320.7290000000003</v>
      </c>
      <c r="R29" s="283">
        <f t="shared" si="10"/>
        <v>4591.4809999999998</v>
      </c>
      <c r="S29" s="283">
        <f t="shared" si="10"/>
        <v>4674.1120000000001</v>
      </c>
      <c r="T29" s="283">
        <f t="shared" si="10"/>
        <v>4732.0519999999997</v>
      </c>
      <c r="V29" s="283">
        <v>4507.8855700000004</v>
      </c>
      <c r="W29" s="283">
        <v>4646.1923210499999</v>
      </c>
      <c r="X29" s="283">
        <v>4720.7611638919498</v>
      </c>
    </row>
    <row r="30" spans="1:24" ht="16.5" customHeight="1" x14ac:dyDescent="0.3">
      <c r="A30" s="77" t="s">
        <v>332</v>
      </c>
      <c r="B30" s="65" t="s">
        <v>333</v>
      </c>
      <c r="C30" s="83" t="s">
        <v>275</v>
      </c>
      <c r="D30" s="83" t="s">
        <v>275</v>
      </c>
      <c r="E30" s="286">
        <f>E31+E32</f>
        <v>1776.527</v>
      </c>
      <c r="F30" s="286">
        <f t="shared" ref="F30:M30" si="11">F31+F32</f>
        <v>2119.7260000000001</v>
      </c>
      <c r="G30" s="286">
        <f t="shared" si="11"/>
        <v>2329.6390000000001</v>
      </c>
      <c r="H30" s="286">
        <f t="shared" si="11"/>
        <v>2682.2559999999999</v>
      </c>
      <c r="I30" s="286">
        <f t="shared" si="11"/>
        <v>3110.9589999999998</v>
      </c>
      <c r="J30" s="286">
        <f t="shared" si="11"/>
        <v>3395.058</v>
      </c>
      <c r="K30" s="286">
        <f t="shared" si="11"/>
        <v>3500.3449999999998</v>
      </c>
      <c r="L30" s="286">
        <f>L31+L32</f>
        <v>3668.64</v>
      </c>
      <c r="M30" s="286">
        <f t="shared" si="11"/>
        <v>3719.6510000000003</v>
      </c>
      <c r="N30" s="286">
        <f>N31+N32</f>
        <v>3796.1119999999996</v>
      </c>
      <c r="O30" s="286">
        <f>O31+O32</f>
        <v>4019.2260000000001</v>
      </c>
      <c r="P30" s="286">
        <v>3596.7959999999998</v>
      </c>
      <c r="Q30" s="286">
        <v>3683.5190000000002</v>
      </c>
      <c r="R30" s="286">
        <v>4008.6260000000002</v>
      </c>
      <c r="S30" s="286">
        <v>4089.529</v>
      </c>
      <c r="T30" s="286">
        <v>4155.4160000000002</v>
      </c>
      <c r="V30" s="286">
        <v>3925.0305700000004</v>
      </c>
      <c r="W30" s="286">
        <v>4061.6093210500003</v>
      </c>
      <c r="X30" s="286">
        <v>4144.1251638919503</v>
      </c>
    </row>
    <row r="31" spans="1:24" ht="16.5" customHeight="1" x14ac:dyDescent="0.3">
      <c r="A31" s="76" t="s">
        <v>334</v>
      </c>
      <c r="B31" s="65" t="s">
        <v>210</v>
      </c>
      <c r="C31" s="66" t="s">
        <v>335</v>
      </c>
      <c r="D31" s="66" t="s">
        <v>335</v>
      </c>
      <c r="E31" s="285">
        <f>1586.164-1586.164+1594.442</f>
        <v>1594.442</v>
      </c>
      <c r="F31" s="286">
        <f>1932.933-1932.933+1942.658</f>
        <v>1942.6579999999999</v>
      </c>
      <c r="G31" s="286">
        <f>2082.932-2082.932+2156.958</f>
        <v>2156.9580000000001</v>
      </c>
      <c r="H31" s="286">
        <f>2401.89-2401.89+2489.79</f>
        <v>2489.79</v>
      </c>
      <c r="I31" s="285">
        <f>2768.491-2768.491+2881.265</f>
        <v>2881.2649999999999</v>
      </c>
      <c r="J31" s="285">
        <f>3069.486-3069.486+3163.485</f>
        <v>3163.4850000000001</v>
      </c>
      <c r="K31" s="285">
        <f>3126.937-3126.937+3282.312</f>
        <v>3282.3119999999999</v>
      </c>
      <c r="L31" s="286">
        <f>3336.133-3336.133+3472.845</f>
        <v>3472.8449999999998</v>
      </c>
      <c r="M31" s="286">
        <f>3411.472-3411.472+3406.965-3406.965+3499.78</f>
        <v>3499.78</v>
      </c>
      <c r="N31" s="286">
        <f>3452.941-3452.941+3479.813-3479.813+3559.037</f>
        <v>3559.0369999999998</v>
      </c>
      <c r="O31" s="286">
        <f>3661.44-3661.44+3783.705</f>
        <v>3783.7049999999999</v>
      </c>
      <c r="P31" s="286">
        <v>3457.8789999999999</v>
      </c>
      <c r="Q31" s="286">
        <v>3547.4070000000002</v>
      </c>
      <c r="R31" s="286">
        <v>3843.2020000000002</v>
      </c>
      <c r="S31" s="286">
        <v>3917.1080000000002</v>
      </c>
      <c r="T31" s="286">
        <v>3981.7910000000002</v>
      </c>
      <c r="V31" s="286">
        <v>3788.9185700000003</v>
      </c>
      <c r="W31" s="286">
        <v>3925.4973210500002</v>
      </c>
      <c r="X31" s="286">
        <v>4008.0131638919502</v>
      </c>
    </row>
    <row r="32" spans="1:24" ht="16.5" customHeight="1" x14ac:dyDescent="0.3">
      <c r="A32" s="76" t="s">
        <v>336</v>
      </c>
      <c r="B32" s="65" t="s">
        <v>337</v>
      </c>
      <c r="C32" s="83" t="s">
        <v>272</v>
      </c>
      <c r="D32" s="83" t="s">
        <v>338</v>
      </c>
      <c r="E32" s="286">
        <f>119.633-119.633+182.085</f>
        <v>182.08500000000001</v>
      </c>
      <c r="F32" s="290">
        <f>117.132-117.132+177.068</f>
        <v>177.06800000000001</v>
      </c>
      <c r="G32" s="290">
        <f>118.993-118.993+172.681</f>
        <v>172.68100000000001</v>
      </c>
      <c r="H32" s="290">
        <f>124.715-124.715+192.466</f>
        <v>192.46600000000001</v>
      </c>
      <c r="I32" s="289">
        <f>161.037-161.037+229.694</f>
        <v>229.69399999999999</v>
      </c>
      <c r="J32" s="285">
        <f>163.959-163.959+231.573</f>
        <v>231.57300000000001</v>
      </c>
      <c r="K32" s="286">
        <f>163.215-163.215+218.033</f>
        <v>218.03299999999999</v>
      </c>
      <c r="L32" s="286">
        <f>146.169-146.169+195.795</f>
        <v>195.79499999999999</v>
      </c>
      <c r="M32" s="286">
        <f>144.191-144.191+219.871</f>
        <v>219.87100000000001</v>
      </c>
      <c r="N32" s="286">
        <f>144.798-144.798+167.447-167.447+237.075</f>
        <v>237.07499999999999</v>
      </c>
      <c r="O32" s="286">
        <f>155.96-155.96+235.521</f>
        <v>235.52099999999999</v>
      </c>
      <c r="P32" s="286">
        <v>138.917</v>
      </c>
      <c r="Q32" s="286">
        <v>136.11199999999999</v>
      </c>
      <c r="R32" s="286">
        <v>165.42400000000001</v>
      </c>
      <c r="S32" s="286">
        <v>172.42099999999999</v>
      </c>
      <c r="T32" s="286">
        <v>173.625</v>
      </c>
      <c r="V32" s="286">
        <v>136.11199999999999</v>
      </c>
      <c r="W32" s="286">
        <v>136.11199999999999</v>
      </c>
      <c r="X32" s="286">
        <v>136.11199999999999</v>
      </c>
    </row>
    <row r="33" spans="1:24" ht="16.5" customHeight="1" x14ac:dyDescent="0.3">
      <c r="A33" s="64" t="s">
        <v>339</v>
      </c>
      <c r="B33" s="65" t="s">
        <v>340</v>
      </c>
      <c r="C33" s="66" t="s">
        <v>272</v>
      </c>
      <c r="D33" s="66" t="s">
        <v>341</v>
      </c>
      <c r="E33" s="286">
        <f>851.361-851.361+855.112</f>
        <v>855.11199999999997</v>
      </c>
      <c r="F33" s="290">
        <f>860.6-860.6+861.86</f>
        <v>861.86</v>
      </c>
      <c r="G33" s="290">
        <f>641.202-641.202+645.362</f>
        <v>645.36199999999997</v>
      </c>
      <c r="H33" s="290">
        <f>663.02-663.02+673.48</f>
        <v>673.48</v>
      </c>
      <c r="I33" s="289">
        <f>826.339-826.339+837.581</f>
        <v>837.58100000000002</v>
      </c>
      <c r="J33" s="285">
        <f>669.125-669.125+679.077</f>
        <v>679.077</v>
      </c>
      <c r="K33" s="286">
        <f>552.226-552.226+568.62</f>
        <v>568.62</v>
      </c>
      <c r="L33" s="286">
        <f>633.059-633.059+633.315-633.315+649.063</f>
        <v>649.06299999999999</v>
      </c>
      <c r="M33" s="286">
        <f>617.165-617.165+605.832-605.832+620.824</f>
        <v>620.82399999999996</v>
      </c>
      <c r="N33" s="286">
        <f>656.469-656.469+641.312-641.312+662.365</f>
        <v>662.36500000000001</v>
      </c>
      <c r="O33" s="286">
        <f>654.419-654.419+663.608</f>
        <v>663.60799999999995</v>
      </c>
      <c r="P33" s="286">
        <v>585.22699999999998</v>
      </c>
      <c r="Q33" s="286">
        <v>637.20999999999992</v>
      </c>
      <c r="R33" s="286">
        <v>582.85500000000002</v>
      </c>
      <c r="S33" s="286">
        <v>584.58299999999997</v>
      </c>
      <c r="T33" s="286">
        <v>576.63599999999997</v>
      </c>
      <c r="V33" s="286">
        <v>582.85500000000002</v>
      </c>
      <c r="W33" s="286">
        <v>584.58299999999997</v>
      </c>
      <c r="X33" s="286">
        <v>576.63599999999997</v>
      </c>
    </row>
    <row r="34" spans="1:24" ht="16.5" customHeight="1" x14ac:dyDescent="0.3">
      <c r="A34" s="76" t="s">
        <v>342</v>
      </c>
      <c r="B34" s="84" t="s">
        <v>343</v>
      </c>
      <c r="C34" s="66" t="s">
        <v>344</v>
      </c>
      <c r="D34" s="66" t="s">
        <v>345</v>
      </c>
      <c r="E34" s="285">
        <v>506.34</v>
      </c>
      <c r="F34" s="290">
        <v>590.29999999999995</v>
      </c>
      <c r="G34" s="290">
        <v>445.36599999999999</v>
      </c>
      <c r="H34" s="290">
        <v>476.6</v>
      </c>
      <c r="I34" s="290">
        <v>634.42200000000003</v>
      </c>
      <c r="J34" s="286">
        <v>460.00900000000001</v>
      </c>
      <c r="K34" s="286">
        <f>396.975-396.975+304.096</f>
        <v>304.096</v>
      </c>
      <c r="L34" s="286">
        <f>444.674-444.674+349.759</f>
        <v>349.75900000000001</v>
      </c>
      <c r="M34" s="286">
        <f>334.648-334.648+323.117</f>
        <v>323.11700000000002</v>
      </c>
      <c r="N34" s="286">
        <f>407.405-407.405+391.398</f>
        <v>391.39800000000002</v>
      </c>
      <c r="O34" s="286">
        <f>440.124-440.124+410.123</f>
        <v>410.12299999999999</v>
      </c>
      <c r="P34" s="286">
        <v>498.49900000000002</v>
      </c>
      <c r="Q34" s="286">
        <v>480.66800000000001</v>
      </c>
      <c r="R34" s="286">
        <v>474.62900000000002</v>
      </c>
      <c r="S34" s="286">
        <v>477.23200000000003</v>
      </c>
      <c r="T34" s="286">
        <v>470.52199999999999</v>
      </c>
      <c r="V34" s="286">
        <v>474.62900000000002</v>
      </c>
      <c r="W34" s="286">
        <v>477.23200000000003</v>
      </c>
      <c r="X34" s="286">
        <v>470.52199999999999</v>
      </c>
    </row>
    <row r="35" spans="1:24" ht="16.5" customHeight="1" x14ac:dyDescent="0.3">
      <c r="A35" s="76" t="s">
        <v>346</v>
      </c>
      <c r="B35" s="84" t="s">
        <v>347</v>
      </c>
      <c r="C35" s="66" t="s">
        <v>348</v>
      </c>
      <c r="D35" s="66" t="s">
        <v>349</v>
      </c>
      <c r="E35" s="286">
        <f>293.725-293.725+291.467</f>
        <v>291.46699999999998</v>
      </c>
      <c r="F35" s="290">
        <f>225.732-225.732+221.026</f>
        <v>221.02600000000001</v>
      </c>
      <c r="G35" s="290">
        <f>120.059-120.059+118.198</f>
        <v>118.19799999999999</v>
      </c>
      <c r="H35" s="290">
        <f>137.699-137.699+136.414</f>
        <v>136.41399999999999</v>
      </c>
      <c r="I35" s="290">
        <f>143.866-143.866+142.712</f>
        <v>142.71199999999999</v>
      </c>
      <c r="J35" s="286">
        <f>155.855-155.855+154.043</f>
        <v>154.04300000000001</v>
      </c>
      <c r="K35" s="286">
        <f>191.41-191.41+188.374</f>
        <v>188.374</v>
      </c>
      <c r="L35" s="286">
        <f>227.065-227.065+222.903</f>
        <v>222.90299999999999</v>
      </c>
      <c r="M35" s="286">
        <f>226.292-226.292+221.807</f>
        <v>221.80699999999999</v>
      </c>
      <c r="N35" s="286">
        <f>190.254-190.254+191.517</f>
        <v>191.517</v>
      </c>
      <c r="O35" s="286">
        <f>182.362-182.362+171.011</f>
        <v>171.011</v>
      </c>
      <c r="P35" s="286">
        <v>37.276000000000003</v>
      </c>
      <c r="Q35" s="286">
        <v>34.885000000000005</v>
      </c>
      <c r="R35" s="286">
        <v>37.427</v>
      </c>
      <c r="S35" s="286">
        <v>36.856999999999999</v>
      </c>
      <c r="T35" s="286">
        <v>36.277999999999999</v>
      </c>
      <c r="V35" s="286">
        <v>37.427</v>
      </c>
      <c r="W35" s="286">
        <v>36.856999999999999</v>
      </c>
      <c r="X35" s="286">
        <v>36.277999999999999</v>
      </c>
    </row>
    <row r="36" spans="1:24" s="291" customFormat="1" ht="16.5" customHeight="1" x14ac:dyDescent="0.3">
      <c r="A36" s="78" t="s">
        <v>207</v>
      </c>
      <c r="B36" s="62" t="s">
        <v>350</v>
      </c>
      <c r="C36" s="82" t="s">
        <v>275</v>
      </c>
      <c r="D36" s="82" t="s">
        <v>275</v>
      </c>
      <c r="E36" s="283">
        <f t="shared" ref="E36:T36" si="12">E38+E39+E40</f>
        <v>1207.5630000000001</v>
      </c>
      <c r="F36" s="283">
        <f t="shared" si="12"/>
        <v>1810.567</v>
      </c>
      <c r="G36" s="283">
        <f t="shared" si="12"/>
        <v>1582.797</v>
      </c>
      <c r="H36" s="283">
        <f t="shared" si="12"/>
        <v>2315.634</v>
      </c>
      <c r="I36" s="283">
        <f t="shared" si="12"/>
        <v>1903.7950000000001</v>
      </c>
      <c r="J36" s="283">
        <f t="shared" si="12"/>
        <v>2254.4430000000002</v>
      </c>
      <c r="K36" s="283">
        <f t="shared" si="12"/>
        <v>2249.8919999999998</v>
      </c>
      <c r="L36" s="283">
        <f>L38+L39+L40</f>
        <v>3976.0789999999997</v>
      </c>
      <c r="M36" s="283">
        <f>M38+M39+M40</f>
        <v>1299.241</v>
      </c>
      <c r="N36" s="283">
        <f>N38+N39+N40</f>
        <v>925.60500000000002</v>
      </c>
      <c r="O36" s="283">
        <f>O38+O39+O40</f>
        <v>1239.0720000000001</v>
      </c>
      <c r="P36" s="283">
        <f t="shared" si="12"/>
        <v>1198.7190000000001</v>
      </c>
      <c r="Q36" s="283">
        <f t="shared" si="12"/>
        <v>1571.7549999999997</v>
      </c>
      <c r="R36" s="283">
        <f t="shared" si="12"/>
        <v>1007.0749999999999</v>
      </c>
      <c r="S36" s="283">
        <f t="shared" si="12"/>
        <v>1289.857</v>
      </c>
      <c r="T36" s="283">
        <f t="shared" si="12"/>
        <v>1603.29</v>
      </c>
      <c r="V36" s="283">
        <v>1214.5480020000002</v>
      </c>
      <c r="W36" s="283">
        <v>1485.0971874589998</v>
      </c>
      <c r="X36" s="283">
        <v>1804.2722756242567</v>
      </c>
    </row>
    <row r="37" spans="1:24" ht="16.5" customHeight="1" x14ac:dyDescent="0.3">
      <c r="A37" s="85" t="s">
        <v>351</v>
      </c>
      <c r="B37" s="86" t="s">
        <v>352</v>
      </c>
      <c r="C37" s="87" t="s">
        <v>353</v>
      </c>
      <c r="D37" s="87" t="s">
        <v>353</v>
      </c>
      <c r="E37" s="286">
        <f>863.316-664.004+(82.62)</f>
        <v>281.93200000000002</v>
      </c>
      <c r="F37" s="286">
        <f>1111.48-809.95+(-7.137)</f>
        <v>294.39299999999997</v>
      </c>
      <c r="G37" s="286">
        <f>1663.755-1239.247+(225.936)</f>
        <v>650.44400000000007</v>
      </c>
      <c r="H37" s="286">
        <f>2031.344-1297.937+(60.035)</f>
        <v>793.44200000000012</v>
      </c>
      <c r="I37" s="285">
        <f>2127.345-1208.845+(-113.094)</f>
        <v>805.40599999999972</v>
      </c>
      <c r="J37" s="285">
        <f>2174.997-1218.111+(-148.212)</f>
        <v>808.67399999999975</v>
      </c>
      <c r="K37" s="285">
        <f>1257.505-818.843+(756.009)</f>
        <v>1194.6710000000003</v>
      </c>
      <c r="L37" s="286">
        <f>2986.181</f>
        <v>2986.181</v>
      </c>
      <c r="M37" s="286">
        <f>(1954.551)-956.938-209.81</f>
        <v>787.80299999999988</v>
      </c>
      <c r="N37" s="286">
        <v>661.40300000000002</v>
      </c>
      <c r="O37" s="286">
        <v>1009.861</v>
      </c>
      <c r="P37" s="286">
        <v>298.27499999999998</v>
      </c>
      <c r="Q37" s="286">
        <v>939.63199999999995</v>
      </c>
      <c r="R37" s="286">
        <v>546.89300000000003</v>
      </c>
      <c r="S37" s="286">
        <v>812.02499999999998</v>
      </c>
      <c r="T37" s="286">
        <v>1124.0350000000001</v>
      </c>
      <c r="V37" s="286">
        <v>546.89300000000003</v>
      </c>
      <c r="W37" s="286">
        <v>812.02499999999998</v>
      </c>
      <c r="X37" s="286">
        <v>1124.0350000000001</v>
      </c>
    </row>
    <row r="38" spans="1:24" ht="16.5" customHeight="1" x14ac:dyDescent="0.3">
      <c r="A38" s="77" t="s">
        <v>354</v>
      </c>
      <c r="B38" s="65" t="s">
        <v>355</v>
      </c>
      <c r="C38" s="83" t="s">
        <v>272</v>
      </c>
      <c r="D38" s="83" t="s">
        <v>356</v>
      </c>
      <c r="E38" s="286">
        <v>0</v>
      </c>
      <c r="F38" s="286">
        <v>0</v>
      </c>
      <c r="G38" s="286">
        <v>0</v>
      </c>
      <c r="H38" s="286">
        <v>0</v>
      </c>
      <c r="I38" s="285">
        <v>0</v>
      </c>
      <c r="J38" s="285">
        <v>0</v>
      </c>
      <c r="K38" s="285">
        <v>0</v>
      </c>
      <c r="L38" s="286">
        <v>0</v>
      </c>
      <c r="M38" s="286">
        <v>0</v>
      </c>
      <c r="N38" s="286">
        <v>0</v>
      </c>
      <c r="O38" s="286">
        <v>0</v>
      </c>
      <c r="P38" s="286"/>
      <c r="Q38" s="286"/>
      <c r="R38" s="286"/>
      <c r="S38" s="286"/>
      <c r="T38" s="286"/>
      <c r="V38" s="286">
        <v>0</v>
      </c>
      <c r="W38" s="286">
        <v>0</v>
      </c>
      <c r="X38" s="286">
        <v>0</v>
      </c>
    </row>
    <row r="39" spans="1:24" ht="16.5" customHeight="1" x14ac:dyDescent="0.3">
      <c r="A39" s="64" t="s">
        <v>254</v>
      </c>
      <c r="B39" s="65" t="s">
        <v>357</v>
      </c>
      <c r="C39" s="66" t="s">
        <v>272</v>
      </c>
      <c r="D39" s="66" t="s">
        <v>358</v>
      </c>
      <c r="E39" s="285">
        <f>1155.759-1155.759+1045.303</f>
        <v>1045.3030000000001</v>
      </c>
      <c r="F39" s="285">
        <f>1274.844-1274.844+1180.024</f>
        <v>1180.0239999999999</v>
      </c>
      <c r="G39" s="286">
        <f>1027.778-1027.778+946.428</f>
        <v>946.428</v>
      </c>
      <c r="H39" s="286">
        <f>1583.719-1583.719+1434.76</f>
        <v>1434.76</v>
      </c>
      <c r="I39" s="285">
        <f>1347.222-1347.222+1125.053</f>
        <v>1125.0530000000001</v>
      </c>
      <c r="J39" s="285">
        <f>1477.714-1477.714+1269.18</f>
        <v>1269.18</v>
      </c>
      <c r="K39" s="285">
        <f>1438.031-1438.031+1510.906-1510.906+1287.885</f>
        <v>1287.885</v>
      </c>
      <c r="L39" s="286">
        <f>2157.163-2157.163+2281.083-2281.083+2060.298</f>
        <v>2060.2979999999998</v>
      </c>
      <c r="M39" s="286">
        <f>988.197-988.197+988.235-988.235+770.762</f>
        <v>770.76199999999994</v>
      </c>
      <c r="N39" s="286">
        <f>1034.774-1034.774+841.898-841.898+622.614</f>
        <v>622.61400000000003</v>
      </c>
      <c r="O39" s="286">
        <f>978.808-978.808+617.7</f>
        <v>617.70000000000005</v>
      </c>
      <c r="P39" s="286">
        <v>1092.1320000000001</v>
      </c>
      <c r="Q39" s="286">
        <v>1441.0229999999997</v>
      </c>
      <c r="R39" s="286">
        <v>977.86699999999996</v>
      </c>
      <c r="S39" s="286">
        <v>1261.425</v>
      </c>
      <c r="T39" s="286">
        <v>1576.144</v>
      </c>
      <c r="V39" s="286">
        <v>1082.6377170000001</v>
      </c>
      <c r="W39" s="286">
        <v>1344.6179447739996</v>
      </c>
      <c r="X39" s="286">
        <v>1657.3921755038016</v>
      </c>
    </row>
    <row r="40" spans="1:24" ht="16.5" customHeight="1" x14ac:dyDescent="0.3">
      <c r="A40" s="88" t="s">
        <v>55</v>
      </c>
      <c r="B40" s="89" t="s">
        <v>359</v>
      </c>
      <c r="C40" s="66" t="s">
        <v>272</v>
      </c>
      <c r="D40" s="66" t="s">
        <v>360</v>
      </c>
      <c r="E40" s="286">
        <f>162.36-E22</f>
        <v>162.26000000000002</v>
      </c>
      <c r="F40" s="286">
        <f>630.588-F22</f>
        <v>630.54300000000001</v>
      </c>
      <c r="G40" s="286">
        <f>636.369-636.369+636.389-G22</f>
        <v>636.36900000000003</v>
      </c>
      <c r="H40" s="286">
        <f>880.887-H22</f>
        <v>880.87399999999991</v>
      </c>
      <c r="I40" s="285">
        <f>778.754-I22</f>
        <v>778.74200000000008</v>
      </c>
      <c r="J40" s="285">
        <f>985.27-J22</f>
        <v>985.26300000000003</v>
      </c>
      <c r="K40" s="285">
        <f>962.011-K22</f>
        <v>962.00699999999995</v>
      </c>
      <c r="L40" s="286">
        <f>2074.316-2074.316+1915.775-L22</f>
        <v>1915.7810000000002</v>
      </c>
      <c r="M40" s="286">
        <f>554.428-554.428+528.483-M22</f>
        <v>528.47899999999993</v>
      </c>
      <c r="N40" s="286">
        <f>299.32-299.32+299.399-299.399+302.991-N22</f>
        <v>302.99099999999999</v>
      </c>
      <c r="O40" s="286">
        <v>621.37199999999996</v>
      </c>
      <c r="P40" s="286">
        <v>106.587</v>
      </c>
      <c r="Q40" s="286">
        <v>130.73199999999986</v>
      </c>
      <c r="R40" s="286">
        <v>29.207999999999998</v>
      </c>
      <c r="S40" s="286">
        <v>28.431999999999999</v>
      </c>
      <c r="T40" s="286">
        <v>27.146000000000001</v>
      </c>
      <c r="V40" s="286">
        <v>131.91028500000016</v>
      </c>
      <c r="W40" s="286">
        <v>140.47924268500006</v>
      </c>
      <c r="X40" s="286">
        <v>146.88010012045515</v>
      </c>
    </row>
    <row r="41" spans="1:24" ht="16.5" customHeight="1" x14ac:dyDescent="0.3">
      <c r="A41" s="683" t="s">
        <v>361</v>
      </c>
      <c r="B41" s="62" t="s">
        <v>350</v>
      </c>
      <c r="C41" s="82" t="s">
        <v>275</v>
      </c>
      <c r="D41" s="82" t="s">
        <v>275</v>
      </c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>
        <f>-770.123999999989/-2</f>
        <v>385.0619999999945</v>
      </c>
      <c r="T41" s="283">
        <f>-1246.03200000001/-2</f>
        <v>623.01600000000496</v>
      </c>
      <c r="V41" s="283"/>
      <c r="W41" s="283"/>
      <c r="X41" s="283"/>
    </row>
    <row r="42" spans="1:24" ht="16.5" customHeight="1" x14ac:dyDescent="0.3">
      <c r="A42" s="55" t="s">
        <v>44</v>
      </c>
      <c r="B42" s="56" t="s">
        <v>30</v>
      </c>
      <c r="C42" s="56" t="s">
        <v>272</v>
      </c>
      <c r="D42" s="56" t="s">
        <v>272</v>
      </c>
      <c r="E42" s="292">
        <f>E44+E81</f>
        <v>25374.615000000002</v>
      </c>
      <c r="F42" s="292">
        <f t="shared" ref="F42:R42" si="13">F44+F81</f>
        <v>28463.259000000002</v>
      </c>
      <c r="G42" s="292">
        <f t="shared" si="13"/>
        <v>28736.951000000005</v>
      </c>
      <c r="H42" s="292">
        <f t="shared" si="13"/>
        <v>29512.988999999998</v>
      </c>
      <c r="I42" s="292">
        <f t="shared" si="13"/>
        <v>30103.038</v>
      </c>
      <c r="J42" s="292">
        <f t="shared" si="13"/>
        <v>31441.087000000003</v>
      </c>
      <c r="K42" s="292">
        <f t="shared" si="13"/>
        <v>32942.868000000002</v>
      </c>
      <c r="L42" s="292">
        <f t="shared" si="13"/>
        <v>36430.345999999998</v>
      </c>
      <c r="M42" s="292">
        <f t="shared" si="13"/>
        <v>34533.025000000001</v>
      </c>
      <c r="N42" s="292">
        <f t="shared" si="13"/>
        <v>35025.885999999999</v>
      </c>
      <c r="O42" s="292">
        <v>37520.832999999999</v>
      </c>
      <c r="P42" s="292">
        <f t="shared" si="13"/>
        <v>37216.335000000006</v>
      </c>
      <c r="Q42" s="292">
        <f t="shared" si="13"/>
        <v>38380.156999999999</v>
      </c>
      <c r="R42" s="292">
        <f t="shared" si="13"/>
        <v>39346.334999999999</v>
      </c>
      <c r="S42" s="292">
        <f>S44+S81+S88</f>
        <v>40813.138999999996</v>
      </c>
      <c r="T42" s="292">
        <f>T44+T81+T88</f>
        <v>43025.534999999996</v>
      </c>
      <c r="V42" s="292">
        <f t="shared" ref="V42" si="14">V44+V81</f>
        <v>39144.089813999992</v>
      </c>
      <c r="W42" s="292">
        <f>W44+W81+W88</f>
        <v>41050.874894936002</v>
      </c>
      <c r="X42" s="292">
        <f>X44+X81+X88</f>
        <v>43572.683332922425</v>
      </c>
    </row>
    <row r="43" spans="1:24" ht="16.5" customHeight="1" x14ac:dyDescent="0.3">
      <c r="A43" s="57" t="s">
        <v>4</v>
      </c>
      <c r="B43" s="58"/>
      <c r="C43" s="90"/>
      <c r="D43" s="90"/>
      <c r="E43" s="91">
        <f t="shared" ref="E43:T43" si="15">E42/E91</f>
        <v>0.36994339481305105</v>
      </c>
      <c r="F43" s="91">
        <f t="shared" si="15"/>
        <v>0.44407564591215809</v>
      </c>
      <c r="G43" s="91">
        <f t="shared" si="15"/>
        <v>0.4220252624044975</v>
      </c>
      <c r="H43" s="91">
        <f t="shared" si="15"/>
        <v>0.41442453194183926</v>
      </c>
      <c r="I43" s="91">
        <f t="shared" si="15"/>
        <v>0.40965531161403113</v>
      </c>
      <c r="J43" s="91">
        <f t="shared" si="15"/>
        <v>0.42285189351144503</v>
      </c>
      <c r="K43" s="91">
        <f t="shared" si="15"/>
        <v>0.43200443517413284</v>
      </c>
      <c r="L43" s="91">
        <f t="shared" si="15"/>
        <v>0.45675989319618276</v>
      </c>
      <c r="M43" s="91">
        <f t="shared" si="15"/>
        <v>0.42613173444646518</v>
      </c>
      <c r="N43" s="91">
        <f t="shared" si="15"/>
        <v>0.41442412683696017</v>
      </c>
      <c r="O43" s="91">
        <f t="shared" si="15"/>
        <v>0.41819472932306201</v>
      </c>
      <c r="P43" s="91">
        <f t="shared" si="15"/>
        <v>0.38410774496817041</v>
      </c>
      <c r="Q43" s="91">
        <f>Q42/Q91</f>
        <v>0.40792027002359332</v>
      </c>
      <c r="R43" s="91">
        <f t="shared" si="15"/>
        <v>0.4013183274762811</v>
      </c>
      <c r="S43" s="91">
        <f t="shared" si="15"/>
        <v>0.39645589034933248</v>
      </c>
      <c r="T43" s="91">
        <f t="shared" si="15"/>
        <v>0.3975026294088263</v>
      </c>
      <c r="V43" s="91">
        <f t="shared" ref="V43:X43" si="16">V42/V91</f>
        <v>0.39925550002905758</v>
      </c>
      <c r="W43" s="91">
        <f t="shared" si="16"/>
        <v>0.39876523969623889</v>
      </c>
      <c r="X43" s="91">
        <f t="shared" si="16"/>
        <v>0.40255760202016794</v>
      </c>
    </row>
    <row r="44" spans="1:24" s="273" customFormat="1" ht="16.5" customHeight="1" x14ac:dyDescent="0.3">
      <c r="A44" s="92" t="s">
        <v>362</v>
      </c>
      <c r="B44" s="62" t="s">
        <v>275</v>
      </c>
      <c r="C44" s="63" t="s">
        <v>275</v>
      </c>
      <c r="D44" s="63" t="s">
        <v>275</v>
      </c>
      <c r="E44" s="283">
        <f t="shared" ref="E44:M44" si="17">E45+E48+E49+E52+E58+E61+E78</f>
        <v>22480.924000000003</v>
      </c>
      <c r="F44" s="283">
        <f t="shared" si="17"/>
        <v>24757.755000000001</v>
      </c>
      <c r="G44" s="283">
        <f t="shared" si="17"/>
        <v>25711.588000000003</v>
      </c>
      <c r="H44" s="283">
        <f t="shared" si="17"/>
        <v>26288.807999999997</v>
      </c>
      <c r="I44" s="283">
        <f t="shared" si="17"/>
        <v>27273.931</v>
      </c>
      <c r="J44" s="283">
        <f t="shared" si="17"/>
        <v>28500.035000000003</v>
      </c>
      <c r="K44" s="283">
        <f t="shared" si="17"/>
        <v>29420.920000000002</v>
      </c>
      <c r="L44" s="283">
        <f t="shared" si="17"/>
        <v>30669.378999999997</v>
      </c>
      <c r="M44" s="283">
        <f t="shared" si="17"/>
        <v>31223.163</v>
      </c>
      <c r="N44" s="283">
        <f>N45+N48+N49+N52+N58+N61+N78</f>
        <v>31935.207999999999</v>
      </c>
      <c r="O44" s="283">
        <f>O45+O48+O49+O52+O58+O61+O78</f>
        <v>33801.137000000002</v>
      </c>
      <c r="P44" s="283">
        <f t="shared" ref="P44:Q44" si="18">P45+P48+P49+P52+P58+P61+P78</f>
        <v>34823.244000000006</v>
      </c>
      <c r="Q44" s="283">
        <f t="shared" si="18"/>
        <v>35390.898999999998</v>
      </c>
      <c r="R44" s="283">
        <v>37281.282999999996</v>
      </c>
      <c r="S44" s="283">
        <v>38807.174999999996</v>
      </c>
      <c r="T44" s="283">
        <v>40027.995999999999</v>
      </c>
      <c r="V44" s="283">
        <v>36642.654273999993</v>
      </c>
      <c r="W44" s="283">
        <v>38293.510181796002</v>
      </c>
      <c r="X44" s="283">
        <v>39556.503394117404</v>
      </c>
    </row>
    <row r="45" spans="1:24" s="291" customFormat="1" ht="16.5" customHeight="1" x14ac:dyDescent="0.3">
      <c r="A45" s="93" t="s">
        <v>45</v>
      </c>
      <c r="B45" s="94" t="s">
        <v>205</v>
      </c>
      <c r="C45" s="66" t="s">
        <v>272</v>
      </c>
      <c r="D45" s="66" t="s">
        <v>363</v>
      </c>
      <c r="E45" s="286">
        <f>5123.958-5123.958+5164.274</f>
        <v>5164.2740000000003</v>
      </c>
      <c r="F45" s="286">
        <f>5479.255-5479.255+5543.503</f>
        <v>5543.5029999999997</v>
      </c>
      <c r="G45" s="286">
        <f>5716.126-5716.126+5756.796</f>
        <v>5756.7960000000003</v>
      </c>
      <c r="H45" s="286">
        <f>5845.659-5845.659+5895.087</f>
        <v>5895.0870000000004</v>
      </c>
      <c r="I45" s="285">
        <f>5991.294-5991.294+6033.52</f>
        <v>6033.52</v>
      </c>
      <c r="J45" s="285">
        <f>6356.049-6356.049+6417.659</f>
        <v>6417.6589999999997</v>
      </c>
      <c r="K45" s="285">
        <f>6693.738-6693.738+6766.776</f>
        <v>6766.7759999999998</v>
      </c>
      <c r="L45" s="286">
        <f>7049.497-7049.497+7049.858-7049.858+7120.812</f>
        <v>7120.8119999999999</v>
      </c>
      <c r="M45" s="286">
        <f>7400.143-7400.143+7400.506-7400.506+7535.123</f>
        <v>7535.1229999999996</v>
      </c>
      <c r="N45" s="286">
        <f>7803.572-7803.572+7920.081</f>
        <v>7920.0810000000001</v>
      </c>
      <c r="O45" s="286">
        <f>8395.11-8395.11+8359.533</f>
        <v>8359.5329999999994</v>
      </c>
      <c r="P45" s="286">
        <v>8900.0930000000008</v>
      </c>
      <c r="Q45" s="286">
        <v>8949.7150000000001</v>
      </c>
      <c r="R45" s="286">
        <v>9739.8240000000005</v>
      </c>
      <c r="S45" s="286">
        <v>10101.388999999999</v>
      </c>
      <c r="T45" s="286">
        <v>10455.753999999999</v>
      </c>
      <c r="V45" s="286">
        <v>9653.4392060000009</v>
      </c>
      <c r="W45" s="286">
        <v>10114.542116300001</v>
      </c>
      <c r="X45" s="286">
        <v>10596.183022114999</v>
      </c>
    </row>
    <row r="46" spans="1:24" s="291" customFormat="1" ht="16.5" customHeight="1" x14ac:dyDescent="0.3">
      <c r="A46" s="76" t="s">
        <v>252</v>
      </c>
      <c r="B46" s="68" t="s">
        <v>364</v>
      </c>
      <c r="C46" s="66" t="s">
        <v>348</v>
      </c>
      <c r="D46" s="66" t="s">
        <v>365</v>
      </c>
      <c r="E46" s="285">
        <v>3882.7379999999998</v>
      </c>
      <c r="F46" s="285">
        <v>4068.3440000000001</v>
      </c>
      <c r="G46" s="285">
        <v>4241.7030000000004</v>
      </c>
      <c r="H46" s="285">
        <v>4259.3040000000001</v>
      </c>
      <c r="I46" s="285">
        <v>4439.4539999999997</v>
      </c>
      <c r="J46" s="285">
        <v>4666.4269999999997</v>
      </c>
      <c r="K46" s="285">
        <v>4894.2</v>
      </c>
      <c r="L46" s="285">
        <f>5141.582-5141.582+5141.943</f>
        <v>5141.9430000000002</v>
      </c>
      <c r="M46" s="285">
        <f>5412.214-5412.214+5412.577</f>
        <v>5412.5770000000002</v>
      </c>
      <c r="N46" s="285">
        <f>5705.905-5705.905+5706.857</f>
        <v>5706.857</v>
      </c>
      <c r="O46" s="285">
        <v>6171.3450000000003</v>
      </c>
      <c r="P46" s="285">
        <v>6498.8530000000001</v>
      </c>
      <c r="Q46" s="285">
        <v>6519.7820000000002</v>
      </c>
      <c r="R46" s="285">
        <v>7121.8559999999998</v>
      </c>
      <c r="S46" s="285">
        <v>7387.3389999999999</v>
      </c>
      <c r="T46" s="285">
        <v>7644.9980000000005</v>
      </c>
      <c r="V46" s="285">
        <v>7025.4654489999994</v>
      </c>
      <c r="W46" s="285">
        <v>7361.9069714500019</v>
      </c>
      <c r="X46" s="285">
        <v>7711.3778700224993</v>
      </c>
    </row>
    <row r="47" spans="1:24" s="291" customFormat="1" ht="16.5" customHeight="1" x14ac:dyDescent="0.3">
      <c r="A47" s="76" t="s">
        <v>253</v>
      </c>
      <c r="B47" s="68" t="s">
        <v>366</v>
      </c>
      <c r="C47" s="66" t="s">
        <v>348</v>
      </c>
      <c r="D47" s="66" t="s">
        <v>367</v>
      </c>
      <c r="E47" s="285">
        <v>1241.22</v>
      </c>
      <c r="F47" s="285">
        <v>1410.9110000000001</v>
      </c>
      <c r="G47" s="285">
        <v>1474.423</v>
      </c>
      <c r="H47" s="285">
        <v>1586.355</v>
      </c>
      <c r="I47" s="285">
        <v>1551.84</v>
      </c>
      <c r="J47" s="285">
        <v>1689.6220000000001</v>
      </c>
      <c r="K47" s="285">
        <v>1799.538</v>
      </c>
      <c r="L47" s="285">
        <v>1907.915</v>
      </c>
      <c r="M47" s="285">
        <v>1987.9290000000001</v>
      </c>
      <c r="N47" s="285">
        <f>2096.961-2096.961+2096.715</f>
        <v>2096.7150000000001</v>
      </c>
      <c r="O47" s="285">
        <v>2223.7649999999999</v>
      </c>
      <c r="P47" s="285">
        <v>2401.2400000000007</v>
      </c>
      <c r="Q47" s="285">
        <v>2429.933</v>
      </c>
      <c r="R47" s="285">
        <v>2617.9680000000008</v>
      </c>
      <c r="S47" s="285">
        <v>2714.0499999999993</v>
      </c>
      <c r="T47" s="285">
        <v>2810.7559999999985</v>
      </c>
      <c r="V47" s="285">
        <v>2627.9737570000011</v>
      </c>
      <c r="W47" s="285">
        <v>2752.6351448499991</v>
      </c>
      <c r="X47" s="285">
        <v>2884.8051520924992</v>
      </c>
    </row>
    <row r="48" spans="1:24" s="291" customFormat="1" ht="16.5" customHeight="1" x14ac:dyDescent="0.3">
      <c r="A48" s="93" t="s">
        <v>47</v>
      </c>
      <c r="B48" s="94" t="s">
        <v>48</v>
      </c>
      <c r="C48" s="66" t="s">
        <v>272</v>
      </c>
      <c r="D48" s="66" t="s">
        <v>368</v>
      </c>
      <c r="E48" s="286">
        <f>3313.989-3313.989+3328.588</f>
        <v>3328.5880000000002</v>
      </c>
      <c r="F48" s="286">
        <f>3898.526-3898.526+3917.29</f>
        <v>3917.29</v>
      </c>
      <c r="G48" s="286">
        <f>3871.698-3871.698+3996.778</f>
        <v>3996.7779999999998</v>
      </c>
      <c r="H48" s="286">
        <f>3985.367-3985.367+4136.558</f>
        <v>4136.558</v>
      </c>
      <c r="I48" s="285">
        <f>4006.704-4006.704+4213.033</f>
        <v>4213.0330000000004</v>
      </c>
      <c r="J48" s="285">
        <f>4101.731-4101.731+4210.437</f>
        <v>4210.4369999999999</v>
      </c>
      <c r="K48" s="285">
        <f>4266.165-4266.165+4380.653</f>
        <v>4380.6530000000002</v>
      </c>
      <c r="L48" s="286">
        <f>4654.823-4654.823+4654.941-4654.941+4736.737</f>
        <v>4736.7370000000001</v>
      </c>
      <c r="M48" s="286">
        <f>4459.021-4459.021+4459.145-4459.145+4529.821</f>
        <v>4529.8209999999999</v>
      </c>
      <c r="N48" s="286">
        <f>4802.009-4802.009+4851.554</f>
        <v>4851.5540000000001</v>
      </c>
      <c r="O48" s="286">
        <f>4892.561-4892.561+4977.435</f>
        <v>4977.4350000000004</v>
      </c>
      <c r="P48" s="286">
        <v>5429.8950000000004</v>
      </c>
      <c r="Q48" s="286">
        <v>5506.1570000000002</v>
      </c>
      <c r="R48" s="286">
        <v>5353.2039999999997</v>
      </c>
      <c r="S48" s="286">
        <v>5652.4070000000002</v>
      </c>
      <c r="T48" s="286">
        <v>5873.0940000000001</v>
      </c>
      <c r="V48" s="286">
        <v>5382.503808999998</v>
      </c>
      <c r="W48" s="286">
        <v>5689.2311967979967</v>
      </c>
      <c r="X48" s="286">
        <v>5852.259248324357</v>
      </c>
    </row>
    <row r="49" spans="1:24" s="291" customFormat="1" ht="16.5" customHeight="1" x14ac:dyDescent="0.3">
      <c r="A49" s="85" t="s">
        <v>257</v>
      </c>
      <c r="B49" s="94" t="s">
        <v>369</v>
      </c>
      <c r="C49" s="83" t="s">
        <v>370</v>
      </c>
      <c r="D49" s="83" t="s">
        <v>371</v>
      </c>
      <c r="E49" s="286">
        <f t="shared" ref="E49:M49" si="19">E50+E51</f>
        <v>80.391000000000005</v>
      </c>
      <c r="F49" s="286">
        <f t="shared" si="19"/>
        <v>75.658000000000001</v>
      </c>
      <c r="G49" s="286">
        <f t="shared" si="19"/>
        <v>94.039999999999992</v>
      </c>
      <c r="H49" s="286">
        <f t="shared" si="19"/>
        <v>102.44500000000001</v>
      </c>
      <c r="I49" s="285">
        <f t="shared" si="19"/>
        <v>97.396999999999991</v>
      </c>
      <c r="J49" s="285">
        <f t="shared" si="19"/>
        <v>114.928</v>
      </c>
      <c r="K49" s="285">
        <f t="shared" si="19"/>
        <v>109.471</v>
      </c>
      <c r="L49" s="285">
        <f>L50+L51</f>
        <v>102.72799999999999</v>
      </c>
      <c r="M49" s="285">
        <f t="shared" si="19"/>
        <v>129.87099999999998</v>
      </c>
      <c r="N49" s="285">
        <f>N50+N51</f>
        <v>87.194000000000003</v>
      </c>
      <c r="O49" s="285">
        <f>O50+O51</f>
        <v>150.05600000000001</v>
      </c>
      <c r="P49" s="285">
        <f t="shared" ref="P49:Q49" si="20">P50+P51</f>
        <v>67.528000000000006</v>
      </c>
      <c r="Q49" s="285">
        <f t="shared" si="20"/>
        <v>67.528000000000006</v>
      </c>
      <c r="R49" s="285">
        <v>82.433999999999997</v>
      </c>
      <c r="S49" s="285">
        <v>83.013000000000005</v>
      </c>
      <c r="T49" s="285">
        <v>83.007000000000005</v>
      </c>
      <c r="V49" s="285">
        <v>82.433999999999997</v>
      </c>
      <c r="W49" s="285">
        <v>83.013000000000005</v>
      </c>
      <c r="X49" s="285">
        <v>83.007000000000005</v>
      </c>
    </row>
    <row r="50" spans="1:24" ht="16.5" customHeight="1" x14ac:dyDescent="0.3">
      <c r="A50" s="95" t="s">
        <v>372</v>
      </c>
      <c r="B50" s="65" t="s">
        <v>373</v>
      </c>
      <c r="C50" s="66" t="s">
        <v>272</v>
      </c>
      <c r="D50" s="66" t="s">
        <v>374</v>
      </c>
      <c r="E50" s="286">
        <f>35.125-35.125+61.139</f>
        <v>61.139000000000003</v>
      </c>
      <c r="F50" s="286">
        <f>35.181-35.181+66.901</f>
        <v>66.900999999999996</v>
      </c>
      <c r="G50" s="286">
        <f>39.637-39.637+72.16</f>
        <v>72.16</v>
      </c>
      <c r="H50" s="286">
        <f>49.839-49.839+75.992</f>
        <v>75.992000000000004</v>
      </c>
      <c r="I50" s="285">
        <f>58.804-58.804+88.079</f>
        <v>88.078999999999994</v>
      </c>
      <c r="J50" s="285">
        <f>56.468-56.468+92.152</f>
        <v>92.152000000000001</v>
      </c>
      <c r="K50" s="285">
        <f>38.512-38.512+79.536</f>
        <v>79.536000000000001</v>
      </c>
      <c r="L50" s="286">
        <f>60.713-60.713+101.865</f>
        <v>101.86499999999999</v>
      </c>
      <c r="M50" s="286">
        <f>55.362-55.362+107.267</f>
        <v>107.267</v>
      </c>
      <c r="N50" s="286">
        <f>67.395-67.395+62.187</f>
        <v>62.186999999999998</v>
      </c>
      <c r="O50" s="286">
        <f>122.732-122.732+124.069</f>
        <v>124.069</v>
      </c>
      <c r="P50" s="286">
        <v>67.528000000000006</v>
      </c>
      <c r="Q50" s="286">
        <v>67.528000000000006</v>
      </c>
      <c r="R50" s="286">
        <v>82.433999999999997</v>
      </c>
      <c r="S50" s="286">
        <v>83.013000000000005</v>
      </c>
      <c r="T50" s="286">
        <v>83.007000000000005</v>
      </c>
      <c r="V50" s="286">
        <v>82.433999999999997</v>
      </c>
      <c r="W50" s="286">
        <v>83.013000000000005</v>
      </c>
      <c r="X50" s="286">
        <v>83.007000000000005</v>
      </c>
    </row>
    <row r="51" spans="1:24" ht="16.5" customHeight="1" x14ac:dyDescent="0.3">
      <c r="A51" s="95" t="s">
        <v>375</v>
      </c>
      <c r="B51" s="65" t="s">
        <v>37</v>
      </c>
      <c r="C51" s="66" t="s">
        <v>272</v>
      </c>
      <c r="D51" s="66" t="s">
        <v>292</v>
      </c>
      <c r="E51" s="286">
        <f>19.223-19.223+19.252</f>
        <v>19.251999999999999</v>
      </c>
      <c r="F51" s="290">
        <f>8.373-8.373+8.757</f>
        <v>8.7569999999999997</v>
      </c>
      <c r="G51" s="290">
        <f>20.104-20.104+21.88</f>
        <v>21.88</v>
      </c>
      <c r="H51" s="290">
        <f>18.39-18.39+26.453</f>
        <v>26.452999999999999</v>
      </c>
      <c r="I51" s="289">
        <f>19.492-19.492+9.318</f>
        <v>9.3179999999999996</v>
      </c>
      <c r="J51" s="285">
        <f>25.19-25.19+22.776</f>
        <v>22.776</v>
      </c>
      <c r="K51" s="285">
        <f>30.224-30.224+29.935</f>
        <v>29.934999999999999</v>
      </c>
      <c r="L51" s="286">
        <f>10.587-10.587+10.636-10.636+0.863</f>
        <v>0.86299999999999999</v>
      </c>
      <c r="M51" s="286">
        <f>13.316-13.316+13.354-13.354+22.604</f>
        <v>22.603999999999999</v>
      </c>
      <c r="N51" s="286">
        <f>23.276-23.276+25.007</f>
        <v>25.007000000000001</v>
      </c>
      <c r="O51" s="286">
        <f>25.232-25.232+25.987</f>
        <v>25.986999999999998</v>
      </c>
      <c r="P51" s="286">
        <v>0</v>
      </c>
      <c r="Q51" s="286">
        <v>0</v>
      </c>
      <c r="R51" s="286">
        <v>0</v>
      </c>
      <c r="S51" s="286">
        <v>0</v>
      </c>
      <c r="T51" s="286">
        <v>0</v>
      </c>
      <c r="V51" s="286">
        <v>0</v>
      </c>
      <c r="W51" s="286">
        <v>0</v>
      </c>
      <c r="X51" s="286">
        <v>0</v>
      </c>
    </row>
    <row r="52" spans="1:24" s="291" customFormat="1" ht="16.5" customHeight="1" x14ac:dyDescent="0.3">
      <c r="A52" s="85" t="s">
        <v>49</v>
      </c>
      <c r="B52" s="94" t="s">
        <v>376</v>
      </c>
      <c r="C52" s="83" t="s">
        <v>272</v>
      </c>
      <c r="D52" s="83" t="s">
        <v>377</v>
      </c>
      <c r="E52" s="286">
        <v>919.86900000000003</v>
      </c>
      <c r="F52" s="290">
        <f>734.258-734.258+877.728</f>
        <v>877.72799999999995</v>
      </c>
      <c r="G52" s="290">
        <f>623.359-623.359+782.77</f>
        <v>782.77</v>
      </c>
      <c r="H52" s="290">
        <f>498.551-498.551+878.189</f>
        <v>878.18899999999996</v>
      </c>
      <c r="I52" s="289">
        <f>490.516-490.516+892.342</f>
        <v>892.34199999999998</v>
      </c>
      <c r="J52" s="285">
        <f>574.001-574.001+1079.6</f>
        <v>1079.5999999999999</v>
      </c>
      <c r="K52" s="285">
        <f>519.818-519.818+1066.82</f>
        <v>1066.82</v>
      </c>
      <c r="L52" s="286">
        <f>463.736-463.736+949.99</f>
        <v>949.99</v>
      </c>
      <c r="M52" s="286">
        <f>376.401-376.401+881.043</f>
        <v>881.04300000000001</v>
      </c>
      <c r="N52" s="286">
        <f>362.66-362.66+975.631</f>
        <v>975.63099999999997</v>
      </c>
      <c r="O52" s="286">
        <f>399.258-399.258+1048.04</f>
        <v>1048.04</v>
      </c>
      <c r="P52" s="286">
        <v>454.98899999999998</v>
      </c>
      <c r="Q52" s="286">
        <v>465.21</v>
      </c>
      <c r="R52" s="286">
        <v>496.49900000000002</v>
      </c>
      <c r="S52" s="286">
        <v>472.40600000000001</v>
      </c>
      <c r="T52" s="286">
        <v>422.60599999999999</v>
      </c>
      <c r="V52" s="286">
        <v>485.68911000000003</v>
      </c>
      <c r="W52" s="286">
        <v>466.00802041999998</v>
      </c>
      <c r="X52" s="286">
        <v>426.82479088965999</v>
      </c>
    </row>
    <row r="53" spans="1:24" s="291" customFormat="1" ht="16.5" customHeight="1" x14ac:dyDescent="0.3">
      <c r="A53" s="76" t="s">
        <v>378</v>
      </c>
      <c r="B53" s="84" t="s">
        <v>379</v>
      </c>
      <c r="C53" s="66" t="s">
        <v>380</v>
      </c>
      <c r="D53" s="66" t="s">
        <v>380</v>
      </c>
      <c r="E53" s="286">
        <f>0+325.997</f>
        <v>325.99700000000001</v>
      </c>
      <c r="F53" s="290">
        <f>0.009+210.503</f>
        <v>210.51199999999997</v>
      </c>
      <c r="G53" s="290">
        <f>0.061+196.916</f>
        <v>196.977</v>
      </c>
      <c r="H53" s="290">
        <f>0.068+151.421</f>
        <v>151.489</v>
      </c>
      <c r="I53" s="289">
        <f>0+120.155</f>
        <v>120.155</v>
      </c>
      <c r="J53" s="285">
        <f>0+138.037</f>
        <v>138.03700000000001</v>
      </c>
      <c r="K53" s="285">
        <f>0+469.54-469.54+91.73</f>
        <v>91.73</v>
      </c>
      <c r="L53" s="286">
        <v>68.584999999999994</v>
      </c>
      <c r="M53" s="286">
        <v>57.859000000000002</v>
      </c>
      <c r="N53" s="286">
        <v>92.941999999999993</v>
      </c>
      <c r="O53" s="286">
        <f>89.744088+0</f>
        <v>89.744088000000005</v>
      </c>
      <c r="P53" s="286">
        <v>159.285</v>
      </c>
      <c r="Q53" s="286">
        <v>152.45400000000001</v>
      </c>
      <c r="R53" s="286">
        <v>156.75</v>
      </c>
      <c r="S53" s="286">
        <v>137.506</v>
      </c>
      <c r="T53" s="286">
        <v>87.016999999999996</v>
      </c>
      <c r="V53" s="286">
        <v>143.28121000000002</v>
      </c>
      <c r="W53" s="286">
        <v>126.37343462</v>
      </c>
      <c r="X53" s="286">
        <v>83.239674616260004</v>
      </c>
    </row>
    <row r="54" spans="1:24" s="291" customFormat="1" ht="16.5" customHeight="1" x14ac:dyDescent="0.3">
      <c r="A54" s="76" t="s">
        <v>381</v>
      </c>
      <c r="B54" s="84" t="s">
        <v>382</v>
      </c>
      <c r="C54" s="66" t="s">
        <v>383</v>
      </c>
      <c r="D54" s="66" t="s">
        <v>383</v>
      </c>
      <c r="E54" s="286">
        <f>93.014+488.784-29.897-165.97</f>
        <v>385.93099999999993</v>
      </c>
      <c r="F54" s="290">
        <f>96.421+436.378-29.068-270.339</f>
        <v>233.392</v>
      </c>
      <c r="G54" s="290">
        <f>94.731+485.316-42.054-228.114</f>
        <v>309.87900000000002</v>
      </c>
      <c r="H54" s="290">
        <f>93.573+547.911-28.816-199.498-105.301-67.516</f>
        <v>240.35299999999989</v>
      </c>
      <c r="I54" s="289">
        <f>94.782+891.384-28.334-345.988-174.99-199.342</f>
        <v>237.51200000000003</v>
      </c>
      <c r="J54" s="285">
        <f>103.597+695.788-40.446-333.753-197.559</f>
        <v>227.62699999999998</v>
      </c>
      <c r="K54" s="285">
        <f>106.32+413.45-83.331-197.559</f>
        <v>238.87999999999997</v>
      </c>
      <c r="L54" s="286">
        <f>360.958+110.061-209.559</f>
        <v>261.46000000000004</v>
      </c>
      <c r="M54" s="286">
        <f>87.187+155.134</f>
        <v>242.32099999999997</v>
      </c>
      <c r="N54" s="286">
        <f>164.51</f>
        <v>164.51</v>
      </c>
      <c r="O54" s="286">
        <f>176.877668+25.180222</f>
        <v>202.05788999999999</v>
      </c>
      <c r="P54" s="286">
        <v>178.64099999999999</v>
      </c>
      <c r="Q54" s="286">
        <v>194.34099999999998</v>
      </c>
      <c r="R54" s="286">
        <v>195.58600000000001</v>
      </c>
      <c r="S54" s="286">
        <v>197.68600000000001</v>
      </c>
      <c r="T54" s="286">
        <v>198.886</v>
      </c>
      <c r="V54" s="286">
        <v>198.2449</v>
      </c>
      <c r="W54" s="286">
        <v>202.4205858</v>
      </c>
      <c r="X54" s="286">
        <v>206.88211627340002</v>
      </c>
    </row>
    <row r="55" spans="1:24" s="291" customFormat="1" ht="16.5" customHeight="1" x14ac:dyDescent="0.3">
      <c r="A55" s="73" t="s">
        <v>384</v>
      </c>
      <c r="B55" s="84" t="s">
        <v>385</v>
      </c>
      <c r="C55" s="66" t="s">
        <v>386</v>
      </c>
      <c r="D55" s="66" t="s">
        <v>386</v>
      </c>
      <c r="E55" s="286">
        <f>0+381.232-165.97</f>
        <v>215.26200000000003</v>
      </c>
      <c r="F55" s="290">
        <f>0+315.342-270.339</f>
        <v>45.002999999999986</v>
      </c>
      <c r="G55" s="290">
        <f>0+337.519-228.114</f>
        <v>109.405</v>
      </c>
      <c r="H55" s="290">
        <f>0+404.903-199.498-105.301-67.516</f>
        <v>32.588000000000022</v>
      </c>
      <c r="I55" s="289">
        <f>0+736.51-345.988-174.99-199.342</f>
        <v>16.189999999999969</v>
      </c>
      <c r="J55" s="285">
        <f>0+538.753-333.753-197.559</f>
        <v>7.4410000000000593</v>
      </c>
      <c r="K55" s="285">
        <f>0+265.108-197.559</f>
        <v>67.549000000000007</v>
      </c>
      <c r="L55" s="285">
        <f>218.096-209.559</f>
        <v>8.5370000000000061</v>
      </c>
      <c r="M55" s="285">
        <f>9.633</f>
        <v>9.6329999999999991</v>
      </c>
      <c r="N55" s="285">
        <v>9.0510000000000002</v>
      </c>
      <c r="O55" s="285">
        <f>9.015236+0</f>
        <v>9.0152359999999998</v>
      </c>
      <c r="P55" s="285">
        <v>8.5410000000000004</v>
      </c>
      <c r="Q55" s="285">
        <v>8.4410000000000007</v>
      </c>
      <c r="R55" s="285">
        <v>8.5860000000000003</v>
      </c>
      <c r="S55" s="285">
        <v>8.5860000000000003</v>
      </c>
      <c r="T55" s="285">
        <v>8.5860000000000003</v>
      </c>
      <c r="V55" s="285">
        <v>8.5670000000000002</v>
      </c>
      <c r="W55" s="285">
        <v>8.7017720000000018</v>
      </c>
      <c r="X55" s="285">
        <v>8.845769756000001</v>
      </c>
    </row>
    <row r="56" spans="1:24" s="291" customFormat="1" ht="16.5" customHeight="1" x14ac:dyDescent="0.3">
      <c r="A56" s="73" t="s">
        <v>387</v>
      </c>
      <c r="B56" s="84" t="s">
        <v>388</v>
      </c>
      <c r="C56" s="66" t="s">
        <v>389</v>
      </c>
      <c r="D56" s="66" t="s">
        <v>389</v>
      </c>
      <c r="E56" s="286">
        <f>93.014+102.14-29.897</f>
        <v>165.25700000000001</v>
      </c>
      <c r="F56" s="290">
        <f>96.421+115.062-29.068</f>
        <v>182.41499999999999</v>
      </c>
      <c r="G56" s="290">
        <f>94.731+141.166-42.054</f>
        <v>193.84299999999999</v>
      </c>
      <c r="H56" s="290">
        <f>93.573+135.374-28.816</f>
        <v>200.131</v>
      </c>
      <c r="I56" s="289">
        <f>94.782+147.742-28.334</f>
        <v>214.19</v>
      </c>
      <c r="J56" s="285">
        <f>103.597+151.037-40.446</f>
        <v>214.18800000000002</v>
      </c>
      <c r="K56" s="285">
        <f>106.32+140.792-83.331</f>
        <v>163.78100000000001</v>
      </c>
      <c r="L56" s="286">
        <f>136.694+110.061</f>
        <v>246.755</v>
      </c>
      <c r="M56" s="286">
        <f>87.187+141.503</f>
        <v>228.69</v>
      </c>
      <c r="N56" s="286">
        <f>146.643+23.134</f>
        <v>169.77699999999999</v>
      </c>
      <c r="O56" s="286">
        <f>160.042013+25.180222</f>
        <v>185.22223500000001</v>
      </c>
      <c r="P56" s="286">
        <v>164.1</v>
      </c>
      <c r="Q56" s="286">
        <v>179.9</v>
      </c>
      <c r="R56" s="286">
        <v>181</v>
      </c>
      <c r="S56" s="286">
        <v>183.1</v>
      </c>
      <c r="T56" s="286">
        <v>184.3</v>
      </c>
      <c r="V56" s="286">
        <v>188.67789999999999</v>
      </c>
      <c r="W56" s="286">
        <v>192.71881379999999</v>
      </c>
      <c r="X56" s="286">
        <v>197.03634651740001</v>
      </c>
    </row>
    <row r="57" spans="1:24" s="291" customFormat="1" ht="16.5" customHeight="1" x14ac:dyDescent="0.3">
      <c r="A57" s="76" t="s">
        <v>390</v>
      </c>
      <c r="B57" s="84" t="s">
        <v>352</v>
      </c>
      <c r="C57" s="66" t="s">
        <v>391</v>
      </c>
      <c r="D57" s="66" t="s">
        <v>391</v>
      </c>
      <c r="E57" s="286">
        <f t="shared" ref="E57:O57" si="21">E52-E53-E54</f>
        <v>207.94100000000014</v>
      </c>
      <c r="F57" s="286">
        <f t="shared" si="21"/>
        <v>433.82400000000001</v>
      </c>
      <c r="G57" s="286">
        <f t="shared" si="21"/>
        <v>275.91399999999999</v>
      </c>
      <c r="H57" s="286">
        <f t="shared" si="21"/>
        <v>486.34700000000004</v>
      </c>
      <c r="I57" s="285">
        <f t="shared" si="21"/>
        <v>534.67499999999995</v>
      </c>
      <c r="J57" s="285">
        <f t="shared" si="21"/>
        <v>713.93599999999992</v>
      </c>
      <c r="K57" s="285">
        <f t="shared" si="21"/>
        <v>736.20999999999992</v>
      </c>
      <c r="L57" s="286">
        <f>L52-L53-L54</f>
        <v>619.94499999999994</v>
      </c>
      <c r="M57" s="286">
        <f t="shared" si="21"/>
        <v>580.86300000000006</v>
      </c>
      <c r="N57" s="286">
        <f t="shared" si="21"/>
        <v>718.17899999999997</v>
      </c>
      <c r="O57" s="286">
        <f t="shared" si="21"/>
        <v>756.238022</v>
      </c>
      <c r="P57" s="286">
        <v>117.06299999999996</v>
      </c>
      <c r="Q57" s="286">
        <v>118.41499999999999</v>
      </c>
      <c r="R57" s="286">
        <v>144.16300000000001</v>
      </c>
      <c r="S57" s="286">
        <v>137.21399999999997</v>
      </c>
      <c r="T57" s="286">
        <v>136.703</v>
      </c>
      <c r="V57" s="286">
        <v>144.16300000000001</v>
      </c>
      <c r="W57" s="286">
        <v>137.21399999999997</v>
      </c>
      <c r="X57" s="286">
        <v>136.703</v>
      </c>
    </row>
    <row r="58" spans="1:24" s="291" customFormat="1" ht="18" customHeight="1" x14ac:dyDescent="0.3">
      <c r="A58" s="93" t="s">
        <v>392</v>
      </c>
      <c r="B58" s="94" t="s">
        <v>340</v>
      </c>
      <c r="C58" s="66" t="s">
        <v>272</v>
      </c>
      <c r="D58" s="66" t="s">
        <v>341</v>
      </c>
      <c r="E58" s="286">
        <f>891.537-891.537+921.194</f>
        <v>921.19399999999996</v>
      </c>
      <c r="F58" s="286">
        <f>916.245-916.245+933.641</f>
        <v>933.64099999999996</v>
      </c>
      <c r="G58" s="290">
        <f>877.284-877.284+882.742</f>
        <v>882.74199999999996</v>
      </c>
      <c r="H58" s="286">
        <f>1079.231-1079.231+1102.972</f>
        <v>1102.972</v>
      </c>
      <c r="I58" s="285">
        <f>1283.267-1283.267+1311.694</f>
        <v>1311.694</v>
      </c>
      <c r="J58" s="285">
        <f>1387.038-1387.038+1417.569</f>
        <v>1417.569</v>
      </c>
      <c r="K58" s="285">
        <f>1443.601-1443.601+1477.021</f>
        <v>1477.021</v>
      </c>
      <c r="L58" s="286">
        <f>1379.407-1379.407+1415.109</f>
        <v>1415.1089999999999</v>
      </c>
      <c r="M58" s="286">
        <f>1335.808-1335.808+1372.964</f>
        <v>1372.9639999999999</v>
      </c>
      <c r="N58" s="286">
        <f>1186.126-1186.126+1179.442-1179.442+1216.504</f>
        <v>1216.5039999999999</v>
      </c>
      <c r="O58" s="286">
        <f>1175.694-1175.694+1207.231</f>
        <v>1207.231</v>
      </c>
      <c r="P58" s="286">
        <v>1124.79</v>
      </c>
      <c r="Q58" s="286">
        <v>1134.982</v>
      </c>
      <c r="R58" s="286">
        <v>1057.1389999999999</v>
      </c>
      <c r="S58" s="286">
        <v>1000.609</v>
      </c>
      <c r="T58" s="286">
        <v>1012.247</v>
      </c>
      <c r="V58" s="286">
        <v>1057.1389999999999</v>
      </c>
      <c r="W58" s="286">
        <v>1000.609</v>
      </c>
      <c r="X58" s="286">
        <v>1012.247</v>
      </c>
    </row>
    <row r="59" spans="1:24" s="291" customFormat="1" ht="16.5" customHeight="1" x14ac:dyDescent="0.3">
      <c r="A59" s="95" t="s">
        <v>50</v>
      </c>
      <c r="B59" s="94" t="s">
        <v>347</v>
      </c>
      <c r="C59" s="66" t="s">
        <v>272</v>
      </c>
      <c r="D59" s="66" t="s">
        <v>349</v>
      </c>
      <c r="E59" s="286">
        <f>891.537-891.537+921.194</f>
        <v>921.19399999999996</v>
      </c>
      <c r="F59" s="286">
        <f>916.245-916.245+933.641</f>
        <v>933.64099999999996</v>
      </c>
      <c r="G59" s="290">
        <f>877.284-877.284+882.742</f>
        <v>882.74199999999996</v>
      </c>
      <c r="H59" s="286">
        <f>1079.231-1079.231+1102.972</f>
        <v>1102.972</v>
      </c>
      <c r="I59" s="285">
        <f>1283.267-1283.267+1311.694</f>
        <v>1311.694</v>
      </c>
      <c r="J59" s="285">
        <f>1387.038-1387.038+1417.569</f>
        <v>1417.569</v>
      </c>
      <c r="K59" s="285">
        <f>1443.601-1443.601+1477.021</f>
        <v>1477.021</v>
      </c>
      <c r="L59" s="286">
        <f>1379.407-1379.407+1415.109</f>
        <v>1415.1089999999999</v>
      </c>
      <c r="M59" s="286">
        <f>1335.808-1335.808+1372.964</f>
        <v>1372.9639999999999</v>
      </c>
      <c r="N59" s="286">
        <f>1186.126-1186.126+1179.442-1179.442+1216.504</f>
        <v>1216.5039999999999</v>
      </c>
      <c r="O59" s="286">
        <f>1175.694-1175.694+1207.231</f>
        <v>1207.231</v>
      </c>
      <c r="P59" s="286">
        <v>1124.79</v>
      </c>
      <c r="Q59" s="286">
        <v>1134.982</v>
      </c>
      <c r="R59" s="286">
        <v>1057.1389999999999</v>
      </c>
      <c r="S59" s="286">
        <v>1000.609</v>
      </c>
      <c r="T59" s="286">
        <v>1012.247</v>
      </c>
      <c r="U59" s="284"/>
      <c r="V59" s="286">
        <v>1057.1389999999999</v>
      </c>
      <c r="W59" s="286">
        <v>1000.609</v>
      </c>
      <c r="X59" s="286">
        <v>1012.247</v>
      </c>
    </row>
    <row r="60" spans="1:24" s="291" customFormat="1" ht="16.5" customHeight="1" x14ac:dyDescent="0.3">
      <c r="A60" s="95" t="s">
        <v>393</v>
      </c>
      <c r="B60" s="94" t="s">
        <v>394</v>
      </c>
      <c r="C60" s="83" t="s">
        <v>395</v>
      </c>
      <c r="D60" s="83" t="s">
        <v>395</v>
      </c>
      <c r="E60" s="286">
        <v>0</v>
      </c>
      <c r="F60" s="286">
        <v>0</v>
      </c>
      <c r="G60" s="286">
        <v>0</v>
      </c>
      <c r="H60" s="286">
        <v>0</v>
      </c>
      <c r="I60" s="285">
        <v>0</v>
      </c>
      <c r="J60" s="285">
        <v>0</v>
      </c>
      <c r="K60" s="285">
        <f>0.003-0.003</f>
        <v>0</v>
      </c>
      <c r="L60" s="285">
        <v>0</v>
      </c>
      <c r="M60" s="285">
        <v>0</v>
      </c>
      <c r="N60" s="285">
        <v>0</v>
      </c>
      <c r="O60" s="285">
        <v>0</v>
      </c>
      <c r="P60" s="285">
        <v>0</v>
      </c>
      <c r="Q60" s="285">
        <v>0</v>
      </c>
      <c r="R60" s="285">
        <v>0</v>
      </c>
      <c r="S60" s="285">
        <v>0</v>
      </c>
      <c r="T60" s="285">
        <v>0</v>
      </c>
      <c r="V60" s="285">
        <v>0</v>
      </c>
      <c r="W60" s="285">
        <v>0</v>
      </c>
      <c r="X60" s="285">
        <v>0</v>
      </c>
    </row>
    <row r="61" spans="1:24" s="291" customFormat="1" ht="16.5" customHeight="1" x14ac:dyDescent="0.3">
      <c r="A61" s="93" t="s">
        <v>52</v>
      </c>
      <c r="B61" s="94" t="s">
        <v>396</v>
      </c>
      <c r="C61" s="66" t="s">
        <v>397</v>
      </c>
      <c r="D61" s="66" t="s">
        <v>398</v>
      </c>
      <c r="E61" s="286">
        <f>11147.478-11147.478+11147.482</f>
        <v>11147.482</v>
      </c>
      <c r="F61" s="286">
        <f>12334.676-12334.676+12334.68</f>
        <v>12334.68</v>
      </c>
      <c r="G61" s="286">
        <f>13234.156-13234.156+13234.159</f>
        <v>13234.159</v>
      </c>
      <c r="H61" s="286">
        <f>13213.632-13213.632+13213.635</f>
        <v>13213.635</v>
      </c>
      <c r="I61" s="285">
        <f>13743.613-13743.613+13743.616</f>
        <v>13743.616</v>
      </c>
      <c r="J61" s="285">
        <f>14097.725-14097.725+14097.726</f>
        <v>14097.726000000001</v>
      </c>
      <c r="K61" s="285">
        <f>14500.93-14500.93+14500.932</f>
        <v>14500.932000000001</v>
      </c>
      <c r="L61" s="286">
        <f>14960.204-14960.204+14960.206</f>
        <v>14960.206</v>
      </c>
      <c r="M61" s="286">
        <f>15519.974-15519.974+15519.976</f>
        <v>15519.976000000001</v>
      </c>
      <c r="N61" s="286">
        <f>15714.925-15714.925+15715.277-15715.277+15715.28</f>
        <v>15715.28</v>
      </c>
      <c r="O61" s="286">
        <f>16334.163-16334.163+16331.614</f>
        <v>16331.614</v>
      </c>
      <c r="P61" s="286">
        <v>16959.148999999998</v>
      </c>
      <c r="Q61" s="286">
        <v>17570.977999999999</v>
      </c>
      <c r="R61" s="286">
        <v>18294.754000000001</v>
      </c>
      <c r="S61" s="286">
        <v>18927.414000000001</v>
      </c>
      <c r="T61" s="286">
        <v>19623.858</v>
      </c>
      <c r="V61" s="286">
        <v>17895.373</v>
      </c>
      <c r="W61" s="286">
        <v>18502.771000000001</v>
      </c>
      <c r="X61" s="286">
        <v>19177.244999999999</v>
      </c>
    </row>
    <row r="62" spans="1:24" ht="16.5" customHeight="1" x14ac:dyDescent="0.3">
      <c r="A62" s="76" t="s">
        <v>399</v>
      </c>
      <c r="B62" s="65" t="s">
        <v>400</v>
      </c>
      <c r="C62" s="66" t="s">
        <v>272</v>
      </c>
      <c r="D62" s="66" t="s">
        <v>401</v>
      </c>
      <c r="E62" s="286">
        <f>7987.782-7987.782+7987.786</f>
        <v>7987.7860000000001</v>
      </c>
      <c r="F62" s="286">
        <f>9049.218-9049.218+9049.222</f>
        <v>9049.2219999999998</v>
      </c>
      <c r="G62" s="286">
        <f>9752.247-9752.247+9752.25</f>
        <v>9752.25</v>
      </c>
      <c r="H62" s="286">
        <f>9820.762-9820.762+9820.765</f>
        <v>9820.7649999999994</v>
      </c>
      <c r="I62" s="285">
        <f>10242.103-10242.103+10242.106</f>
        <v>10242.106</v>
      </c>
      <c r="J62" s="285">
        <f>10433.272-10433.272+10443.273-10443.273+10433.273</f>
        <v>10433.272999999999</v>
      </c>
      <c r="K62" s="285">
        <f>10670.954-10670.954+10670.956</f>
        <v>10670.956</v>
      </c>
      <c r="L62" s="286">
        <f>10967.34-10967.34+10967.342</f>
        <v>10967.342000000001</v>
      </c>
      <c r="M62" s="286">
        <f>11281.543-11281.543+11281.545</f>
        <v>11281.545</v>
      </c>
      <c r="N62" s="286">
        <f>11468.383-11468.383+11468.735-11468.735+11468.738</f>
        <v>11468.737999999999</v>
      </c>
      <c r="O62" s="286">
        <v>11856.325999999999</v>
      </c>
      <c r="P62" s="286">
        <v>12200.647999999999</v>
      </c>
      <c r="Q62" s="286">
        <v>12639.578</v>
      </c>
      <c r="R62" s="286">
        <v>13127.245999999999</v>
      </c>
      <c r="S62" s="286">
        <v>13504.902</v>
      </c>
      <c r="T62" s="286">
        <v>13945.376</v>
      </c>
      <c r="V62" s="286">
        <v>12790.88</v>
      </c>
      <c r="W62" s="286">
        <v>13149.619000000001</v>
      </c>
      <c r="X62" s="286">
        <v>13573.562</v>
      </c>
    </row>
    <row r="63" spans="1:24" ht="16.5" customHeight="1" x14ac:dyDescent="0.3">
      <c r="A63" s="96" t="s">
        <v>402</v>
      </c>
      <c r="B63" s="68" t="s">
        <v>403</v>
      </c>
      <c r="C63" s="83" t="s">
        <v>404</v>
      </c>
      <c r="D63" s="83" t="s">
        <v>404</v>
      </c>
      <c r="E63" s="286">
        <v>70.034000000000006</v>
      </c>
      <c r="F63" s="286">
        <v>56.390999999999998</v>
      </c>
      <c r="G63" s="286">
        <v>104.119</v>
      </c>
      <c r="H63" s="286">
        <v>72.921000000000006</v>
      </c>
      <c r="I63" s="285">
        <v>57.134</v>
      </c>
      <c r="J63" s="285">
        <v>38.021999999999998</v>
      </c>
      <c r="K63" s="285">
        <v>50.674999999999997</v>
      </c>
      <c r="L63" s="286">
        <v>39.174999999999997</v>
      </c>
      <c r="M63" s="286">
        <v>69.275999999999996</v>
      </c>
      <c r="N63" s="286">
        <v>53.323</v>
      </c>
      <c r="O63" s="286">
        <v>53.108972999999999</v>
      </c>
      <c r="P63" s="286">
        <v>51.896000000000001</v>
      </c>
      <c r="Q63" s="286">
        <v>62.431000000000012</v>
      </c>
      <c r="R63" s="286">
        <v>60.423000000000002</v>
      </c>
      <c r="S63" s="286">
        <v>61.88</v>
      </c>
      <c r="T63" s="286">
        <v>62.015999999999998</v>
      </c>
      <c r="V63" s="286">
        <v>60.423000000000002</v>
      </c>
      <c r="W63" s="286">
        <v>61.88</v>
      </c>
      <c r="X63" s="286">
        <v>62.015999999999998</v>
      </c>
    </row>
    <row r="64" spans="1:24" ht="16.5" customHeight="1" x14ac:dyDescent="0.3">
      <c r="A64" s="96" t="s">
        <v>405</v>
      </c>
      <c r="B64" s="68" t="s">
        <v>406</v>
      </c>
      <c r="C64" s="83" t="s">
        <v>407</v>
      </c>
      <c r="D64" s="83" t="s">
        <v>407</v>
      </c>
      <c r="E64" s="286">
        <v>246.61600000000001</v>
      </c>
      <c r="F64" s="286">
        <v>316.95999999999998</v>
      </c>
      <c r="G64" s="286">
        <v>338.78500000000003</v>
      </c>
      <c r="H64" s="286">
        <v>381.76400000000001</v>
      </c>
      <c r="I64" s="285">
        <v>428.45800000000003</v>
      </c>
      <c r="J64" s="285">
        <f>399.742+4.453</f>
        <v>404.19499999999999</v>
      </c>
      <c r="K64" s="285">
        <f>381.109+5.313</f>
        <v>386.42199999999997</v>
      </c>
      <c r="L64" s="286">
        <f>415.455+5.459</f>
        <v>420.91399999999999</v>
      </c>
      <c r="M64" s="286">
        <f>474.254+4.84</f>
        <v>479.09399999999999</v>
      </c>
      <c r="N64" s="286">
        <f>565.377+5.342</f>
        <v>570.71899999999994</v>
      </c>
      <c r="O64" s="286">
        <f>661.898+5.27</f>
        <v>667.16800000000001</v>
      </c>
      <c r="P64" s="286">
        <v>697.47799999999995</v>
      </c>
      <c r="Q64" s="286">
        <v>771.51099999999997</v>
      </c>
      <c r="R64" s="286">
        <v>735.88400000000001</v>
      </c>
      <c r="S64" s="286">
        <v>776.12300000000005</v>
      </c>
      <c r="T64" s="286">
        <v>818.60900000000004</v>
      </c>
      <c r="V64" s="286">
        <v>735.88400000000001</v>
      </c>
      <c r="W64" s="286">
        <v>776.12300000000005</v>
      </c>
      <c r="X64" s="286">
        <v>818.60900000000004</v>
      </c>
    </row>
    <row r="65" spans="1:24" ht="16.5" customHeight="1" x14ac:dyDescent="0.3">
      <c r="A65" s="96" t="s">
        <v>408</v>
      </c>
      <c r="B65" s="68" t="s">
        <v>409</v>
      </c>
      <c r="C65" s="83" t="s">
        <v>410</v>
      </c>
      <c r="D65" s="66" t="s">
        <v>411</v>
      </c>
      <c r="E65" s="286">
        <v>4531.942</v>
      </c>
      <c r="F65" s="286">
        <v>5034.7359999999999</v>
      </c>
      <c r="G65" s="286">
        <v>5244.51</v>
      </c>
      <c r="H65" s="286">
        <v>5390.7460000000001</v>
      </c>
      <c r="I65" s="285">
        <v>5639.5029999999997</v>
      </c>
      <c r="J65" s="285">
        <f>5893.823+157.393+1.815</f>
        <v>6053.0309999999999</v>
      </c>
      <c r="K65" s="285">
        <f>6240.862+173.728+1.904</f>
        <v>6416.4940000000006</v>
      </c>
      <c r="L65" s="286">
        <f>6414.203+182.59</f>
        <v>6596.7930000000006</v>
      </c>
      <c r="M65" s="286">
        <f>6485.127+344.68</f>
        <v>6829.8070000000007</v>
      </c>
      <c r="N65" s="286">
        <f>6765.925+362.527+0.368</f>
        <v>7128.8200000000006</v>
      </c>
      <c r="O65" s="286">
        <f>7047.299+375.334+0.363</f>
        <v>7422.9960000000001</v>
      </c>
      <c r="P65" s="286">
        <v>7735.0169999999998</v>
      </c>
      <c r="Q65" s="286">
        <v>7752.8040000000001</v>
      </c>
      <c r="R65" s="286">
        <v>8048.8549999999996</v>
      </c>
      <c r="S65" s="286">
        <v>8290.5810000000001</v>
      </c>
      <c r="T65" s="286">
        <v>8573.7790000000005</v>
      </c>
      <c r="U65" s="284"/>
      <c r="V65" s="286">
        <v>8016.9549999999999</v>
      </c>
      <c r="W65" s="286">
        <v>8245.4809999999998</v>
      </c>
      <c r="X65" s="286">
        <v>8516.4</v>
      </c>
    </row>
    <row r="66" spans="1:24" ht="16.5" customHeight="1" x14ac:dyDescent="0.3">
      <c r="A66" s="96" t="s">
        <v>412</v>
      </c>
      <c r="B66" s="68" t="s">
        <v>413</v>
      </c>
      <c r="C66" s="83" t="s">
        <v>414</v>
      </c>
      <c r="D66" s="83" t="s">
        <v>414</v>
      </c>
      <c r="E66" s="286">
        <v>66.120999999999995</v>
      </c>
      <c r="F66" s="286">
        <v>172.43</v>
      </c>
      <c r="G66" s="286">
        <v>150.339</v>
      </c>
      <c r="H66" s="286">
        <v>163.334</v>
      </c>
      <c r="I66" s="286">
        <v>175.773</v>
      </c>
      <c r="J66" s="286">
        <v>174.30799999999999</v>
      </c>
      <c r="K66" s="286">
        <v>154.721</v>
      </c>
      <c r="L66" s="286">
        <v>158.624</v>
      </c>
      <c r="M66" s="286">
        <v>171.63</v>
      </c>
      <c r="N66" s="286">
        <v>167.655</v>
      </c>
      <c r="O66" s="286">
        <v>183.74527900000001</v>
      </c>
      <c r="P66" s="286">
        <v>165.24799999999999</v>
      </c>
      <c r="Q66" s="286">
        <v>201.91800000000001</v>
      </c>
      <c r="R66" s="286">
        <v>176.71299999999999</v>
      </c>
      <c r="S66" s="286">
        <v>171.983</v>
      </c>
      <c r="T66" s="286">
        <v>176.852</v>
      </c>
      <c r="V66" s="286">
        <v>176.71299999999999</v>
      </c>
      <c r="W66" s="286">
        <v>171.983</v>
      </c>
      <c r="X66" s="286">
        <v>176.852</v>
      </c>
    </row>
    <row r="67" spans="1:24" ht="16.5" customHeight="1" x14ac:dyDescent="0.3">
      <c r="A67" s="96" t="s">
        <v>415</v>
      </c>
      <c r="B67" s="68" t="s">
        <v>416</v>
      </c>
      <c r="C67" s="83" t="s">
        <v>417</v>
      </c>
      <c r="D67" s="83" t="s">
        <v>417</v>
      </c>
      <c r="E67" s="286">
        <f t="shared" ref="E67:M67" si="22">SUM(E68:E73)</f>
        <v>1086.5720000000001</v>
      </c>
      <c r="F67" s="286">
        <f t="shared" si="22"/>
        <v>1211.0309999999999</v>
      </c>
      <c r="G67" s="286">
        <f t="shared" si="22"/>
        <v>1364.961</v>
      </c>
      <c r="H67" s="286">
        <f t="shared" si="22"/>
        <v>1376.3489999999999</v>
      </c>
      <c r="I67" s="286">
        <f t="shared" si="22"/>
        <v>1381.508</v>
      </c>
      <c r="J67" s="286">
        <f t="shared" si="22"/>
        <v>1374.616</v>
      </c>
      <c r="K67" s="286">
        <f t="shared" si="22"/>
        <v>1362.7940000000001</v>
      </c>
      <c r="L67" s="286">
        <f t="shared" si="22"/>
        <v>1336.7550000000001</v>
      </c>
      <c r="M67" s="286">
        <f t="shared" si="22"/>
        <v>1320.384</v>
      </c>
      <c r="N67" s="286">
        <f t="shared" ref="N67:O67" si="23">SUM(N68:N73)</f>
        <v>1318.087</v>
      </c>
      <c r="O67" s="286">
        <f t="shared" si="23"/>
        <v>1346.0884320000002</v>
      </c>
      <c r="P67" s="286">
        <v>1457.03</v>
      </c>
      <c r="Q67" s="286">
        <v>1541.8519999999999</v>
      </c>
      <c r="R67" s="286">
        <v>1754.4359999999999</v>
      </c>
      <c r="S67" s="286">
        <v>1781.741</v>
      </c>
      <c r="T67" s="286">
        <v>1813.615</v>
      </c>
      <c r="V67" s="286">
        <v>1449.9699999999998</v>
      </c>
      <c r="W67" s="286">
        <v>1471.558</v>
      </c>
      <c r="X67" s="286">
        <v>1499.18</v>
      </c>
    </row>
    <row r="68" spans="1:24" ht="16.5" customHeight="1" x14ac:dyDescent="0.3">
      <c r="A68" s="73" t="s">
        <v>418</v>
      </c>
      <c r="B68" s="68" t="s">
        <v>419</v>
      </c>
      <c r="C68" s="83" t="s">
        <v>420</v>
      </c>
      <c r="D68" s="83" t="s">
        <v>420</v>
      </c>
      <c r="E68" s="286">
        <v>268.47500000000002</v>
      </c>
      <c r="F68" s="286">
        <v>308.18900000000002</v>
      </c>
      <c r="G68" s="286">
        <v>318.96699999999998</v>
      </c>
      <c r="H68" s="286">
        <v>315.02</v>
      </c>
      <c r="I68" s="286">
        <v>316.46300000000002</v>
      </c>
      <c r="J68" s="286">
        <v>318.49400000000003</v>
      </c>
      <c r="K68" s="286">
        <v>319.09399999999999</v>
      </c>
      <c r="L68" s="286">
        <v>315.59899999999999</v>
      </c>
      <c r="M68" s="286">
        <v>312.83800000000002</v>
      </c>
      <c r="N68" s="286">
        <v>311.06200000000001</v>
      </c>
      <c r="O68" s="286">
        <v>312.72126300000002</v>
      </c>
      <c r="P68" s="286">
        <v>320.75200000000001</v>
      </c>
      <c r="Q68" s="286">
        <v>322.512</v>
      </c>
      <c r="R68" s="286">
        <v>328.05</v>
      </c>
      <c r="S68" s="286">
        <v>334.55</v>
      </c>
      <c r="T68" s="286">
        <v>341.8</v>
      </c>
      <c r="V68" s="286">
        <v>321.97800000000001</v>
      </c>
      <c r="W68" s="286">
        <v>328.30599999999998</v>
      </c>
      <c r="X68" s="286">
        <v>335.38099999999997</v>
      </c>
    </row>
    <row r="69" spans="1:24" ht="16.5" customHeight="1" x14ac:dyDescent="0.3">
      <c r="A69" s="73" t="s">
        <v>421</v>
      </c>
      <c r="B69" s="68" t="s">
        <v>422</v>
      </c>
      <c r="C69" s="83" t="s">
        <v>423</v>
      </c>
      <c r="D69" s="83" t="s">
        <v>423</v>
      </c>
      <c r="E69" s="286">
        <v>22.914999999999999</v>
      </c>
      <c r="F69" s="286">
        <v>8.7729999999999997</v>
      </c>
      <c r="G69" s="286">
        <v>8.8369999999999997</v>
      </c>
      <c r="H69" s="286">
        <v>8.8719999999999999</v>
      </c>
      <c r="I69" s="286">
        <v>8.8829999999999991</v>
      </c>
      <c r="J69" s="286">
        <v>8.9819999999999993</v>
      </c>
      <c r="K69" s="286">
        <v>35.101999999999997</v>
      </c>
      <c r="L69" s="286">
        <v>41.463000000000001</v>
      </c>
      <c r="M69" s="286">
        <v>43.89</v>
      </c>
      <c r="N69" s="286">
        <v>44.012</v>
      </c>
      <c r="O69" s="286">
        <v>44.011204999999997</v>
      </c>
      <c r="P69" s="286">
        <v>48.814</v>
      </c>
      <c r="Q69" s="286">
        <v>45.78</v>
      </c>
      <c r="R69" s="286">
        <v>44.8</v>
      </c>
      <c r="S69" s="286">
        <v>45</v>
      </c>
      <c r="T69" s="286">
        <v>45.8</v>
      </c>
      <c r="V69" s="286">
        <v>44.8</v>
      </c>
      <c r="W69" s="286">
        <v>45</v>
      </c>
      <c r="X69" s="286">
        <v>45.8</v>
      </c>
    </row>
    <row r="70" spans="1:24" ht="16.5" customHeight="1" x14ac:dyDescent="0.3">
      <c r="A70" s="73" t="s">
        <v>424</v>
      </c>
      <c r="B70" s="68" t="s">
        <v>425</v>
      </c>
      <c r="C70" s="83" t="s">
        <v>426</v>
      </c>
      <c r="D70" s="83" t="s">
        <v>426</v>
      </c>
      <c r="E70" s="286">
        <v>0</v>
      </c>
      <c r="F70" s="290">
        <v>268.46499999999997</v>
      </c>
      <c r="G70" s="290">
        <v>334.488</v>
      </c>
      <c r="H70" s="290">
        <v>352.24</v>
      </c>
      <c r="I70" s="290">
        <v>343.54300000000001</v>
      </c>
      <c r="J70" s="286">
        <v>349.31599999999997</v>
      </c>
      <c r="K70" s="286">
        <v>356.00200000000001</v>
      </c>
      <c r="L70" s="286">
        <v>355.279</v>
      </c>
      <c r="M70" s="286">
        <v>352.44400000000002</v>
      </c>
      <c r="N70" s="286">
        <v>361.29899999999998</v>
      </c>
      <c r="O70" s="286">
        <v>368.68789400000003</v>
      </c>
      <c r="P70" s="286">
        <v>382.06200000000001</v>
      </c>
      <c r="Q70" s="286">
        <v>376.34100000000001</v>
      </c>
      <c r="R70" s="286">
        <v>551.27</v>
      </c>
      <c r="S70" s="286">
        <v>564.10500000000002</v>
      </c>
      <c r="T70" s="286">
        <v>577.14400000000001</v>
      </c>
      <c r="V70" s="286">
        <v>387.47</v>
      </c>
      <c r="W70" s="286">
        <v>395.10500000000002</v>
      </c>
      <c r="X70" s="286">
        <v>404.14400000000001</v>
      </c>
    </row>
    <row r="71" spans="1:24" ht="16.5" customHeight="1" x14ac:dyDescent="0.3">
      <c r="A71" s="73" t="s">
        <v>427</v>
      </c>
      <c r="B71" s="68" t="s">
        <v>428</v>
      </c>
      <c r="C71" s="83" t="s">
        <v>429</v>
      </c>
      <c r="D71" s="83" t="s">
        <v>429</v>
      </c>
      <c r="E71" s="286">
        <v>247.214</v>
      </c>
      <c r="F71" s="290">
        <v>275.601</v>
      </c>
      <c r="G71" s="290">
        <v>322.87700000000001</v>
      </c>
      <c r="H71" s="290">
        <v>313.17500000000001</v>
      </c>
      <c r="I71" s="290">
        <v>308.98899999999998</v>
      </c>
      <c r="J71" s="286">
        <v>273.64400000000001</v>
      </c>
      <c r="K71" s="286">
        <v>244.45699999999999</v>
      </c>
      <c r="L71" s="286">
        <v>213.18100000000001</v>
      </c>
      <c r="M71" s="286">
        <v>182.68600000000001</v>
      </c>
      <c r="N71" s="286">
        <v>153.786</v>
      </c>
      <c r="O71" s="286">
        <f>125.011315-125.011315+124.999</f>
        <v>124.999</v>
      </c>
      <c r="P71" s="286">
        <v>145.27000000000001</v>
      </c>
      <c r="Q71" s="286">
        <v>117.05100000000002</v>
      </c>
      <c r="R71" s="286">
        <v>123.4</v>
      </c>
      <c r="S71" s="286">
        <v>123.4</v>
      </c>
      <c r="T71" s="286">
        <v>124.89</v>
      </c>
      <c r="V71" s="286">
        <v>123.4</v>
      </c>
      <c r="W71" s="286">
        <v>123.4</v>
      </c>
      <c r="X71" s="286">
        <v>124.89</v>
      </c>
    </row>
    <row r="72" spans="1:24" ht="16.5" customHeight="1" x14ac:dyDescent="0.3">
      <c r="A72" s="73" t="s">
        <v>430</v>
      </c>
      <c r="B72" s="68" t="s">
        <v>431</v>
      </c>
      <c r="C72" s="83" t="s">
        <v>432</v>
      </c>
      <c r="D72" s="83" t="s">
        <v>432</v>
      </c>
      <c r="E72" s="286">
        <v>177.84200000000001</v>
      </c>
      <c r="F72" s="290">
        <v>184.589</v>
      </c>
      <c r="G72" s="290">
        <v>207.06299999999999</v>
      </c>
      <c r="H72" s="290">
        <v>210.56700000000001</v>
      </c>
      <c r="I72" s="290">
        <v>225.48699999999999</v>
      </c>
      <c r="J72" s="286">
        <v>232.52099999999999</v>
      </c>
      <c r="K72" s="286">
        <v>235.774</v>
      </c>
      <c r="L72" s="286">
        <v>231.63499999999999</v>
      </c>
      <c r="M72" s="286">
        <v>226.34299999999999</v>
      </c>
      <c r="N72" s="286">
        <v>243.81100000000001</v>
      </c>
      <c r="O72" s="286">
        <v>292.86207000000002</v>
      </c>
      <c r="P72" s="286">
        <v>376.13499999999999</v>
      </c>
      <c r="Q72" s="286">
        <v>379.11</v>
      </c>
      <c r="R72" s="286">
        <v>424.11799999999999</v>
      </c>
      <c r="S72" s="286">
        <v>433.245</v>
      </c>
      <c r="T72" s="286">
        <v>442.88200000000001</v>
      </c>
      <c r="V72" s="286">
        <v>380.99900000000002</v>
      </c>
      <c r="W72" s="286">
        <v>388.25400000000002</v>
      </c>
      <c r="X72" s="286">
        <v>396.60399999999998</v>
      </c>
    </row>
    <row r="73" spans="1:24" ht="16.5" customHeight="1" x14ac:dyDescent="0.3">
      <c r="A73" s="73" t="s">
        <v>116</v>
      </c>
      <c r="B73" s="68" t="s">
        <v>352</v>
      </c>
      <c r="C73" s="83" t="s">
        <v>433</v>
      </c>
      <c r="D73" s="83" t="s">
        <v>433</v>
      </c>
      <c r="E73" s="286">
        <v>370.12599999999998</v>
      </c>
      <c r="F73" s="290">
        <v>165.41399999999999</v>
      </c>
      <c r="G73" s="290">
        <v>172.72900000000001</v>
      </c>
      <c r="H73" s="290">
        <v>176.47499999999999</v>
      </c>
      <c r="I73" s="290">
        <v>178.143</v>
      </c>
      <c r="J73" s="286">
        <v>191.65899999999999</v>
      </c>
      <c r="K73" s="286">
        <v>172.36500000000001</v>
      </c>
      <c r="L73" s="286">
        <v>179.59800000000001</v>
      </c>
      <c r="M73" s="286">
        <v>202.18299999999999</v>
      </c>
      <c r="N73" s="286">
        <v>204.11699999999999</v>
      </c>
      <c r="O73" s="286">
        <f>207.410674-207.410674+202.807</f>
        <v>202.80699999999999</v>
      </c>
      <c r="P73" s="286">
        <f t="shared" ref="P73:Q73" si="24">P67-SUM(P68:P72)</f>
        <v>183.99700000000007</v>
      </c>
      <c r="Q73" s="286">
        <f t="shared" si="24"/>
        <v>301.05799999999977</v>
      </c>
      <c r="R73" s="286">
        <v>282.798</v>
      </c>
      <c r="S73" s="286">
        <v>281.4409999999998</v>
      </c>
      <c r="T73" s="286">
        <v>281.09899999999993</v>
      </c>
      <c r="V73" s="286">
        <v>191.32299999999987</v>
      </c>
      <c r="W73" s="286">
        <v>191.49299999999994</v>
      </c>
      <c r="X73" s="286">
        <v>192.3610000000001</v>
      </c>
    </row>
    <row r="74" spans="1:24" ht="16.5" customHeight="1" x14ac:dyDescent="0.3">
      <c r="A74" s="96" t="s">
        <v>434</v>
      </c>
      <c r="B74" s="68" t="s">
        <v>435</v>
      </c>
      <c r="C74" s="83" t="s">
        <v>436</v>
      </c>
      <c r="D74" s="83" t="s">
        <v>436</v>
      </c>
      <c r="E74" s="286">
        <f>1208.545</f>
        <v>1208.5450000000001</v>
      </c>
      <c r="F74" s="286">
        <f>1399.85</f>
        <v>1399.85</v>
      </c>
      <c r="G74" s="286">
        <f>1564.23</f>
        <v>1564.23</v>
      </c>
      <c r="H74" s="286">
        <f>1446.947</f>
        <v>1446.9469999999999</v>
      </c>
      <c r="I74" s="286">
        <f>1599.291</f>
        <v>1599.2909999999999</v>
      </c>
      <c r="J74" s="286">
        <f>1541.466</f>
        <v>1541.4659999999999</v>
      </c>
      <c r="K74" s="286">
        <v>1447.056</v>
      </c>
      <c r="L74" s="286">
        <f>1582.23+0.002</f>
        <v>1582.232</v>
      </c>
      <c r="M74" s="286">
        <v>1626.5160000000001</v>
      </c>
      <c r="N74" s="286">
        <v>1546.1389999999999</v>
      </c>
      <c r="O74" s="286">
        <f>1484.358277+0.0002</f>
        <v>1484.358477</v>
      </c>
      <c r="P74" s="286">
        <v>1406.134</v>
      </c>
      <c r="Q74" s="286">
        <v>1570.998</v>
      </c>
      <c r="R74" s="286">
        <v>1555.9090000000001</v>
      </c>
      <c r="S74" s="286">
        <v>1614.4290000000001</v>
      </c>
      <c r="T74" s="286">
        <v>1680.059</v>
      </c>
      <c r="V74" s="286">
        <v>1555.9090000000001</v>
      </c>
      <c r="W74" s="286">
        <v>1614.4290000000001</v>
      </c>
      <c r="X74" s="286">
        <v>1680.059</v>
      </c>
    </row>
    <row r="75" spans="1:24" ht="16.5" customHeight="1" x14ac:dyDescent="0.3">
      <c r="A75" s="97" t="s">
        <v>437</v>
      </c>
      <c r="B75" s="68" t="s">
        <v>438</v>
      </c>
      <c r="C75" s="83" t="s">
        <v>439</v>
      </c>
      <c r="D75" s="83" t="s">
        <v>439</v>
      </c>
      <c r="E75" s="286">
        <v>211.08799999999999</v>
      </c>
      <c r="F75" s="286">
        <v>235.84200000000001</v>
      </c>
      <c r="G75" s="286">
        <v>221.084</v>
      </c>
      <c r="H75" s="286">
        <v>237.16800000000001</v>
      </c>
      <c r="I75" s="286">
        <v>238.774</v>
      </c>
      <c r="J75" s="286">
        <v>262.14800000000002</v>
      </c>
      <c r="K75" s="286">
        <v>232.90899999999999</v>
      </c>
      <c r="L75" s="286">
        <v>227.756</v>
      </c>
      <c r="M75" s="286">
        <v>231.49600000000001</v>
      </c>
      <c r="N75" s="286">
        <v>242.91499999999999</v>
      </c>
      <c r="O75" s="286">
        <v>295.38083599999999</v>
      </c>
      <c r="P75" s="286">
        <v>259.54899999999998</v>
      </c>
      <c r="Q75" s="286">
        <v>281.983</v>
      </c>
      <c r="R75" s="286">
        <v>309.26100000000002</v>
      </c>
      <c r="S75" s="286">
        <v>332.15800000000002</v>
      </c>
      <c r="T75" s="286">
        <v>347.72800000000001</v>
      </c>
      <c r="V75" s="286">
        <v>309.26100000000002</v>
      </c>
      <c r="W75" s="286">
        <v>332.15800000000002</v>
      </c>
      <c r="X75" s="286">
        <v>347.72800000000001</v>
      </c>
    </row>
    <row r="76" spans="1:24" ht="16.5" customHeight="1" x14ac:dyDescent="0.3">
      <c r="A76" s="97" t="s">
        <v>440</v>
      </c>
      <c r="B76" s="68" t="s">
        <v>441</v>
      </c>
      <c r="C76" s="83" t="s">
        <v>442</v>
      </c>
      <c r="D76" s="83" t="s">
        <v>442</v>
      </c>
      <c r="E76" s="286">
        <v>997.45699999999999</v>
      </c>
      <c r="F76" s="286">
        <v>1162.3820000000001</v>
      </c>
      <c r="G76" s="286">
        <v>1341.2249999999999</v>
      </c>
      <c r="H76" s="286">
        <v>1207.549</v>
      </c>
      <c r="I76" s="286">
        <v>1358.204</v>
      </c>
      <c r="J76" s="286">
        <v>1276.828</v>
      </c>
      <c r="K76" s="286">
        <v>1211.5350000000001</v>
      </c>
      <c r="L76" s="286">
        <v>1351.6279999999999</v>
      </c>
      <c r="M76" s="286">
        <v>1392.1</v>
      </c>
      <c r="N76" s="286">
        <v>1300.135</v>
      </c>
      <c r="O76" s="286">
        <v>1188.977441</v>
      </c>
      <c r="P76" s="286">
        <v>1015</v>
      </c>
      <c r="Q76" s="286">
        <v>1172.2180000000001</v>
      </c>
      <c r="R76" s="286">
        <v>1134.4780000000001</v>
      </c>
      <c r="S76" s="286">
        <v>1196.6010000000001</v>
      </c>
      <c r="T76" s="286">
        <v>1233.1610000000001</v>
      </c>
      <c r="V76" s="286">
        <v>1134.4780000000001</v>
      </c>
      <c r="W76" s="286">
        <v>1196.6010000000001</v>
      </c>
      <c r="X76" s="286">
        <v>1233.1610000000001</v>
      </c>
    </row>
    <row r="77" spans="1:24" ht="16.5" customHeight="1" x14ac:dyDescent="0.3">
      <c r="A77" s="75" t="s">
        <v>443</v>
      </c>
      <c r="B77" s="65" t="s">
        <v>444</v>
      </c>
      <c r="C77" s="83" t="s">
        <v>445</v>
      </c>
      <c r="D77" s="83" t="s">
        <v>446</v>
      </c>
      <c r="E77" s="285">
        <v>3159.6959999999999</v>
      </c>
      <c r="F77" s="285">
        <v>3285.4580000000001</v>
      </c>
      <c r="G77" s="285">
        <v>3481.9090000000001</v>
      </c>
      <c r="H77" s="285">
        <v>3392.87</v>
      </c>
      <c r="I77" s="286">
        <v>3501.51</v>
      </c>
      <c r="J77" s="286">
        <v>3664.453</v>
      </c>
      <c r="K77" s="285">
        <v>3829.9760000000001</v>
      </c>
      <c r="L77" s="285">
        <v>3992.864</v>
      </c>
      <c r="M77" s="286">
        <v>4238.4309999999996</v>
      </c>
      <c r="N77" s="286">
        <v>4246.5420000000004</v>
      </c>
      <c r="O77" s="285">
        <f>4477.837-4477.837+4475.288</f>
        <v>4475.2879999999996</v>
      </c>
      <c r="P77" s="285">
        <v>4758.5010000000002</v>
      </c>
      <c r="Q77" s="286">
        <v>4931.4000000000005</v>
      </c>
      <c r="R77" s="286">
        <v>5167.5079999999998</v>
      </c>
      <c r="S77" s="286">
        <v>5422.5119999999997</v>
      </c>
      <c r="T77" s="286">
        <v>5678.482</v>
      </c>
      <c r="V77" s="286">
        <v>5104.4929999999995</v>
      </c>
      <c r="W77" s="286">
        <v>5353.152</v>
      </c>
      <c r="X77" s="286">
        <v>5603.683</v>
      </c>
    </row>
    <row r="78" spans="1:24" s="291" customFormat="1" ht="16.5" customHeight="1" x14ac:dyDescent="0.3">
      <c r="A78" s="93" t="s">
        <v>254</v>
      </c>
      <c r="B78" s="94" t="s">
        <v>357</v>
      </c>
      <c r="C78" s="98" t="s">
        <v>272</v>
      </c>
      <c r="D78" s="98" t="s">
        <v>358</v>
      </c>
      <c r="E78" s="285">
        <f>985.377-985.377+919.126</f>
        <v>919.12599999999998</v>
      </c>
      <c r="F78" s="285">
        <f>1140.594-1140.594+1075.255</f>
        <v>1075.2550000000001</v>
      </c>
      <c r="G78" s="285">
        <f>1053.2-1053.2+964.303</f>
        <v>964.303</v>
      </c>
      <c r="H78" s="285">
        <f>965.412-965.412+959.922</f>
        <v>959.92200000000003</v>
      </c>
      <c r="I78" s="285">
        <f>1053.209-1053.209+982.329</f>
        <v>982.32899999999995</v>
      </c>
      <c r="J78" s="285">
        <f>1205.778-1205.778+1162.116</f>
        <v>1162.116</v>
      </c>
      <c r="K78" s="285">
        <f>1190.559-1190.559+1263.434-1263.434+1119.247</f>
        <v>1119.2470000000001</v>
      </c>
      <c r="L78" s="285">
        <f>1497.921-1497.921+1489.318-1489.318+1383.797</f>
        <v>1383.797</v>
      </c>
      <c r="M78" s="285">
        <f>1374.141-1374.141+1358.103-1358.103+1254.365</f>
        <v>1254.365</v>
      </c>
      <c r="N78" s="286">
        <f>1458.685-1458.685+1216.526-1216.526+1168.964</f>
        <v>1168.9639999999999</v>
      </c>
      <c r="O78" s="285">
        <f>1716.496-1716.496+1727.228</f>
        <v>1727.2280000000001</v>
      </c>
      <c r="P78" s="285">
        <v>1886.8000000000002</v>
      </c>
      <c r="Q78" s="285">
        <v>1696.3290000000002</v>
      </c>
      <c r="R78" s="286">
        <v>2257.4290000000001</v>
      </c>
      <c r="S78" s="286">
        <v>2569.9370000000004</v>
      </c>
      <c r="T78" s="286">
        <v>2557.4299999999998</v>
      </c>
      <c r="V78" s="286">
        <v>2086.0761489999977</v>
      </c>
      <c r="W78" s="286">
        <v>2437.3358482780086</v>
      </c>
      <c r="X78" s="286">
        <v>2408.7373327883906</v>
      </c>
    </row>
    <row r="79" spans="1:24" s="291" customFormat="1" ht="16.5" customHeight="1" x14ac:dyDescent="0.3">
      <c r="A79" s="76" t="s">
        <v>447</v>
      </c>
      <c r="B79" s="68" t="s">
        <v>448</v>
      </c>
      <c r="C79" s="83" t="s">
        <v>449</v>
      </c>
      <c r="D79" s="83" t="s">
        <v>449</v>
      </c>
      <c r="E79" s="285">
        <v>519.57100000000003</v>
      </c>
      <c r="F79" s="285">
        <v>612.11599999999999</v>
      </c>
      <c r="G79" s="285">
        <v>520.27</v>
      </c>
      <c r="H79" s="285">
        <v>582.13900000000001</v>
      </c>
      <c r="I79" s="286">
        <f>620.761+19.55</f>
        <v>640.31099999999992</v>
      </c>
      <c r="J79" s="286">
        <f>732.963-19.554</f>
        <v>713.40899999999999</v>
      </c>
      <c r="K79" s="285">
        <f>683.409-87.444</f>
        <v>595.96500000000003</v>
      </c>
      <c r="L79" s="285">
        <f>599.458+38.025+87.593</f>
        <v>725.07599999999991</v>
      </c>
      <c r="M79" s="286">
        <f>634.796+49.4</f>
        <v>684.19600000000003</v>
      </c>
      <c r="N79" s="286">
        <f>634.172-32.213</f>
        <v>601.95900000000006</v>
      </c>
      <c r="O79" s="285">
        <f>731.424+32.213</f>
        <v>763.63699999999994</v>
      </c>
      <c r="P79" s="285">
        <v>839.66800000000001</v>
      </c>
      <c r="Q79" s="286">
        <v>780</v>
      </c>
      <c r="R79" s="286">
        <v>913.64099999999996</v>
      </c>
      <c r="S79" s="286">
        <v>974.43700000000001</v>
      </c>
      <c r="T79" s="286">
        <v>1025.3430000000001</v>
      </c>
      <c r="V79" s="286">
        <v>913.64099999999996</v>
      </c>
      <c r="W79" s="286">
        <v>974.43700000000001</v>
      </c>
      <c r="X79" s="286">
        <v>1025.3430000000001</v>
      </c>
    </row>
    <row r="80" spans="1:24" s="291" customFormat="1" ht="16.5" customHeight="1" x14ac:dyDescent="0.3">
      <c r="A80" s="76" t="s">
        <v>450</v>
      </c>
      <c r="B80" s="68" t="s">
        <v>352</v>
      </c>
      <c r="C80" s="83" t="s">
        <v>451</v>
      </c>
      <c r="D80" s="83" t="s">
        <v>451</v>
      </c>
      <c r="E80" s="285">
        <v>49.18</v>
      </c>
      <c r="F80" s="285">
        <v>55.18</v>
      </c>
      <c r="G80" s="285">
        <v>44.145000000000003</v>
      </c>
      <c r="H80" s="285">
        <v>41.97</v>
      </c>
      <c r="I80" s="286">
        <v>44.695</v>
      </c>
      <c r="J80" s="286">
        <v>46.707000000000001</v>
      </c>
      <c r="K80" s="285">
        <v>52.192999999999998</v>
      </c>
      <c r="L80" s="285">
        <f>56.941+0.029</f>
        <v>56.970000000000006</v>
      </c>
      <c r="M80" s="286">
        <v>61.631</v>
      </c>
      <c r="N80" s="286">
        <v>63.418999999999997</v>
      </c>
      <c r="O80" s="285">
        <f>68.343044+0</f>
        <v>68.343044000000006</v>
      </c>
      <c r="P80" s="285">
        <v>71.960999999999999</v>
      </c>
      <c r="Q80" s="286">
        <v>73.991</v>
      </c>
      <c r="R80" s="286">
        <v>78.364000000000004</v>
      </c>
      <c r="S80" s="286">
        <v>80.132000000000005</v>
      </c>
      <c r="T80" s="286">
        <v>85.88</v>
      </c>
      <c r="V80" s="286">
        <v>78.364000000000004</v>
      </c>
      <c r="W80" s="286">
        <v>80.132000000000005</v>
      </c>
      <c r="X80" s="286">
        <v>85.88</v>
      </c>
    </row>
    <row r="81" spans="1:24" s="291" customFormat="1" ht="16.5" customHeight="1" x14ac:dyDescent="0.3">
      <c r="A81" s="92" t="s">
        <v>452</v>
      </c>
      <c r="B81" s="62" t="s">
        <v>275</v>
      </c>
      <c r="C81" s="63" t="s">
        <v>275</v>
      </c>
      <c r="D81" s="63" t="s">
        <v>275</v>
      </c>
      <c r="E81" s="293">
        <f t="shared" ref="E81:M81" si="25">E82+E86</f>
        <v>2893.6910000000003</v>
      </c>
      <c r="F81" s="293">
        <f t="shared" si="25"/>
        <v>3705.5039999999999</v>
      </c>
      <c r="G81" s="293">
        <f t="shared" si="25"/>
        <v>3025.3629999999998</v>
      </c>
      <c r="H81" s="293">
        <f t="shared" si="25"/>
        <v>3224.181</v>
      </c>
      <c r="I81" s="283">
        <f t="shared" si="25"/>
        <v>2829.1069999999995</v>
      </c>
      <c r="J81" s="283">
        <f t="shared" si="25"/>
        <v>2941.0520000000001</v>
      </c>
      <c r="K81" s="293">
        <f t="shared" si="25"/>
        <v>3521.9479999999999</v>
      </c>
      <c r="L81" s="293">
        <f t="shared" si="25"/>
        <v>5760.9669999999996</v>
      </c>
      <c r="M81" s="293">
        <f t="shared" si="25"/>
        <v>3309.8620000000001</v>
      </c>
      <c r="N81" s="293">
        <f>N82+N86</f>
        <v>3090.6780000000003</v>
      </c>
      <c r="O81" s="293">
        <f>O82+O86</f>
        <v>3719.6959999999999</v>
      </c>
      <c r="P81" s="293">
        <f t="shared" ref="P81:Q81" si="26">P82+P86</f>
        <v>2393.0910000000003</v>
      </c>
      <c r="Q81" s="293">
        <f t="shared" si="26"/>
        <v>2989.2580000000003</v>
      </c>
      <c r="R81" s="293">
        <v>2065.0520000000001</v>
      </c>
      <c r="S81" s="293">
        <v>2391.0259999999998</v>
      </c>
      <c r="T81" s="293">
        <v>3620.5549999999998</v>
      </c>
      <c r="V81" s="293">
        <v>2501.4355399999999</v>
      </c>
      <c r="W81" s="293">
        <v>2757.3647131400003</v>
      </c>
      <c r="X81" s="293">
        <v>4016.1799388050194</v>
      </c>
    </row>
    <row r="82" spans="1:24" ht="16.5" customHeight="1" x14ac:dyDescent="0.3">
      <c r="A82" s="77" t="s">
        <v>453</v>
      </c>
      <c r="B82" s="65" t="s">
        <v>454</v>
      </c>
      <c r="C82" s="83" t="s">
        <v>455</v>
      </c>
      <c r="D82" s="83" t="s">
        <v>456</v>
      </c>
      <c r="E82" s="285">
        <f t="shared" ref="E82:O82" si="27">SUM(E83:E85)</f>
        <v>2262.2150000000001</v>
      </c>
      <c r="F82" s="285">
        <f t="shared" si="27"/>
        <v>2597.953</v>
      </c>
      <c r="G82" s="285">
        <f t="shared" si="27"/>
        <v>2557.5009999999997</v>
      </c>
      <c r="H82" s="285">
        <f t="shared" si="27"/>
        <v>2681.643</v>
      </c>
      <c r="I82" s="285">
        <f t="shared" si="27"/>
        <v>2426.2729999999997</v>
      </c>
      <c r="J82" s="285">
        <f t="shared" si="27"/>
        <v>2561.3240000000001</v>
      </c>
      <c r="K82" s="285">
        <f t="shared" si="27"/>
        <v>3136.4690000000001</v>
      </c>
      <c r="L82" s="285">
        <f t="shared" si="27"/>
        <v>5201.8269999999993</v>
      </c>
      <c r="M82" s="285">
        <f t="shared" si="27"/>
        <v>2966.3229999999999</v>
      </c>
      <c r="N82" s="286">
        <f t="shared" si="27"/>
        <v>2806.3480000000004</v>
      </c>
      <c r="O82" s="285">
        <f t="shared" si="27"/>
        <v>3394.8559999999998</v>
      </c>
      <c r="P82" s="285">
        <v>2199.0110000000004</v>
      </c>
      <c r="Q82" s="285">
        <v>2708.1670000000004</v>
      </c>
      <c r="R82" s="286">
        <v>1858.1390000000001</v>
      </c>
      <c r="S82" s="286">
        <v>2149.8879999999999</v>
      </c>
      <c r="T82" s="286">
        <v>3423.5769999999998</v>
      </c>
      <c r="V82" s="286">
        <v>2300.9723250000002</v>
      </c>
      <c r="W82" s="286">
        <v>2528.5131763250001</v>
      </c>
      <c r="X82" s="286">
        <v>3773.7059329069743</v>
      </c>
    </row>
    <row r="83" spans="1:24" ht="16.5" customHeight="1" x14ac:dyDescent="0.3">
      <c r="A83" s="76" t="s">
        <v>457</v>
      </c>
      <c r="B83" s="65" t="s">
        <v>458</v>
      </c>
      <c r="C83" s="66" t="s">
        <v>272</v>
      </c>
      <c r="D83" s="66" t="s">
        <v>459</v>
      </c>
      <c r="E83" s="285">
        <f>2307.644-2307.644+2337.273</f>
        <v>2337.2730000000001</v>
      </c>
      <c r="F83" s="285">
        <f>2486.96-2486.96+2515.417</f>
        <v>2515.4169999999999</v>
      </c>
      <c r="G83" s="285">
        <f>2441.088-2441.088+2421.566</f>
        <v>2421.5659999999998</v>
      </c>
      <c r="H83" s="285">
        <f>2691.759-2691.759+2651.466</f>
        <v>2651.4659999999999</v>
      </c>
      <c r="I83" s="285">
        <f>2435.811-2435.811+2372.336</f>
        <v>2372.3359999999998</v>
      </c>
      <c r="J83" s="285">
        <f>2466.08-2466.08+2484.44</f>
        <v>2484.44</v>
      </c>
      <c r="K83" s="285">
        <f>3023.41-3023.41+3143.841</f>
        <v>3143.8409999999999</v>
      </c>
      <c r="L83" s="285">
        <f>4950.645-4950.645+5094.998</f>
        <v>5094.9979999999996</v>
      </c>
      <c r="M83" s="285">
        <f>2599.571-2599.571+2758</f>
        <v>2758</v>
      </c>
      <c r="N83" s="286">
        <f>2696.159-2696.159+2698.966-2698.966+2851.306</f>
        <v>2851.306</v>
      </c>
      <c r="O83" s="285">
        <f>3218.174-3218.174+3353.113</f>
        <v>3353.1129999999998</v>
      </c>
      <c r="P83" s="285">
        <v>2214.806</v>
      </c>
      <c r="Q83" s="285">
        <v>2725.5410000000002</v>
      </c>
      <c r="R83" s="286">
        <v>1839.432</v>
      </c>
      <c r="S83" s="286">
        <v>2105.1840000000002</v>
      </c>
      <c r="T83" s="286">
        <v>3365.116</v>
      </c>
      <c r="V83" s="286">
        <v>2278.7701299999999</v>
      </c>
      <c r="W83" s="286">
        <v>2480.1706783300006</v>
      </c>
      <c r="X83" s="286">
        <v>3711.4499794981894</v>
      </c>
    </row>
    <row r="84" spans="1:24" ht="16.5" customHeight="1" x14ac:dyDescent="0.3">
      <c r="A84" s="76" t="s">
        <v>460</v>
      </c>
      <c r="B84" s="65" t="s">
        <v>461</v>
      </c>
      <c r="C84" s="66" t="s">
        <v>462</v>
      </c>
      <c r="D84" s="66" t="s">
        <v>463</v>
      </c>
      <c r="E84" s="285">
        <v>109.414</v>
      </c>
      <c r="F84" s="286">
        <v>52.887</v>
      </c>
      <c r="G84" s="286">
        <f>94.768</f>
        <v>94.768000000000001</v>
      </c>
      <c r="H84" s="286">
        <v>2.2530000000000001</v>
      </c>
      <c r="I84" s="285">
        <v>19.579999999999998</v>
      </c>
      <c r="J84" s="285">
        <f>60.564-60.564+49.715</f>
        <v>49.715000000000003</v>
      </c>
      <c r="K84" s="286">
        <f>47.12-47.12+57.681</f>
        <v>57.680999999999997</v>
      </c>
      <c r="L84" s="286">
        <f>6.43-6.43+6.423</f>
        <v>6.423</v>
      </c>
      <c r="M84" s="285">
        <v>21.318999999999999</v>
      </c>
      <c r="N84" s="286">
        <f>92.677-92.677+14.135-14.135-93.441</f>
        <v>-93.441000000000003</v>
      </c>
      <c r="O84" s="286">
        <v>21.207000000000001</v>
      </c>
      <c r="P84" s="286">
        <v>27.856000000000002</v>
      </c>
      <c r="Q84" s="285">
        <v>27.856000000000002</v>
      </c>
      <c r="R84" s="286">
        <v>52.642000000000003</v>
      </c>
      <c r="S84" s="286">
        <v>73.171000000000006</v>
      </c>
      <c r="T84" s="286">
        <v>80.897000000000006</v>
      </c>
      <c r="V84" s="286">
        <v>52.642000000000003</v>
      </c>
      <c r="W84" s="286">
        <v>73.171000000000006</v>
      </c>
      <c r="X84" s="286">
        <v>80.897000000000006</v>
      </c>
    </row>
    <row r="85" spans="1:24" ht="16.5" customHeight="1" x14ac:dyDescent="0.3">
      <c r="A85" s="76" t="s">
        <v>464</v>
      </c>
      <c r="B85" s="65" t="s">
        <v>465</v>
      </c>
      <c r="C85" s="66" t="s">
        <v>272</v>
      </c>
      <c r="D85" s="66" t="s">
        <v>466</v>
      </c>
      <c r="E85" s="286">
        <f>-185.8+185.8-184.472</f>
        <v>-184.47200000000001</v>
      </c>
      <c r="F85" s="286">
        <v>29.649000000000001</v>
      </c>
      <c r="G85" s="286">
        <v>41.167000000000002</v>
      </c>
      <c r="H85" s="286">
        <f>-64.809+64.809+27.924</f>
        <v>27.923999999999999</v>
      </c>
      <c r="I85" s="286">
        <v>34.356999999999999</v>
      </c>
      <c r="J85" s="286">
        <f>26.199-26.199+27.169</f>
        <v>27.169</v>
      </c>
      <c r="K85" s="286">
        <f>-228.94+228.94-65.053</f>
        <v>-65.052999999999997</v>
      </c>
      <c r="L85" s="286">
        <f>98.775-98.775+100.406</f>
        <v>100.40600000000001</v>
      </c>
      <c r="M85" s="286">
        <f>185.49-185.49+187.004</f>
        <v>187.00399999999999</v>
      </c>
      <c r="N85" s="286">
        <f>46.741-46.741+48.483</f>
        <v>48.482999999999997</v>
      </c>
      <c r="O85" s="286">
        <v>20.536000000000001</v>
      </c>
      <c r="P85" s="286">
        <v>-43.651000000000003</v>
      </c>
      <c r="Q85" s="286">
        <v>-45.230000000000004</v>
      </c>
      <c r="R85" s="286">
        <v>-33.935000000000002</v>
      </c>
      <c r="S85" s="286">
        <v>-28.466999999999999</v>
      </c>
      <c r="T85" s="286">
        <v>-22.436</v>
      </c>
      <c r="V85" s="286">
        <v>-30.439805000000003</v>
      </c>
      <c r="W85" s="286">
        <v>-24.828502004999997</v>
      </c>
      <c r="X85" s="286">
        <v>-18.641046591215002</v>
      </c>
    </row>
    <row r="86" spans="1:24" ht="16.5" customHeight="1" x14ac:dyDescent="0.3">
      <c r="A86" s="77" t="s">
        <v>55</v>
      </c>
      <c r="B86" s="65" t="s">
        <v>359</v>
      </c>
      <c r="C86" s="83" t="s">
        <v>272</v>
      </c>
      <c r="D86" s="83" t="s">
        <v>467</v>
      </c>
      <c r="E86" s="286">
        <f t="shared" ref="E86:O86" si="28">E87</f>
        <v>631.476</v>
      </c>
      <c r="F86" s="286">
        <f t="shared" si="28"/>
        <v>1107.5509999999999</v>
      </c>
      <c r="G86" s="286">
        <f t="shared" si="28"/>
        <v>467.86200000000002</v>
      </c>
      <c r="H86" s="286">
        <f t="shared" si="28"/>
        <v>542.53800000000001</v>
      </c>
      <c r="I86" s="286">
        <f t="shared" si="28"/>
        <v>402.834</v>
      </c>
      <c r="J86" s="286">
        <f t="shared" si="28"/>
        <v>379.72800000000001</v>
      </c>
      <c r="K86" s="286">
        <f t="shared" si="28"/>
        <v>385.47899999999998</v>
      </c>
      <c r="L86" s="286">
        <f t="shared" si="28"/>
        <v>559.14</v>
      </c>
      <c r="M86" s="286">
        <f t="shared" si="28"/>
        <v>343.53899999999999</v>
      </c>
      <c r="N86" s="286">
        <f t="shared" si="28"/>
        <v>284.33</v>
      </c>
      <c r="O86" s="286">
        <f t="shared" si="28"/>
        <v>324.83999999999997</v>
      </c>
      <c r="P86" s="286">
        <f t="shared" ref="P86:Q86" si="29">P87</f>
        <v>194.08</v>
      </c>
      <c r="Q86" s="286">
        <f t="shared" si="29"/>
        <v>281.09100000000001</v>
      </c>
      <c r="R86" s="286">
        <v>206.91300000000001</v>
      </c>
      <c r="S86" s="286">
        <v>241.13800000000001</v>
      </c>
      <c r="T86" s="286">
        <v>196.97800000000001</v>
      </c>
      <c r="V86" s="286">
        <v>200.46321499999999</v>
      </c>
      <c r="W86" s="286">
        <v>228.85153681500012</v>
      </c>
      <c r="X86" s="286">
        <v>242.47400589804516</v>
      </c>
    </row>
    <row r="87" spans="1:24" ht="16.5" customHeight="1" x14ac:dyDescent="0.3">
      <c r="A87" s="76" t="s">
        <v>468</v>
      </c>
      <c r="B87" s="99" t="s">
        <v>469</v>
      </c>
      <c r="C87" s="100" t="s">
        <v>470</v>
      </c>
      <c r="D87" s="100" t="s">
        <v>467</v>
      </c>
      <c r="E87" s="286">
        <v>631.476</v>
      </c>
      <c r="F87" s="290">
        <v>1107.5509999999999</v>
      </c>
      <c r="G87" s="290">
        <v>467.86200000000002</v>
      </c>
      <c r="H87" s="290">
        <f>542.538</f>
        <v>542.53800000000001</v>
      </c>
      <c r="I87" s="290">
        <v>402.834</v>
      </c>
      <c r="J87" s="286">
        <v>379.72800000000001</v>
      </c>
      <c r="K87" s="290">
        <v>385.47899999999998</v>
      </c>
      <c r="L87" s="290">
        <v>559.14</v>
      </c>
      <c r="M87" s="290">
        <v>343.53899999999999</v>
      </c>
      <c r="N87" s="286">
        <f>293.833-293.833+173.113-173.113+176.705-176.705+284.33</f>
        <v>284.33</v>
      </c>
      <c r="O87" s="290">
        <v>324.83999999999997</v>
      </c>
      <c r="P87" s="290">
        <v>194.08</v>
      </c>
      <c r="Q87" s="290">
        <v>281.09100000000001</v>
      </c>
      <c r="R87" s="286">
        <v>206.91300000000001</v>
      </c>
      <c r="S87" s="286">
        <v>241.13800000000001</v>
      </c>
      <c r="T87" s="286">
        <v>196.97800000000001</v>
      </c>
      <c r="V87" s="286">
        <v>200.46321499999999</v>
      </c>
      <c r="W87" s="286">
        <v>228.85153681500012</v>
      </c>
      <c r="X87" s="286">
        <v>242.47400589804516</v>
      </c>
    </row>
    <row r="88" spans="1:24" ht="16.5" customHeight="1" x14ac:dyDescent="0.3">
      <c r="A88" s="683" t="s">
        <v>642</v>
      </c>
      <c r="B88" s="62"/>
      <c r="C88" s="82"/>
      <c r="D88" s="82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>
        <f>-770.123999999989/2</f>
        <v>-385.0619999999945</v>
      </c>
      <c r="T88" s="283">
        <f>-1246.03200000001/2</f>
        <v>-623.01600000000496</v>
      </c>
      <c r="V88" s="283"/>
      <c r="W88" s="283"/>
      <c r="X88" s="283"/>
    </row>
    <row r="89" spans="1:24" ht="16.5" customHeight="1" x14ac:dyDescent="0.3">
      <c r="A89" s="55" t="s">
        <v>471</v>
      </c>
      <c r="B89" s="101" t="s">
        <v>80</v>
      </c>
      <c r="C89" s="102"/>
      <c r="D89" s="102"/>
      <c r="E89" s="294">
        <f t="shared" ref="E89:P89" si="30">E6-E42</f>
        <v>-1730.8319999999985</v>
      </c>
      <c r="F89" s="294">
        <f t="shared" si="30"/>
        <v>-5223.3630000000012</v>
      </c>
      <c r="G89" s="294">
        <f t="shared" si="30"/>
        <v>-5077.0360000000037</v>
      </c>
      <c r="H89" s="294">
        <f t="shared" si="30"/>
        <v>-3173.2139999999963</v>
      </c>
      <c r="I89" s="294">
        <f t="shared" si="30"/>
        <v>-3209.1390000000029</v>
      </c>
      <c r="J89" s="294">
        <f t="shared" si="30"/>
        <v>-2133.6740000000027</v>
      </c>
      <c r="K89" s="294">
        <f t="shared" si="30"/>
        <v>-2371.3639999999978</v>
      </c>
      <c r="L89" s="294">
        <f t="shared" si="30"/>
        <v>-2131.2130000000034</v>
      </c>
      <c r="M89" s="294">
        <f t="shared" si="30"/>
        <v>-2006.6039999999994</v>
      </c>
      <c r="N89" s="294">
        <f t="shared" si="30"/>
        <v>-804.96099999999569</v>
      </c>
      <c r="O89" s="294">
        <f t="shared" si="30"/>
        <v>-951.2039999999979</v>
      </c>
      <c r="P89" s="294">
        <f t="shared" si="30"/>
        <v>0</v>
      </c>
      <c r="Q89" s="103">
        <f>Q6-Q42</f>
        <v>-639.79353999999876</v>
      </c>
      <c r="R89" s="420">
        <f>R6-R42</f>
        <v>-480.40899999999965</v>
      </c>
      <c r="S89" s="420">
        <f>S6-S42</f>
        <v>0</v>
      </c>
      <c r="T89" s="420">
        <f>T6-T42</f>
        <v>0</v>
      </c>
      <c r="V89" s="420">
        <f>V6-V42</f>
        <v>92.566758000015398</v>
      </c>
      <c r="W89" s="420">
        <f>W6-W42</f>
        <v>-215.8023864269926</v>
      </c>
      <c r="X89" s="420">
        <f>X6-X42</f>
        <v>-741.15989340622036</v>
      </c>
    </row>
    <row r="90" spans="1:24" ht="16.5" customHeight="1" x14ac:dyDescent="0.3">
      <c r="A90" s="104" t="s">
        <v>4</v>
      </c>
      <c r="B90" s="105"/>
      <c r="C90" s="106"/>
      <c r="D90" s="106"/>
      <c r="E90" s="107">
        <f t="shared" ref="E90:M90" si="31">E89/E91</f>
        <v>-2.5234269206884999E-2</v>
      </c>
      <c r="F90" s="107">
        <f t="shared" si="31"/>
        <v>-8.1493419220148619E-2</v>
      </c>
      <c r="G90" s="107">
        <f t="shared" si="31"/>
        <v>-7.456036133189918E-2</v>
      </c>
      <c r="H90" s="107">
        <f t="shared" si="31"/>
        <v>-4.4558608641818355E-2</v>
      </c>
      <c r="I90" s="107">
        <f t="shared" si="31"/>
        <v>-4.3671367556249348E-2</v>
      </c>
      <c r="J90" s="107">
        <f t="shared" si="31"/>
        <v>-2.8695830110331111E-2</v>
      </c>
      <c r="K90" s="107">
        <f t="shared" si="31"/>
        <v>-3.1097467452204566E-2</v>
      </c>
      <c r="L90" s="107">
        <f t="shared" si="31"/>
        <v>-2.6720927170395741E-2</v>
      </c>
      <c r="M90" s="107">
        <f t="shared" si="31"/>
        <v>-2.4761156686019095E-2</v>
      </c>
      <c r="N90" s="107">
        <f t="shared" ref="N90:S90" si="32">N89/N91</f>
        <v>-9.524248995808544E-3</v>
      </c>
      <c r="O90" s="107">
        <f t="shared" si="32"/>
        <v>-1.0601803518355069E-2</v>
      </c>
      <c r="P90" s="107">
        <f>P89/P91</f>
        <v>0</v>
      </c>
      <c r="Q90" s="107">
        <f>Q89/Q91</f>
        <v>-6.799991818588709E-3</v>
      </c>
      <c r="R90" s="108">
        <f t="shared" si="32"/>
        <v>-4.8999973284564518E-3</v>
      </c>
      <c r="S90" s="108">
        <f t="shared" si="32"/>
        <v>0</v>
      </c>
      <c r="T90" s="108">
        <f>T89/T91</f>
        <v>0</v>
      </c>
      <c r="V90" s="108">
        <f>V89/V91</f>
        <v>9.441473138595461E-4</v>
      </c>
      <c r="W90" s="108">
        <f t="shared" ref="W90" si="33">W89/W91</f>
        <v>-2.0962888262631321E-3</v>
      </c>
      <c r="X90" s="108">
        <f>X89/X91</f>
        <v>-6.8473990257491985E-3</v>
      </c>
    </row>
    <row r="91" spans="1:24" ht="16.5" customHeight="1" x14ac:dyDescent="0.3">
      <c r="A91" s="109" t="s">
        <v>90</v>
      </c>
      <c r="B91" s="110"/>
      <c r="C91" s="111"/>
      <c r="D91" s="111"/>
      <c r="E91" s="334">
        <v>68590.534</v>
      </c>
      <c r="F91" s="334">
        <v>64095.519</v>
      </c>
      <c r="G91" s="334">
        <v>68092.964000000007</v>
      </c>
      <c r="H91" s="334">
        <v>71214.386999999988</v>
      </c>
      <c r="I91" s="334">
        <v>73483.822000000015</v>
      </c>
      <c r="J91" s="334">
        <v>74354.845000000001</v>
      </c>
      <c r="K91" s="334">
        <v>76255.855999999985</v>
      </c>
      <c r="L91" s="334">
        <v>79758.198000000004</v>
      </c>
      <c r="M91" s="334">
        <v>81038.379000000001</v>
      </c>
      <c r="N91" s="334">
        <v>84517.005000000005</v>
      </c>
      <c r="O91" s="334">
        <v>89720.960999999996</v>
      </c>
      <c r="P91" s="334">
        <v>96890.353000000003</v>
      </c>
      <c r="Q91" s="334">
        <v>94087.398495250469</v>
      </c>
      <c r="R91" s="334">
        <v>98042.706515379527</v>
      </c>
      <c r="S91" s="334">
        <v>102944.96813766085</v>
      </c>
      <c r="T91" s="334">
        <v>108239.62363214657</v>
      </c>
      <c r="V91" s="334">
        <f t="shared" ref="V91" si="34">R91</f>
        <v>98042.706515379527</v>
      </c>
      <c r="W91" s="334">
        <f>S91</f>
        <v>102944.96813766085</v>
      </c>
      <c r="X91" s="334">
        <f>T91</f>
        <v>108239.62363214657</v>
      </c>
    </row>
    <row r="92" spans="1:24" x14ac:dyDescent="0.3">
      <c r="A92" s="28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24" x14ac:dyDescent="0.3">
      <c r="A93" s="287"/>
      <c r="D93" s="6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V93" s="333"/>
      <c r="W93" s="333"/>
      <c r="X93" s="333"/>
    </row>
    <row r="94" spans="1:24" x14ac:dyDescent="0.3">
      <c r="A94" s="28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V94" s="6"/>
      <c r="W94" s="6"/>
      <c r="X94" s="6"/>
    </row>
    <row r="95" spans="1:24" x14ac:dyDescent="0.3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24" x14ac:dyDescent="0.3">
      <c r="D96" s="6"/>
      <c r="E96" s="6"/>
      <c r="F96" s="6"/>
      <c r="G96" s="6"/>
      <c r="H96" s="6"/>
      <c r="I96" s="6"/>
      <c r="J96" s="6"/>
      <c r="K96" s="6"/>
      <c r="L96" s="6"/>
      <c r="M96" s="6"/>
      <c r="N96" s="335"/>
    </row>
    <row r="97" spans="4:17" x14ac:dyDescent="0.3">
      <c r="D97" s="6"/>
      <c r="E97" s="6"/>
      <c r="F97" s="6"/>
      <c r="G97" s="6"/>
      <c r="H97" s="6"/>
      <c r="I97" s="6"/>
      <c r="J97" s="6"/>
      <c r="K97" s="6"/>
      <c r="L97" s="6"/>
      <c r="M97" s="6"/>
      <c r="N97" s="336"/>
    </row>
    <row r="98" spans="4:17" x14ac:dyDescent="0.3"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4:17" x14ac:dyDescent="0.3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4:17" x14ac:dyDescent="0.3">
      <c r="M100" s="272"/>
      <c r="N100" s="272"/>
      <c r="O100" s="272"/>
      <c r="P100" s="272"/>
    </row>
    <row r="101" spans="4:17" x14ac:dyDescent="0.3">
      <c r="I101" s="272"/>
      <c r="J101" s="272"/>
      <c r="K101" s="272"/>
      <c r="L101" s="272"/>
      <c r="M101" s="272"/>
      <c r="N101" s="272"/>
      <c r="O101" s="272"/>
      <c r="P101" s="272"/>
    </row>
    <row r="102" spans="4:17" x14ac:dyDescent="0.3">
      <c r="L102" s="6"/>
      <c r="M102" s="6"/>
    </row>
    <row r="103" spans="4:17" x14ac:dyDescent="0.3">
      <c r="G103" s="273"/>
      <c r="I103" s="274"/>
      <c r="J103" s="274"/>
      <c r="K103" s="274"/>
      <c r="L103" s="275"/>
      <c r="M103" s="275"/>
      <c r="N103" s="275"/>
      <c r="O103" s="274"/>
      <c r="P103" s="274"/>
    </row>
    <row r="104" spans="4:17" x14ac:dyDescent="0.3">
      <c r="G104" s="273"/>
      <c r="H104" s="275"/>
      <c r="I104" s="274"/>
      <c r="J104" s="274"/>
      <c r="K104" s="274"/>
    </row>
    <row r="105" spans="4:17" x14ac:dyDescent="0.3">
      <c r="G105" s="273"/>
      <c r="H105" s="275"/>
      <c r="I105" s="274"/>
      <c r="J105" s="274"/>
      <c r="K105" s="274"/>
      <c r="L105" s="274"/>
      <c r="M105" s="274"/>
      <c r="N105" s="274"/>
    </row>
    <row r="106" spans="4:17" x14ac:dyDescent="0.3">
      <c r="G106" s="273"/>
      <c r="H106" s="275"/>
      <c r="I106" s="274"/>
      <c r="J106" s="274"/>
      <c r="K106" s="274"/>
      <c r="L106" s="274"/>
      <c r="M106" s="274"/>
      <c r="N106" s="274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R90 Q6:R7 E7:M7 E43:K43 N7 E89:M89 N6 E90:M90 E6:K6 M6 E42:K42" unlockedFormula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4"/>
  <dimension ref="B4:U30"/>
  <sheetViews>
    <sheetView showGridLines="0" zoomScaleNormal="100" zoomScalePageLayoutView="90" workbookViewId="0">
      <selection activeCell="B22" sqref="B22"/>
    </sheetView>
  </sheetViews>
  <sheetFormatPr defaultColWidth="8.88671875" defaultRowHeight="13.8" x14ac:dyDescent="0.3"/>
  <cols>
    <col min="1" max="1" width="8.88671875" style="6" customWidth="1"/>
    <col min="2" max="2" width="9.109375" style="6" customWidth="1"/>
    <col min="3" max="3" width="6.33203125" style="6" customWidth="1"/>
    <col min="4" max="4" width="8.33203125" style="6" customWidth="1"/>
    <col min="5" max="5" width="8.109375" style="6" customWidth="1"/>
    <col min="6" max="7" width="8.33203125" style="6" customWidth="1"/>
    <col min="8" max="8" width="4.33203125" style="6" hidden="1" customWidth="1"/>
    <col min="9" max="9" width="8" style="6" customWidth="1"/>
    <col min="10" max="10" width="8.33203125" style="6" customWidth="1"/>
    <col min="11" max="11" width="13" style="6" customWidth="1"/>
    <col min="12" max="12" width="9" style="6" customWidth="1"/>
    <col min="13" max="14" width="21.109375" style="6" customWidth="1"/>
    <col min="15" max="20" width="10.44140625" style="6" customWidth="1"/>
    <col min="21" max="16384" width="8.88671875" style="6"/>
  </cols>
  <sheetData>
    <row r="4" spans="2:21" ht="14.4" thickBot="1" x14ac:dyDescent="0.35">
      <c r="B4" s="49" t="s">
        <v>530</v>
      </c>
      <c r="M4" s="48" t="s">
        <v>176</v>
      </c>
      <c r="N4" s="773" t="s">
        <v>1010</v>
      </c>
      <c r="O4" s="114"/>
      <c r="P4" s="114"/>
      <c r="Q4" s="114"/>
      <c r="R4" s="114"/>
      <c r="S4" s="114"/>
      <c r="T4" s="114"/>
      <c r="U4" s="114"/>
    </row>
    <row r="5" spans="2:21" x14ac:dyDescent="0.3">
      <c r="N5" s="727"/>
      <c r="O5" s="10">
        <v>2016</v>
      </c>
      <c r="P5" s="10">
        <v>2017</v>
      </c>
      <c r="Q5" s="10">
        <v>2018</v>
      </c>
      <c r="R5" s="10">
        <v>2019</v>
      </c>
      <c r="S5" s="10">
        <v>2020</v>
      </c>
      <c r="T5" s="10">
        <v>2021</v>
      </c>
      <c r="U5" s="10">
        <v>2022</v>
      </c>
    </row>
    <row r="6" spans="2:21" x14ac:dyDescent="0.3">
      <c r="M6" s="6" t="s">
        <v>12</v>
      </c>
      <c r="N6" s="727" t="s">
        <v>1015</v>
      </c>
      <c r="O6" s="7">
        <f>'Graf 19'!AB5</f>
        <v>52.024438938987174</v>
      </c>
      <c r="P6" s="7">
        <f>'Graf 19'!AC5</f>
        <v>51.314560898129315</v>
      </c>
      <c r="Q6" s="7">
        <f>'Graf 19'!AD5</f>
        <v>49.399662582749201</v>
      </c>
      <c r="R6" s="7">
        <f>'Graf 19'!AE5</f>
        <v>47.92929189064612</v>
      </c>
      <c r="S6" s="7">
        <f>'Graf 19'!AF5</f>
        <v>46.811134827452079</v>
      </c>
      <c r="T6" s="7">
        <f>'Graf 19'!AG5</f>
        <v>45.899876890669269</v>
      </c>
      <c r="U6" s="7">
        <f>'Graf 19'!AH5</f>
        <v>44.792971185669288</v>
      </c>
    </row>
    <row r="7" spans="2:21" x14ac:dyDescent="0.3">
      <c r="M7" s="16" t="s">
        <v>125</v>
      </c>
      <c r="N7" s="769" t="s">
        <v>1193</v>
      </c>
      <c r="O7" s="176">
        <v>46.838254254814252</v>
      </c>
      <c r="P7" s="176">
        <v>45.661267812317767</v>
      </c>
      <c r="Q7" s="176">
        <v>43.413592059050728</v>
      </c>
      <c r="R7" s="176">
        <v>42.854065419211018</v>
      </c>
      <c r="S7" s="176">
        <v>42.199141101815563</v>
      </c>
      <c r="T7" s="176">
        <v>40.784798999651649</v>
      </c>
      <c r="U7" s="176">
        <v>38.457308519476264</v>
      </c>
    </row>
    <row r="8" spans="2:21" x14ac:dyDescent="0.3">
      <c r="M8" s="7" t="s">
        <v>473</v>
      </c>
      <c r="N8" s="774" t="s">
        <v>1194</v>
      </c>
      <c r="O8" s="7">
        <f>O6-O7</f>
        <v>5.1861846841729218</v>
      </c>
      <c r="P8" s="7">
        <f t="shared" ref="P8:U8" si="0">P6-P7</f>
        <v>5.6532930858115478</v>
      </c>
      <c r="Q8" s="7">
        <f t="shared" si="0"/>
        <v>5.9860705236984728</v>
      </c>
      <c r="R8" s="7">
        <f t="shared" si="0"/>
        <v>5.0752264714351014</v>
      </c>
      <c r="S8" s="7">
        <f t="shared" si="0"/>
        <v>4.6119937256365162</v>
      </c>
      <c r="T8" s="7">
        <f t="shared" si="0"/>
        <v>5.11507789101762</v>
      </c>
      <c r="U8" s="7">
        <f t="shared" si="0"/>
        <v>6.3356626661930235</v>
      </c>
    </row>
    <row r="17" spans="2:7" ht="17.100000000000001" customHeight="1" x14ac:dyDescent="0.3"/>
    <row r="18" spans="2:7" ht="17.100000000000001" customHeight="1" x14ac:dyDescent="0.3"/>
    <row r="19" spans="2:7" ht="17.100000000000001" customHeight="1" x14ac:dyDescent="0.3"/>
    <row r="20" spans="2:7" ht="17.100000000000001" customHeight="1" x14ac:dyDescent="0.3"/>
    <row r="21" spans="2:7" ht="17.100000000000001" customHeight="1" x14ac:dyDescent="0.3">
      <c r="B21" s="49" t="s">
        <v>1195</v>
      </c>
    </row>
    <row r="22" spans="2:7" ht="17.100000000000001" customHeight="1" x14ac:dyDescent="0.3">
      <c r="B22" s="175"/>
    </row>
    <row r="23" spans="2:7" ht="17.100000000000001" customHeight="1" x14ac:dyDescent="0.3"/>
    <row r="24" spans="2:7" ht="17.100000000000001" customHeight="1" x14ac:dyDescent="0.3"/>
    <row r="25" spans="2:7" ht="17.100000000000001" customHeight="1" x14ac:dyDescent="0.3"/>
    <row r="26" spans="2:7" ht="17.100000000000001" customHeight="1" x14ac:dyDescent="0.3"/>
    <row r="30" spans="2:7" x14ac:dyDescent="0.3">
      <c r="G30" s="7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5"/>
  <dimension ref="B4:R30"/>
  <sheetViews>
    <sheetView showGridLines="0" zoomScaleNormal="100" zoomScalePageLayoutView="90" workbookViewId="0">
      <selection activeCell="B26" sqref="B26"/>
    </sheetView>
  </sheetViews>
  <sheetFormatPr defaultColWidth="8.88671875" defaultRowHeight="13.8" x14ac:dyDescent="0.3"/>
  <cols>
    <col min="1" max="1" width="8.88671875" style="6" customWidth="1"/>
    <col min="2" max="2" width="9.109375" style="6" customWidth="1"/>
    <col min="3" max="3" width="6.33203125" style="6" customWidth="1"/>
    <col min="4" max="4" width="8.33203125" style="6" customWidth="1"/>
    <col min="5" max="5" width="8.109375" style="6" customWidth="1"/>
    <col min="6" max="7" width="8.33203125" style="6" customWidth="1"/>
    <col min="8" max="8" width="4.33203125" style="6" hidden="1" customWidth="1"/>
    <col min="9" max="9" width="8" style="6" customWidth="1"/>
    <col min="10" max="10" width="8.33203125" style="6" customWidth="1"/>
    <col min="11" max="11" width="13" style="6" customWidth="1"/>
    <col min="12" max="12" width="9" style="6" customWidth="1"/>
    <col min="13" max="13" width="51.33203125" style="6" bestFit="1" customWidth="1"/>
    <col min="14" max="14" width="43.44140625" style="6" customWidth="1"/>
    <col min="15" max="17" width="10.44140625" style="6" customWidth="1"/>
    <col min="18" max="16384" width="8.88671875" style="6"/>
  </cols>
  <sheetData>
    <row r="4" spans="2:18" ht="14.4" thickBot="1" x14ac:dyDescent="0.35">
      <c r="B4" s="49" t="s">
        <v>888</v>
      </c>
      <c r="M4" s="48" t="s">
        <v>176</v>
      </c>
      <c r="N4" s="773" t="s">
        <v>1010</v>
      </c>
      <c r="O4" s="114"/>
      <c r="P4" s="114"/>
      <c r="Q4" s="114"/>
      <c r="R4" s="114"/>
    </row>
    <row r="5" spans="2:18" x14ac:dyDescent="0.3">
      <c r="O5" s="10">
        <v>2019</v>
      </c>
      <c r="P5" s="10">
        <v>2020</v>
      </c>
      <c r="Q5" s="10">
        <v>2021</v>
      </c>
      <c r="R5" s="10">
        <v>2022</v>
      </c>
    </row>
    <row r="6" spans="2:18" x14ac:dyDescent="0.3">
      <c r="M6" s="6" t="s">
        <v>646</v>
      </c>
      <c r="N6" s="727" t="s">
        <v>1197</v>
      </c>
      <c r="O6" s="7">
        <v>-0.41530080494730753</v>
      </c>
      <c r="P6" s="7">
        <v>-0.89992747175257648</v>
      </c>
      <c r="Q6" s="7">
        <v>-0.54907064099423009</v>
      </c>
      <c r="R6" s="7">
        <v>0.13118661566123366</v>
      </c>
    </row>
    <row r="7" spans="2:18" x14ac:dyDescent="0.3">
      <c r="M7" s="639" t="s">
        <v>647</v>
      </c>
      <c r="N7" s="769" t="s">
        <v>1198</v>
      </c>
      <c r="O7" s="176">
        <v>-1.455061429244991</v>
      </c>
      <c r="P7" s="176">
        <v>-1.4157392539590099</v>
      </c>
      <c r="Q7" s="176">
        <v>-0.12560610795079968</v>
      </c>
      <c r="R7" s="176">
        <v>0.57037349045417685</v>
      </c>
    </row>
    <row r="8" spans="2:18" x14ac:dyDescent="0.3">
      <c r="M8" s="7" t="s">
        <v>645</v>
      </c>
      <c r="N8" s="7" t="s">
        <v>1199</v>
      </c>
      <c r="O8" s="7">
        <f>'Tabuľka 20'!F19</f>
        <v>0.42546875396641404</v>
      </c>
      <c r="P8" s="7">
        <f>'Tabuľka 20'!G19</f>
        <v>0.88344653645241888</v>
      </c>
      <c r="Q8" s="7">
        <f>'Tabuľka 20'!H19</f>
        <v>0.97758264407580353</v>
      </c>
      <c r="R8" s="7">
        <f>'Tabuľka 20'!I19</f>
        <v>0.4214806979309873</v>
      </c>
    </row>
    <row r="17" spans="2:7" ht="17.100000000000001" customHeight="1" x14ac:dyDescent="0.3"/>
    <row r="18" spans="2:7" ht="17.100000000000001" customHeight="1" x14ac:dyDescent="0.3"/>
    <row r="19" spans="2:7" ht="17.100000000000001" customHeight="1" x14ac:dyDescent="0.3"/>
    <row r="20" spans="2:7" ht="17.100000000000001" customHeight="1" x14ac:dyDescent="0.3"/>
    <row r="21" spans="2:7" ht="17.100000000000001" customHeight="1" x14ac:dyDescent="0.3"/>
    <row r="22" spans="2:7" ht="17.100000000000001" customHeight="1" x14ac:dyDescent="0.3">
      <c r="B22" s="175"/>
    </row>
    <row r="23" spans="2:7" ht="17.100000000000001" customHeight="1" x14ac:dyDescent="0.3"/>
    <row r="24" spans="2:7" ht="17.100000000000001" customHeight="1" x14ac:dyDescent="0.3"/>
    <row r="25" spans="2:7" ht="17.100000000000001" customHeight="1" x14ac:dyDescent="0.3"/>
    <row r="26" spans="2:7" ht="17.100000000000001" customHeight="1" x14ac:dyDescent="0.3">
      <c r="B26" s="49" t="s">
        <v>1196</v>
      </c>
    </row>
    <row r="30" spans="2:7" x14ac:dyDescent="0.3">
      <c r="G30" s="7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2:O126"/>
  <sheetViews>
    <sheetView showGridLines="0" workbookViewId="0">
      <selection activeCell="O3" sqref="O3"/>
    </sheetView>
  </sheetViews>
  <sheetFormatPr defaultColWidth="9.109375" defaultRowHeight="13.8" x14ac:dyDescent="0.3"/>
  <cols>
    <col min="1" max="1" width="9.109375" style="6"/>
    <col min="2" max="13" width="6.109375" style="6" customWidth="1"/>
    <col min="14" max="16384" width="9.109375" style="6"/>
  </cols>
  <sheetData>
    <row r="2" spans="1:15" x14ac:dyDescent="0.3">
      <c r="O2" s="49" t="s">
        <v>1200</v>
      </c>
    </row>
    <row r="3" spans="1:15" x14ac:dyDescent="0.3">
      <c r="O3" s="49" t="s">
        <v>1201</v>
      </c>
    </row>
    <row r="4" spans="1:15" x14ac:dyDescent="0.3">
      <c r="A4" s="117" t="s">
        <v>176</v>
      </c>
      <c r="B4" s="16"/>
      <c r="C4" s="19" t="s">
        <v>1010</v>
      </c>
      <c r="D4" s="117"/>
      <c r="E4" s="117"/>
      <c r="F4" s="16"/>
      <c r="G4" s="16"/>
      <c r="H4" s="16"/>
      <c r="I4" s="16"/>
      <c r="J4" s="16"/>
      <c r="K4" s="16"/>
      <c r="L4" s="16"/>
      <c r="M4" s="16"/>
    </row>
    <row r="5" spans="1:15" x14ac:dyDescent="0.3">
      <c r="B5" s="123" t="s">
        <v>966</v>
      </c>
      <c r="C5" s="358" t="s">
        <v>967</v>
      </c>
      <c r="D5" s="704">
        <v>10</v>
      </c>
      <c r="E5" s="704">
        <v>20</v>
      </c>
      <c r="F5" s="703">
        <v>30</v>
      </c>
      <c r="G5" s="703">
        <v>40</v>
      </c>
      <c r="H5" s="703">
        <v>50</v>
      </c>
      <c r="I5" s="703">
        <v>60</v>
      </c>
      <c r="J5" s="703">
        <v>70</v>
      </c>
      <c r="K5" s="703">
        <v>80</v>
      </c>
      <c r="L5" s="703">
        <v>90</v>
      </c>
      <c r="M5" s="703"/>
    </row>
    <row r="6" spans="1:15" x14ac:dyDescent="0.3">
      <c r="A6" s="703">
        <v>2000.01</v>
      </c>
      <c r="B6" s="358">
        <v>49.623591434529594</v>
      </c>
      <c r="C6" s="358">
        <v>49.623591434529594</v>
      </c>
      <c r="D6" s="704"/>
      <c r="E6" s="704">
        <v>49.623591434529594</v>
      </c>
      <c r="F6" s="703">
        <v>0</v>
      </c>
      <c r="G6" s="703">
        <v>0</v>
      </c>
      <c r="H6" s="703">
        <v>0</v>
      </c>
      <c r="I6" s="703">
        <v>0</v>
      </c>
      <c r="J6" s="703">
        <v>0</v>
      </c>
      <c r="K6" s="703">
        <v>0</v>
      </c>
      <c r="L6" s="703">
        <v>0</v>
      </c>
      <c r="M6" s="703">
        <v>0</v>
      </c>
    </row>
    <row r="7" spans="1:15" x14ac:dyDescent="0.3">
      <c r="A7" s="703">
        <v>2001.01</v>
      </c>
      <c r="B7" s="358">
        <v>48.281289164281588</v>
      </c>
      <c r="C7" s="358">
        <v>48.281289164281588</v>
      </c>
      <c r="D7" s="704"/>
      <c r="E7" s="704">
        <v>48.281289164281588</v>
      </c>
      <c r="F7" s="703">
        <v>0</v>
      </c>
      <c r="G7" s="703">
        <v>0</v>
      </c>
      <c r="H7" s="703">
        <v>0</v>
      </c>
      <c r="I7" s="703">
        <v>0</v>
      </c>
      <c r="J7" s="703">
        <v>0</v>
      </c>
      <c r="K7" s="703">
        <v>0</v>
      </c>
      <c r="L7" s="703">
        <v>0</v>
      </c>
      <c r="M7" s="703">
        <v>0</v>
      </c>
    </row>
    <row r="8" spans="1:15" x14ac:dyDescent="0.3">
      <c r="A8" s="703">
        <v>2002.01</v>
      </c>
      <c r="B8" s="358">
        <v>42.882204303671152</v>
      </c>
      <c r="C8" s="358">
        <v>42.882204303671152</v>
      </c>
      <c r="D8" s="704"/>
      <c r="E8" s="704">
        <v>42.882204303671152</v>
      </c>
      <c r="F8" s="703">
        <v>0</v>
      </c>
      <c r="G8" s="703">
        <v>0</v>
      </c>
      <c r="H8" s="703">
        <v>0</v>
      </c>
      <c r="I8" s="703">
        <v>0</v>
      </c>
      <c r="J8" s="703">
        <v>0</v>
      </c>
      <c r="K8" s="703">
        <v>0</v>
      </c>
      <c r="L8" s="703">
        <v>0</v>
      </c>
      <c r="M8" s="703">
        <v>0</v>
      </c>
    </row>
    <row r="9" spans="1:15" x14ac:dyDescent="0.3">
      <c r="A9" s="703">
        <v>2003.01</v>
      </c>
      <c r="B9" s="358">
        <v>41.588675572343931</v>
      </c>
      <c r="C9" s="358">
        <v>41.588675572343931</v>
      </c>
      <c r="D9" s="704"/>
      <c r="E9" s="704">
        <v>41.588675572343931</v>
      </c>
      <c r="F9" s="703">
        <v>0</v>
      </c>
      <c r="G9" s="703">
        <v>0</v>
      </c>
      <c r="H9" s="703">
        <v>0</v>
      </c>
      <c r="I9" s="703">
        <v>0</v>
      </c>
      <c r="J9" s="703">
        <v>0</v>
      </c>
      <c r="K9" s="703">
        <v>0</v>
      </c>
      <c r="L9" s="703">
        <v>0</v>
      </c>
      <c r="M9" s="703">
        <v>0</v>
      </c>
    </row>
    <row r="10" spans="1:15" x14ac:dyDescent="0.3">
      <c r="A10" s="703">
        <v>2004.01</v>
      </c>
      <c r="B10" s="358">
        <v>40.639241673264422</v>
      </c>
      <c r="C10" s="358">
        <v>40.639241673264422</v>
      </c>
      <c r="D10" s="704">
        <v>0</v>
      </c>
      <c r="E10" s="704">
        <v>40.639241673264422</v>
      </c>
      <c r="F10" s="703">
        <v>0</v>
      </c>
      <c r="G10" s="703">
        <v>0</v>
      </c>
      <c r="H10" s="703">
        <v>0</v>
      </c>
      <c r="I10" s="703">
        <v>0</v>
      </c>
      <c r="J10" s="703">
        <v>0</v>
      </c>
      <c r="K10" s="703">
        <v>0</v>
      </c>
      <c r="L10" s="703">
        <v>0</v>
      </c>
      <c r="M10" s="703">
        <v>0</v>
      </c>
    </row>
    <row r="11" spans="1:15" x14ac:dyDescent="0.3">
      <c r="A11" s="703">
        <v>2005.01</v>
      </c>
      <c r="B11" s="358">
        <v>34.240963048671411</v>
      </c>
      <c r="C11" s="358">
        <v>34.240963048671411</v>
      </c>
      <c r="D11" s="704">
        <v>0</v>
      </c>
      <c r="E11" s="704">
        <v>34.240963048671411</v>
      </c>
      <c r="F11" s="703">
        <v>0</v>
      </c>
      <c r="G11" s="703">
        <v>0</v>
      </c>
      <c r="H11" s="703">
        <v>0</v>
      </c>
      <c r="I11" s="703">
        <v>0</v>
      </c>
      <c r="J11" s="703">
        <v>0</v>
      </c>
      <c r="K11" s="703">
        <v>0</v>
      </c>
      <c r="L11" s="703">
        <v>0</v>
      </c>
      <c r="M11" s="703">
        <v>0</v>
      </c>
    </row>
    <row r="12" spans="1:15" x14ac:dyDescent="0.3">
      <c r="A12" s="703">
        <v>2006.01</v>
      </c>
      <c r="B12" s="358">
        <v>31.076571644898603</v>
      </c>
      <c r="C12" s="358">
        <v>31.076571644898603</v>
      </c>
      <c r="D12" s="704">
        <v>0</v>
      </c>
      <c r="E12" s="704">
        <v>31.076571644898603</v>
      </c>
      <c r="F12" s="703">
        <v>0</v>
      </c>
      <c r="G12" s="703">
        <v>0</v>
      </c>
      <c r="H12" s="703">
        <v>0</v>
      </c>
      <c r="I12" s="703">
        <v>0</v>
      </c>
      <c r="J12" s="703">
        <v>0</v>
      </c>
      <c r="K12" s="703">
        <v>0</v>
      </c>
      <c r="L12" s="703">
        <v>0</v>
      </c>
      <c r="M12" s="703">
        <v>0</v>
      </c>
    </row>
    <row r="13" spans="1:15" x14ac:dyDescent="0.3">
      <c r="A13" s="703">
        <v>2007.01</v>
      </c>
      <c r="B13" s="358">
        <v>30.216377931826617</v>
      </c>
      <c r="C13" s="358">
        <v>30.216377931826617</v>
      </c>
      <c r="D13" s="704">
        <v>0</v>
      </c>
      <c r="E13" s="704">
        <v>30.216377931826617</v>
      </c>
      <c r="F13" s="703">
        <v>0</v>
      </c>
      <c r="G13" s="703">
        <v>0</v>
      </c>
      <c r="H13" s="703">
        <v>0</v>
      </c>
      <c r="I13" s="703">
        <v>0</v>
      </c>
      <c r="J13" s="703">
        <v>0</v>
      </c>
      <c r="K13" s="703">
        <v>0</v>
      </c>
      <c r="L13" s="703">
        <v>0</v>
      </c>
      <c r="M13" s="703">
        <v>0</v>
      </c>
    </row>
    <row r="14" spans="1:15" x14ac:dyDescent="0.3">
      <c r="A14" s="703">
        <v>2008.01</v>
      </c>
      <c r="B14" s="358">
        <v>28.576073437655481</v>
      </c>
      <c r="C14" s="358">
        <v>28.576073437655481</v>
      </c>
      <c r="D14" s="704">
        <v>0</v>
      </c>
      <c r="E14" s="704">
        <v>28.576073437655481</v>
      </c>
      <c r="F14" s="703">
        <v>0</v>
      </c>
      <c r="G14" s="703">
        <v>0</v>
      </c>
      <c r="H14" s="703">
        <v>0</v>
      </c>
      <c r="I14" s="703">
        <v>0</v>
      </c>
      <c r="J14" s="703">
        <v>0</v>
      </c>
      <c r="K14" s="703">
        <v>0</v>
      </c>
      <c r="L14" s="703">
        <v>0</v>
      </c>
      <c r="M14" s="703">
        <v>0</v>
      </c>
    </row>
    <row r="15" spans="1:15" x14ac:dyDescent="0.3">
      <c r="A15" s="703">
        <v>2009.01</v>
      </c>
      <c r="B15" s="358">
        <v>36.402084560104086</v>
      </c>
      <c r="C15" s="358">
        <v>36.402084560104086</v>
      </c>
      <c r="D15" s="704">
        <v>0</v>
      </c>
      <c r="E15" s="704">
        <v>36.402084560104086</v>
      </c>
      <c r="F15" s="703">
        <v>0</v>
      </c>
      <c r="G15" s="703">
        <v>0</v>
      </c>
      <c r="H15" s="703">
        <v>0</v>
      </c>
      <c r="I15" s="703">
        <v>0</v>
      </c>
      <c r="J15" s="703">
        <v>0</v>
      </c>
      <c r="K15" s="703">
        <v>0</v>
      </c>
      <c r="L15" s="703">
        <v>0</v>
      </c>
      <c r="M15" s="703">
        <v>0</v>
      </c>
    </row>
    <row r="16" spans="1:15" x14ac:dyDescent="0.3">
      <c r="A16" s="703">
        <v>2010.01</v>
      </c>
      <c r="B16" s="358">
        <v>41.30129792104745</v>
      </c>
      <c r="C16" s="358">
        <v>41.30129792104745</v>
      </c>
      <c r="D16" s="704">
        <v>0</v>
      </c>
      <c r="E16" s="704">
        <v>41.30129792104745</v>
      </c>
      <c r="F16" s="703">
        <v>0</v>
      </c>
      <c r="G16" s="703">
        <v>0</v>
      </c>
      <c r="H16" s="703">
        <v>0</v>
      </c>
      <c r="I16" s="703">
        <v>0</v>
      </c>
      <c r="J16" s="703">
        <v>0</v>
      </c>
      <c r="K16" s="703">
        <v>0</v>
      </c>
      <c r="L16" s="703">
        <v>0</v>
      </c>
      <c r="M16" s="703">
        <v>0</v>
      </c>
    </row>
    <row r="17" spans="1:13" x14ac:dyDescent="0.3">
      <c r="A17" s="703">
        <v>2011.01</v>
      </c>
      <c r="B17" s="358">
        <v>43.825513129112217</v>
      </c>
      <c r="C17" s="358">
        <v>43.825513129112217</v>
      </c>
      <c r="D17" s="704">
        <v>0</v>
      </c>
      <c r="E17" s="704">
        <v>43.825513129112217</v>
      </c>
      <c r="F17" s="703">
        <v>0</v>
      </c>
      <c r="G17" s="703">
        <v>0</v>
      </c>
      <c r="H17" s="703">
        <v>0</v>
      </c>
      <c r="I17" s="703">
        <v>0</v>
      </c>
      <c r="J17" s="703">
        <v>0</v>
      </c>
      <c r="K17" s="703">
        <v>0</v>
      </c>
      <c r="L17" s="703">
        <v>0</v>
      </c>
      <c r="M17" s="703">
        <v>0</v>
      </c>
    </row>
    <row r="18" spans="1:13" x14ac:dyDescent="0.3">
      <c r="A18" s="703">
        <v>2012.01</v>
      </c>
      <c r="B18" s="358">
        <v>52.309198594021169</v>
      </c>
      <c r="C18" s="358">
        <v>52.309198594021169</v>
      </c>
      <c r="D18" s="704">
        <v>0</v>
      </c>
      <c r="E18" s="704">
        <v>52.309198594021169</v>
      </c>
      <c r="F18" s="703">
        <v>0</v>
      </c>
      <c r="G18" s="703">
        <v>0</v>
      </c>
      <c r="H18" s="703">
        <v>0</v>
      </c>
      <c r="I18" s="703">
        <v>0</v>
      </c>
      <c r="J18" s="703">
        <v>0</v>
      </c>
      <c r="K18" s="703">
        <v>0</v>
      </c>
      <c r="L18" s="703">
        <v>0</v>
      </c>
      <c r="M18" s="703">
        <v>0</v>
      </c>
    </row>
    <row r="19" spans="1:13" x14ac:dyDescent="0.3">
      <c r="A19" s="703">
        <v>2013.01</v>
      </c>
      <c r="B19" s="358">
        <v>54.843727452519694</v>
      </c>
      <c r="C19" s="358">
        <v>54.843727452519694</v>
      </c>
      <c r="D19" s="704">
        <v>0</v>
      </c>
      <c r="E19" s="704">
        <v>54.843727452519694</v>
      </c>
      <c r="F19" s="703">
        <v>0</v>
      </c>
      <c r="G19" s="703">
        <v>0</v>
      </c>
      <c r="H19" s="703">
        <v>0</v>
      </c>
      <c r="I19" s="703">
        <v>0</v>
      </c>
      <c r="J19" s="703">
        <v>0</v>
      </c>
      <c r="K19" s="703">
        <v>0</v>
      </c>
      <c r="L19" s="703">
        <v>0</v>
      </c>
      <c r="M19" s="703">
        <v>0</v>
      </c>
    </row>
    <row r="20" spans="1:13" x14ac:dyDescent="0.3">
      <c r="A20" s="703">
        <v>2014.01</v>
      </c>
      <c r="B20" s="358">
        <v>53.625360305843564</v>
      </c>
      <c r="C20" s="358">
        <v>53.625360305843564</v>
      </c>
      <c r="D20" s="704">
        <v>0</v>
      </c>
      <c r="E20" s="704">
        <v>53.625360305843564</v>
      </c>
      <c r="F20" s="703">
        <v>0</v>
      </c>
      <c r="G20" s="703">
        <v>0</v>
      </c>
      <c r="H20" s="703">
        <v>0</v>
      </c>
      <c r="I20" s="703">
        <v>0</v>
      </c>
      <c r="J20" s="703">
        <v>0</v>
      </c>
      <c r="K20" s="703">
        <v>0</v>
      </c>
      <c r="L20" s="703">
        <v>0</v>
      </c>
      <c r="M20" s="703">
        <v>0</v>
      </c>
    </row>
    <row r="21" spans="1:13" x14ac:dyDescent="0.3">
      <c r="A21" s="703">
        <v>2015.01</v>
      </c>
      <c r="B21" s="358">
        <v>51.88713014805073</v>
      </c>
      <c r="C21" s="358">
        <v>51.88713014805073</v>
      </c>
      <c r="D21" s="704">
        <v>0</v>
      </c>
      <c r="E21" s="704">
        <v>51.88713014805073</v>
      </c>
      <c r="F21" s="703">
        <v>0</v>
      </c>
      <c r="G21" s="703">
        <v>0</v>
      </c>
      <c r="H21" s="703">
        <v>0</v>
      </c>
      <c r="I21" s="703">
        <v>0</v>
      </c>
      <c r="J21" s="703">
        <v>0</v>
      </c>
      <c r="K21" s="703">
        <v>0</v>
      </c>
      <c r="L21" s="703">
        <v>0</v>
      </c>
      <c r="M21" s="703">
        <v>0</v>
      </c>
    </row>
    <row r="22" spans="1:13" x14ac:dyDescent="0.3">
      <c r="A22" s="703">
        <v>2016.01</v>
      </c>
      <c r="B22" s="358">
        <v>52.024438938987174</v>
      </c>
      <c r="C22" s="358">
        <v>52.024438938987174</v>
      </c>
      <c r="D22" s="704">
        <v>0</v>
      </c>
      <c r="E22" s="704">
        <v>52.024438938987174</v>
      </c>
      <c r="F22" s="703">
        <v>0</v>
      </c>
      <c r="G22" s="703">
        <v>0</v>
      </c>
      <c r="H22" s="703">
        <v>0</v>
      </c>
      <c r="I22" s="703">
        <v>0</v>
      </c>
      <c r="J22" s="703">
        <v>0</v>
      </c>
      <c r="K22" s="703">
        <v>0</v>
      </c>
      <c r="L22" s="703">
        <v>0</v>
      </c>
      <c r="M22" s="703">
        <v>0</v>
      </c>
    </row>
    <row r="23" spans="1:13" x14ac:dyDescent="0.3">
      <c r="A23" s="703">
        <v>2017.01</v>
      </c>
      <c r="B23" s="358">
        <v>51.314560898129315</v>
      </c>
      <c r="C23" s="358">
        <v>51.314560898129315</v>
      </c>
      <c r="D23" s="704">
        <v>0</v>
      </c>
      <c r="E23" s="704">
        <v>51.314560898129315</v>
      </c>
      <c r="F23" s="703">
        <v>0</v>
      </c>
      <c r="G23" s="703">
        <v>0</v>
      </c>
      <c r="H23" s="703">
        <v>0</v>
      </c>
      <c r="I23" s="703">
        <v>0</v>
      </c>
      <c r="J23" s="703">
        <v>0</v>
      </c>
      <c r="K23" s="703">
        <v>0</v>
      </c>
      <c r="L23" s="703">
        <v>0</v>
      </c>
      <c r="M23" s="703">
        <v>0</v>
      </c>
    </row>
    <row r="24" spans="1:13" x14ac:dyDescent="0.3">
      <c r="A24" s="703">
        <v>2018.01</v>
      </c>
      <c r="B24" s="358">
        <v>49.399662582749201</v>
      </c>
      <c r="C24" s="358">
        <v>49.399662582749201</v>
      </c>
      <c r="D24" s="704">
        <v>0</v>
      </c>
      <c r="E24" s="704">
        <v>49.399662582749201</v>
      </c>
      <c r="F24" s="703">
        <v>0</v>
      </c>
      <c r="G24" s="703">
        <v>0</v>
      </c>
      <c r="H24" s="703">
        <v>0</v>
      </c>
      <c r="I24" s="703">
        <v>0</v>
      </c>
      <c r="J24" s="703">
        <v>0</v>
      </c>
      <c r="K24" s="703">
        <v>0</v>
      </c>
      <c r="L24" s="703">
        <v>0</v>
      </c>
      <c r="M24" s="703">
        <v>0</v>
      </c>
    </row>
    <row r="25" spans="1:13" x14ac:dyDescent="0.3">
      <c r="A25" s="703">
        <v>2019.01</v>
      </c>
      <c r="B25" s="358">
        <v>47.92929189064612</v>
      </c>
      <c r="C25" s="358">
        <v>48.433826036771983</v>
      </c>
      <c r="D25" s="704">
        <v>-0.504534146125863</v>
      </c>
      <c r="E25" s="704">
        <v>45.422080829353909</v>
      </c>
      <c r="F25" s="703">
        <v>0.98106197493997627</v>
      </c>
      <c r="G25" s="703">
        <v>0.78873757818198698</v>
      </c>
      <c r="H25" s="703">
        <v>0.64412338635182209</v>
      </c>
      <c r="I25" s="703">
        <v>0.5903000770730884</v>
      </c>
      <c r="J25" s="703">
        <v>0.61805533526422352</v>
      </c>
      <c r="K25" s="703">
        <v>0.60022767094172735</v>
      </c>
      <c r="L25" s="703">
        <v>0.72076787016876409</v>
      </c>
      <c r="M25" s="703">
        <v>1.117088813085644</v>
      </c>
    </row>
    <row r="26" spans="1:13" x14ac:dyDescent="0.3">
      <c r="A26" s="703">
        <v>2020.01</v>
      </c>
      <c r="B26" s="358">
        <v>46.811134827452079</v>
      </c>
      <c r="C26" s="358">
        <v>47.991220241793492</v>
      </c>
      <c r="D26" s="704">
        <v>-1.1800854143414128</v>
      </c>
      <c r="E26" s="704">
        <v>42.801221454352259</v>
      </c>
      <c r="F26" s="703">
        <v>1.7516029333025358</v>
      </c>
      <c r="G26" s="703">
        <v>1.3325305914148728</v>
      </c>
      <c r="H26" s="703">
        <v>1.1221286534043884</v>
      </c>
      <c r="I26" s="703">
        <v>1.0015242838038674</v>
      </c>
      <c r="J26" s="703">
        <v>1.0023136492031455</v>
      </c>
      <c r="K26" s="703">
        <v>1.1028898249574581</v>
      </c>
      <c r="L26" s="703">
        <v>1.2385827393475921</v>
      </c>
      <c r="M26" s="703">
        <v>1.7368415407668039</v>
      </c>
    </row>
    <row r="27" spans="1:13" x14ac:dyDescent="0.3">
      <c r="A27" s="703">
        <v>2021.01</v>
      </c>
      <c r="B27" s="358">
        <v>45.899876890669269</v>
      </c>
      <c r="C27" s="358">
        <v>47.773828088659847</v>
      </c>
      <c r="D27" s="704">
        <v>-1.8739511979905785</v>
      </c>
      <c r="E27" s="704">
        <v>40.828848418386563</v>
      </c>
      <c r="F27" s="703">
        <v>2.3213057241736479</v>
      </c>
      <c r="G27" s="703">
        <v>1.7452316353658475</v>
      </c>
      <c r="H27" s="703">
        <v>1.483844105666499</v>
      </c>
      <c r="I27" s="703">
        <v>1.3594610132051201</v>
      </c>
      <c r="J27" s="703">
        <v>1.3566007819795445</v>
      </c>
      <c r="K27" s="703">
        <v>1.4882579036885559</v>
      </c>
      <c r="L27" s="703">
        <v>1.8037898199204534</v>
      </c>
      <c r="M27" s="703">
        <v>2.4494313607150957</v>
      </c>
    </row>
    <row r="28" spans="1:13" ht="14.4" thickBot="1" x14ac:dyDescent="0.35">
      <c r="A28" s="719">
        <v>2022.01</v>
      </c>
      <c r="B28" s="720">
        <v>44.792971185669288</v>
      </c>
      <c r="C28" s="720">
        <v>47.840044349082198</v>
      </c>
      <c r="D28" s="721">
        <v>-3.0470731634129109</v>
      </c>
      <c r="E28" s="721">
        <v>39.533818540632318</v>
      </c>
      <c r="F28" s="719">
        <v>3.0078008598880572</v>
      </c>
      <c r="G28" s="719">
        <v>1.864598327973475</v>
      </c>
      <c r="H28" s="719">
        <v>1.8774543089669606</v>
      </c>
      <c r="I28" s="719">
        <v>1.5795367778156617</v>
      </c>
      <c r="J28" s="719">
        <v>1.5664667134068395</v>
      </c>
      <c r="K28" s="719">
        <v>1.6630746102902094</v>
      </c>
      <c r="L28" s="719">
        <v>2.0025651230850272</v>
      </c>
      <c r="M28" s="719">
        <v>3.0419159981580108</v>
      </c>
    </row>
    <row r="29" spans="1:13" x14ac:dyDescent="0.3">
      <c r="B29" s="123"/>
      <c r="C29" s="358"/>
      <c r="D29" s="358"/>
      <c r="E29" s="358"/>
    </row>
    <row r="30" spans="1:13" x14ac:dyDescent="0.3">
      <c r="B30" s="123"/>
      <c r="C30" s="358"/>
      <c r="D30" s="358"/>
      <c r="E30" s="358"/>
    </row>
    <row r="31" spans="1:13" x14ac:dyDescent="0.3">
      <c r="B31" s="123"/>
      <c r="C31" s="358"/>
      <c r="D31" s="358"/>
      <c r="E31" s="358"/>
    </row>
    <row r="32" spans="1:13" x14ac:dyDescent="0.3">
      <c r="B32" s="123"/>
      <c r="C32" s="358"/>
      <c r="D32" s="358"/>
      <c r="E32" s="358"/>
    </row>
    <row r="33" spans="2:5" x14ac:dyDescent="0.3">
      <c r="B33" s="123"/>
      <c r="C33" s="358"/>
      <c r="D33" s="358"/>
      <c r="E33" s="358"/>
    </row>
    <row r="34" spans="2:5" x14ac:dyDescent="0.3">
      <c r="B34" s="123"/>
      <c r="C34" s="358"/>
      <c r="D34" s="358"/>
      <c r="E34" s="358"/>
    </row>
    <row r="35" spans="2:5" x14ac:dyDescent="0.3">
      <c r="B35" s="123"/>
      <c r="C35" s="358"/>
      <c r="D35" s="358"/>
      <c r="E35" s="358"/>
    </row>
    <row r="36" spans="2:5" x14ac:dyDescent="0.3">
      <c r="B36" s="123"/>
      <c r="C36" s="358"/>
      <c r="D36" s="358"/>
      <c r="E36" s="358"/>
    </row>
    <row r="37" spans="2:5" x14ac:dyDescent="0.3">
      <c r="B37" s="123"/>
      <c r="C37" s="358"/>
      <c r="D37" s="358"/>
      <c r="E37" s="358"/>
    </row>
    <row r="38" spans="2:5" x14ac:dyDescent="0.3">
      <c r="B38" s="123"/>
      <c r="C38" s="358"/>
      <c r="D38" s="358"/>
      <c r="E38" s="358"/>
    </row>
    <row r="39" spans="2:5" x14ac:dyDescent="0.3">
      <c r="B39" s="123"/>
      <c r="C39" s="358"/>
      <c r="D39" s="358"/>
      <c r="E39" s="358"/>
    </row>
    <row r="40" spans="2:5" x14ac:dyDescent="0.3">
      <c r="B40" s="123"/>
      <c r="C40" s="358"/>
      <c r="D40" s="358"/>
      <c r="E40" s="358"/>
    </row>
    <row r="41" spans="2:5" x14ac:dyDescent="0.3">
      <c r="B41" s="123"/>
      <c r="C41" s="358"/>
      <c r="D41" s="358"/>
      <c r="E41" s="358"/>
    </row>
    <row r="42" spans="2:5" x14ac:dyDescent="0.3">
      <c r="B42" s="123"/>
      <c r="C42" s="358"/>
      <c r="D42" s="358"/>
      <c r="E42" s="358"/>
    </row>
    <row r="43" spans="2:5" x14ac:dyDescent="0.3">
      <c r="B43" s="123"/>
      <c r="C43" s="358"/>
      <c r="D43" s="358"/>
      <c r="E43" s="358"/>
    </row>
    <row r="44" spans="2:5" x14ac:dyDescent="0.3">
      <c r="B44" s="123"/>
      <c r="C44" s="358"/>
      <c r="D44" s="358"/>
      <c r="E44" s="358"/>
    </row>
    <row r="45" spans="2:5" x14ac:dyDescent="0.3">
      <c r="B45" s="123"/>
      <c r="C45" s="358"/>
      <c r="D45" s="358"/>
      <c r="E45" s="358"/>
    </row>
    <row r="46" spans="2:5" x14ac:dyDescent="0.3">
      <c r="B46" s="123"/>
      <c r="C46" s="358"/>
      <c r="D46" s="358"/>
      <c r="E46" s="358"/>
    </row>
    <row r="47" spans="2:5" x14ac:dyDescent="0.3">
      <c r="B47" s="123"/>
      <c r="C47" s="358"/>
      <c r="D47" s="358"/>
      <c r="E47" s="358"/>
    </row>
    <row r="48" spans="2:5" x14ac:dyDescent="0.3">
      <c r="B48" s="123"/>
      <c r="C48" s="358"/>
      <c r="D48" s="358"/>
      <c r="E48" s="358"/>
    </row>
    <row r="49" spans="2:5" x14ac:dyDescent="0.3">
      <c r="B49" s="123"/>
      <c r="C49" s="358"/>
      <c r="D49" s="358"/>
      <c r="E49" s="358"/>
    </row>
    <row r="50" spans="2:5" x14ac:dyDescent="0.3">
      <c r="B50" s="123"/>
      <c r="C50" s="358"/>
      <c r="D50" s="358"/>
      <c r="E50" s="358"/>
    </row>
    <row r="51" spans="2:5" x14ac:dyDescent="0.3">
      <c r="B51" s="123"/>
      <c r="C51" s="358"/>
      <c r="D51" s="358"/>
      <c r="E51" s="358"/>
    </row>
    <row r="52" spans="2:5" x14ac:dyDescent="0.3">
      <c r="B52" s="123"/>
      <c r="C52" s="358"/>
      <c r="D52" s="358"/>
      <c r="E52" s="358"/>
    </row>
    <row r="53" spans="2:5" x14ac:dyDescent="0.3">
      <c r="B53" s="123"/>
      <c r="C53" s="358"/>
      <c r="D53" s="358"/>
      <c r="E53" s="358"/>
    </row>
    <row r="54" spans="2:5" x14ac:dyDescent="0.3">
      <c r="B54" s="123"/>
      <c r="C54" s="358"/>
      <c r="D54" s="358"/>
      <c r="E54" s="358"/>
    </row>
    <row r="55" spans="2:5" x14ac:dyDescent="0.3">
      <c r="B55" s="123"/>
      <c r="C55" s="358"/>
      <c r="D55" s="358"/>
      <c r="E55" s="358"/>
    </row>
    <row r="56" spans="2:5" x14ac:dyDescent="0.3">
      <c r="B56" s="123"/>
      <c r="C56" s="358"/>
      <c r="D56" s="358"/>
      <c r="E56" s="358"/>
    </row>
    <row r="57" spans="2:5" x14ac:dyDescent="0.3">
      <c r="B57" s="123"/>
      <c r="C57" s="358"/>
      <c r="D57" s="358"/>
      <c r="E57" s="358"/>
    </row>
    <row r="58" spans="2:5" x14ac:dyDescent="0.3">
      <c r="B58" s="123"/>
      <c r="C58" s="358"/>
      <c r="D58" s="358"/>
      <c r="E58" s="358"/>
    </row>
    <row r="59" spans="2:5" x14ac:dyDescent="0.3">
      <c r="B59" s="123"/>
      <c r="C59" s="358"/>
      <c r="D59" s="358"/>
      <c r="E59" s="358"/>
    </row>
    <row r="60" spans="2:5" x14ac:dyDescent="0.3">
      <c r="B60" s="123"/>
      <c r="C60" s="358"/>
      <c r="D60" s="358"/>
      <c r="E60" s="358"/>
    </row>
    <row r="61" spans="2:5" x14ac:dyDescent="0.3">
      <c r="B61" s="123"/>
      <c r="C61" s="358"/>
      <c r="D61" s="358"/>
      <c r="E61" s="358"/>
    </row>
    <row r="62" spans="2:5" x14ac:dyDescent="0.3">
      <c r="B62" s="123"/>
      <c r="C62" s="358"/>
      <c r="D62" s="358"/>
      <c r="E62" s="358"/>
    </row>
    <row r="63" spans="2:5" x14ac:dyDescent="0.3">
      <c r="B63" s="123"/>
      <c r="C63" s="358"/>
      <c r="D63" s="358"/>
      <c r="E63" s="358"/>
    </row>
    <row r="64" spans="2:5" x14ac:dyDescent="0.3">
      <c r="B64" s="123"/>
      <c r="C64" s="358"/>
      <c r="D64" s="358"/>
      <c r="E64" s="358"/>
    </row>
    <row r="65" spans="2:5" x14ac:dyDescent="0.3">
      <c r="B65" s="123"/>
      <c r="C65" s="358"/>
      <c r="D65" s="358"/>
      <c r="E65" s="358"/>
    </row>
    <row r="66" spans="2:5" x14ac:dyDescent="0.3">
      <c r="B66" s="123"/>
      <c r="C66" s="358"/>
      <c r="D66" s="358"/>
      <c r="E66" s="358"/>
    </row>
    <row r="67" spans="2:5" x14ac:dyDescent="0.3">
      <c r="B67" s="123"/>
      <c r="C67" s="358"/>
      <c r="D67" s="358"/>
      <c r="E67" s="358"/>
    </row>
    <row r="68" spans="2:5" x14ac:dyDescent="0.3">
      <c r="B68" s="123"/>
      <c r="C68" s="358"/>
      <c r="D68" s="358"/>
      <c r="E68" s="358"/>
    </row>
    <row r="69" spans="2:5" x14ac:dyDescent="0.3">
      <c r="B69" s="123"/>
      <c r="C69" s="358"/>
      <c r="D69" s="358"/>
      <c r="E69" s="358"/>
    </row>
    <row r="70" spans="2:5" x14ac:dyDescent="0.3">
      <c r="B70" s="123"/>
      <c r="C70" s="358"/>
      <c r="D70" s="358"/>
      <c r="E70" s="358"/>
    </row>
    <row r="71" spans="2:5" x14ac:dyDescent="0.3">
      <c r="B71" s="123"/>
      <c r="C71" s="358"/>
      <c r="D71" s="358"/>
      <c r="E71" s="358"/>
    </row>
    <row r="72" spans="2:5" x14ac:dyDescent="0.3">
      <c r="B72" s="123"/>
      <c r="C72" s="358"/>
      <c r="D72" s="358"/>
      <c r="E72" s="358"/>
    </row>
    <row r="73" spans="2:5" x14ac:dyDescent="0.3">
      <c r="B73" s="123"/>
      <c r="C73" s="358"/>
      <c r="D73" s="358"/>
      <c r="E73" s="358"/>
    </row>
    <row r="74" spans="2:5" x14ac:dyDescent="0.3">
      <c r="B74" s="123"/>
      <c r="C74" s="358"/>
      <c r="D74" s="358"/>
      <c r="E74" s="358"/>
    </row>
    <row r="75" spans="2:5" x14ac:dyDescent="0.3">
      <c r="B75" s="123"/>
      <c r="C75" s="358"/>
      <c r="D75" s="358"/>
      <c r="E75" s="358"/>
    </row>
    <row r="76" spans="2:5" x14ac:dyDescent="0.3">
      <c r="B76" s="123"/>
      <c r="C76" s="358"/>
      <c r="D76" s="358"/>
      <c r="E76" s="358"/>
    </row>
    <row r="77" spans="2:5" x14ac:dyDescent="0.3">
      <c r="B77" s="123"/>
      <c r="C77" s="358"/>
      <c r="D77" s="358"/>
      <c r="E77" s="358"/>
    </row>
    <row r="78" spans="2:5" x14ac:dyDescent="0.3">
      <c r="B78" s="123"/>
      <c r="C78" s="358"/>
      <c r="D78" s="358"/>
      <c r="E78" s="358"/>
    </row>
    <row r="79" spans="2:5" x14ac:dyDescent="0.3">
      <c r="B79" s="123"/>
      <c r="C79" s="358"/>
      <c r="D79" s="358"/>
      <c r="E79" s="358"/>
    </row>
    <row r="80" spans="2:5" x14ac:dyDescent="0.3">
      <c r="B80" s="123"/>
      <c r="C80" s="358"/>
      <c r="D80" s="358"/>
      <c r="E80" s="358"/>
    </row>
    <row r="81" spans="2:5" x14ac:dyDescent="0.3">
      <c r="B81" s="123"/>
      <c r="C81" s="358"/>
      <c r="D81" s="358"/>
      <c r="E81" s="358"/>
    </row>
    <row r="82" spans="2:5" x14ac:dyDescent="0.3">
      <c r="B82" s="123"/>
      <c r="C82" s="358"/>
      <c r="D82" s="358"/>
      <c r="E82" s="358"/>
    </row>
    <row r="83" spans="2:5" x14ac:dyDescent="0.3">
      <c r="B83" s="123"/>
      <c r="C83" s="358"/>
      <c r="D83" s="358"/>
      <c r="E83" s="358"/>
    </row>
    <row r="84" spans="2:5" x14ac:dyDescent="0.3">
      <c r="B84" s="123"/>
      <c r="C84" s="358"/>
      <c r="D84" s="358"/>
      <c r="E84" s="358"/>
    </row>
    <row r="85" spans="2:5" x14ac:dyDescent="0.3">
      <c r="B85" s="123"/>
      <c r="C85" s="358"/>
      <c r="D85" s="358"/>
      <c r="E85" s="358"/>
    </row>
    <row r="86" spans="2:5" x14ac:dyDescent="0.3">
      <c r="B86" s="123"/>
      <c r="C86" s="358"/>
      <c r="D86" s="358"/>
      <c r="E86" s="358"/>
    </row>
    <row r="87" spans="2:5" x14ac:dyDescent="0.3">
      <c r="B87" s="123"/>
      <c r="C87" s="358"/>
      <c r="D87" s="358"/>
      <c r="E87" s="358"/>
    </row>
    <row r="88" spans="2:5" x14ac:dyDescent="0.3">
      <c r="B88" s="123"/>
      <c r="C88" s="358"/>
      <c r="D88" s="358"/>
      <c r="E88" s="358"/>
    </row>
    <row r="89" spans="2:5" x14ac:dyDescent="0.3">
      <c r="B89" s="123"/>
      <c r="C89" s="358"/>
      <c r="D89" s="358"/>
      <c r="E89" s="358"/>
    </row>
    <row r="90" spans="2:5" x14ac:dyDescent="0.3">
      <c r="B90" s="123"/>
      <c r="C90" s="358"/>
      <c r="D90" s="358"/>
      <c r="E90" s="358"/>
    </row>
    <row r="91" spans="2:5" x14ac:dyDescent="0.3">
      <c r="B91" s="123"/>
      <c r="C91" s="358"/>
      <c r="D91" s="358"/>
      <c r="E91" s="358"/>
    </row>
    <row r="92" spans="2:5" x14ac:dyDescent="0.3">
      <c r="B92" s="123"/>
      <c r="C92" s="358"/>
      <c r="D92" s="358"/>
      <c r="E92" s="358"/>
    </row>
    <row r="93" spans="2:5" x14ac:dyDescent="0.3">
      <c r="B93" s="123"/>
      <c r="C93" s="358"/>
      <c r="D93" s="358"/>
      <c r="E93" s="358"/>
    </row>
    <row r="94" spans="2:5" x14ac:dyDescent="0.3">
      <c r="B94" s="123"/>
      <c r="C94" s="358"/>
      <c r="D94" s="358"/>
      <c r="E94" s="358"/>
    </row>
    <row r="95" spans="2:5" x14ac:dyDescent="0.3">
      <c r="B95" s="123"/>
      <c r="C95" s="358"/>
      <c r="D95" s="358"/>
      <c r="E95" s="358"/>
    </row>
    <row r="96" spans="2:5" x14ac:dyDescent="0.3">
      <c r="B96" s="123"/>
      <c r="C96" s="358"/>
      <c r="D96" s="358"/>
      <c r="E96" s="358"/>
    </row>
    <row r="97" spans="2:5" x14ac:dyDescent="0.3">
      <c r="B97" s="123"/>
      <c r="C97" s="358"/>
      <c r="D97" s="358"/>
      <c r="E97" s="358"/>
    </row>
    <row r="98" spans="2:5" x14ac:dyDescent="0.3">
      <c r="B98" s="123"/>
      <c r="C98" s="358"/>
      <c r="D98" s="358"/>
      <c r="E98" s="358"/>
    </row>
    <row r="99" spans="2:5" x14ac:dyDescent="0.3">
      <c r="B99" s="123"/>
      <c r="C99" s="358"/>
      <c r="D99" s="358"/>
      <c r="E99" s="358"/>
    </row>
    <row r="100" spans="2:5" x14ac:dyDescent="0.3">
      <c r="B100" s="123"/>
      <c r="C100" s="358"/>
      <c r="D100" s="358"/>
      <c r="E100" s="358"/>
    </row>
    <row r="101" spans="2:5" x14ac:dyDescent="0.3">
      <c r="B101" s="123"/>
      <c r="C101" s="358"/>
      <c r="D101" s="358"/>
      <c r="E101" s="358"/>
    </row>
    <row r="102" spans="2:5" x14ac:dyDescent="0.3">
      <c r="B102" s="123"/>
      <c r="C102" s="358"/>
      <c r="D102" s="358"/>
      <c r="E102" s="358"/>
    </row>
    <row r="103" spans="2:5" x14ac:dyDescent="0.3">
      <c r="B103" s="123"/>
      <c r="C103" s="358"/>
      <c r="D103" s="358"/>
      <c r="E103" s="358"/>
    </row>
    <row r="104" spans="2:5" x14ac:dyDescent="0.3">
      <c r="B104" s="123"/>
      <c r="C104" s="358"/>
      <c r="D104" s="358"/>
      <c r="E104" s="358"/>
    </row>
    <row r="105" spans="2:5" x14ac:dyDescent="0.3">
      <c r="B105" s="123"/>
      <c r="C105" s="358"/>
      <c r="D105" s="358"/>
      <c r="E105" s="358"/>
    </row>
    <row r="106" spans="2:5" x14ac:dyDescent="0.3">
      <c r="B106" s="123"/>
      <c r="C106" s="358"/>
      <c r="D106" s="358"/>
      <c r="E106" s="358"/>
    </row>
    <row r="107" spans="2:5" x14ac:dyDescent="0.3">
      <c r="B107" s="123"/>
      <c r="C107" s="358"/>
      <c r="D107" s="358"/>
      <c r="E107" s="358"/>
    </row>
    <row r="108" spans="2:5" x14ac:dyDescent="0.3">
      <c r="B108" s="123"/>
      <c r="C108" s="358"/>
      <c r="D108" s="358"/>
      <c r="E108" s="358"/>
    </row>
    <row r="109" spans="2:5" x14ac:dyDescent="0.3">
      <c r="B109" s="123"/>
      <c r="C109" s="358"/>
      <c r="D109" s="358"/>
      <c r="E109" s="358"/>
    </row>
    <row r="110" spans="2:5" x14ac:dyDescent="0.3">
      <c r="B110" s="123"/>
      <c r="C110" s="358"/>
      <c r="D110" s="358"/>
      <c r="E110" s="358"/>
    </row>
    <row r="111" spans="2:5" x14ac:dyDescent="0.3">
      <c r="B111" s="123"/>
      <c r="C111" s="358"/>
      <c r="D111" s="358"/>
      <c r="E111" s="358"/>
    </row>
    <row r="112" spans="2:5" x14ac:dyDescent="0.3">
      <c r="B112" s="123"/>
      <c r="C112" s="358"/>
      <c r="D112" s="358"/>
      <c r="E112" s="358"/>
    </row>
    <row r="113" spans="1:5" x14ac:dyDescent="0.3">
      <c r="B113" s="123"/>
      <c r="C113" s="358"/>
      <c r="D113" s="358"/>
      <c r="E113" s="358"/>
    </row>
    <row r="114" spans="1:5" x14ac:dyDescent="0.3">
      <c r="B114" s="123"/>
      <c r="C114" s="358"/>
      <c r="D114" s="358"/>
      <c r="E114" s="358"/>
    </row>
    <row r="115" spans="1:5" x14ac:dyDescent="0.3">
      <c r="B115" s="123"/>
      <c r="C115" s="358"/>
      <c r="D115" s="358"/>
      <c r="E115" s="358"/>
    </row>
    <row r="116" spans="1:5" x14ac:dyDescent="0.3">
      <c r="B116" s="123"/>
      <c r="C116" s="358"/>
      <c r="D116" s="358"/>
      <c r="E116" s="358"/>
    </row>
    <row r="117" spans="1:5" x14ac:dyDescent="0.3">
      <c r="B117" s="123"/>
      <c r="C117" s="358"/>
      <c r="D117" s="358"/>
      <c r="E117" s="358"/>
    </row>
    <row r="118" spans="1:5" x14ac:dyDescent="0.3">
      <c r="B118" s="123"/>
      <c r="C118" s="358"/>
      <c r="D118" s="358"/>
      <c r="E118" s="358"/>
    </row>
    <row r="119" spans="1:5" x14ac:dyDescent="0.3">
      <c r="B119" s="123"/>
      <c r="C119" s="358"/>
      <c r="D119" s="358"/>
      <c r="E119" s="358"/>
    </row>
    <row r="120" spans="1:5" x14ac:dyDescent="0.3">
      <c r="B120" s="123"/>
      <c r="C120" s="358"/>
      <c r="D120" s="358"/>
      <c r="E120" s="358"/>
    </row>
    <row r="121" spans="1:5" x14ac:dyDescent="0.3">
      <c r="B121" s="123"/>
      <c r="C121" s="358"/>
      <c r="D121" s="358"/>
      <c r="E121" s="358"/>
    </row>
    <row r="122" spans="1:5" x14ac:dyDescent="0.3">
      <c r="B122" s="123"/>
      <c r="C122" s="358"/>
      <c r="D122" s="358"/>
      <c r="E122" s="358"/>
    </row>
    <row r="123" spans="1:5" x14ac:dyDescent="0.3">
      <c r="B123" s="123"/>
      <c r="C123" s="358"/>
      <c r="D123" s="358"/>
      <c r="E123" s="358"/>
    </row>
    <row r="124" spans="1:5" x14ac:dyDescent="0.3">
      <c r="B124" s="123"/>
      <c r="C124" s="358"/>
      <c r="D124" s="358"/>
      <c r="E124" s="358"/>
    </row>
    <row r="125" spans="1:5" x14ac:dyDescent="0.3">
      <c r="B125" s="123"/>
      <c r="C125" s="358"/>
      <c r="D125" s="358"/>
      <c r="E125" s="358"/>
    </row>
    <row r="126" spans="1:5" x14ac:dyDescent="0.3">
      <c r="A126" s="16"/>
      <c r="B126" s="359"/>
      <c r="C126" s="17"/>
      <c r="D126" s="17"/>
      <c r="E126" s="17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7"/>
  <sheetViews>
    <sheetView showGridLines="0" workbookViewId="0">
      <selection activeCell="L26" sqref="L26"/>
    </sheetView>
  </sheetViews>
  <sheetFormatPr defaultRowHeight="14.4" x14ac:dyDescent="0.3"/>
  <cols>
    <col min="12" max="12" width="18.109375" bestFit="1" customWidth="1"/>
    <col min="13" max="13" width="18.109375" customWidth="1"/>
  </cols>
  <sheetData>
    <row r="3" spans="2:17" x14ac:dyDescent="0.3">
      <c r="L3" s="116" t="s">
        <v>176</v>
      </c>
      <c r="M3" s="116" t="s">
        <v>1010</v>
      </c>
    </row>
    <row r="4" spans="2:17" x14ac:dyDescent="0.3">
      <c r="N4" s="585"/>
      <c r="O4" s="585"/>
      <c r="P4" s="585"/>
      <c r="Q4" s="585"/>
    </row>
    <row r="5" spans="2:17" x14ac:dyDescent="0.3">
      <c r="L5" s="10"/>
      <c r="M5" s="10"/>
      <c r="N5" s="535"/>
      <c r="O5" s="535"/>
      <c r="P5" s="535"/>
      <c r="Q5" s="535"/>
    </row>
    <row r="6" spans="2:17" x14ac:dyDescent="0.3">
      <c r="B6" s="741" t="s">
        <v>889</v>
      </c>
      <c r="C6" s="742"/>
      <c r="D6" s="742"/>
      <c r="E6" s="742"/>
      <c r="F6" s="742"/>
      <c r="G6" s="742"/>
      <c r="H6" s="742"/>
      <c r="I6" s="742"/>
      <c r="L6" s="10" t="s">
        <v>994</v>
      </c>
      <c r="M6" s="10" t="s">
        <v>1202</v>
      </c>
      <c r="N6" s="535"/>
      <c r="O6" s="535"/>
      <c r="P6" s="535"/>
      <c r="Q6" s="535"/>
    </row>
    <row r="7" spans="2:17" x14ac:dyDescent="0.3">
      <c r="L7" s="19"/>
      <c r="M7" s="19"/>
      <c r="N7" s="19">
        <v>2019</v>
      </c>
      <c r="O7" s="19">
        <v>2020</v>
      </c>
      <c r="P7" s="19">
        <v>2021</v>
      </c>
      <c r="Q7" s="19">
        <v>2022</v>
      </c>
    </row>
    <row r="8" spans="2:17" x14ac:dyDescent="0.3">
      <c r="L8" s="10" t="s">
        <v>781</v>
      </c>
      <c r="M8" s="10" t="s">
        <v>1204</v>
      </c>
      <c r="N8" s="587">
        <v>-0.69</v>
      </c>
      <c r="O8" s="587">
        <v>-0.49</v>
      </c>
      <c r="P8" s="587">
        <v>0</v>
      </c>
      <c r="Q8" s="587">
        <v>0</v>
      </c>
    </row>
    <row r="9" spans="2:17" x14ac:dyDescent="0.3">
      <c r="L9" s="10" t="s">
        <v>780</v>
      </c>
      <c r="M9" s="10" t="s">
        <v>1205</v>
      </c>
      <c r="N9" s="587">
        <v>-0.69</v>
      </c>
      <c r="O9" s="587">
        <v>-0.71218918627020811</v>
      </c>
      <c r="P9" s="587">
        <v>-0.3902567334440169</v>
      </c>
      <c r="Q9" s="587">
        <v>-0.27468732681472008</v>
      </c>
    </row>
    <row r="10" spans="2:17" x14ac:dyDescent="0.3">
      <c r="L10" s="10" t="s">
        <v>779</v>
      </c>
      <c r="M10" s="10" t="s">
        <v>1206</v>
      </c>
      <c r="N10" s="587">
        <v>-0.69</v>
      </c>
      <c r="O10" s="587">
        <v>-0.42936016830618878</v>
      </c>
      <c r="P10" s="587">
        <v>5.554426990732593E-2</v>
      </c>
      <c r="Q10" s="587">
        <v>4.8885818232084779E-2</v>
      </c>
    </row>
    <row r="11" spans="2:17" ht="15" thickBot="1" x14ac:dyDescent="0.35">
      <c r="L11" s="114" t="s">
        <v>778</v>
      </c>
      <c r="M11" s="114" t="s">
        <v>1207</v>
      </c>
      <c r="N11" s="722">
        <v>-0.69</v>
      </c>
      <c r="O11" s="722">
        <v>-0.52712867365288207</v>
      </c>
      <c r="P11" s="722">
        <v>-3.4300873323705204E-2</v>
      </c>
      <c r="Q11" s="722">
        <v>-5.1004322866356908E-2</v>
      </c>
    </row>
    <row r="12" spans="2:17" x14ac:dyDescent="0.3">
      <c r="L12" s="535"/>
      <c r="M12" s="535"/>
      <c r="N12" s="535"/>
      <c r="O12" s="535"/>
      <c r="P12" s="535"/>
      <c r="Q12" s="535"/>
    </row>
    <row r="14" spans="2:17" x14ac:dyDescent="0.3">
      <c r="L14" s="10" t="s">
        <v>995</v>
      </c>
      <c r="M14" s="10" t="s">
        <v>1203</v>
      </c>
      <c r="N14" s="535"/>
      <c r="O14" s="535"/>
      <c r="P14" s="535"/>
      <c r="Q14" s="535"/>
    </row>
    <row r="15" spans="2:17" x14ac:dyDescent="0.3">
      <c r="L15" s="19"/>
      <c r="M15" s="19"/>
      <c r="N15" s="19">
        <v>2019</v>
      </c>
      <c r="O15" s="19">
        <v>2020</v>
      </c>
      <c r="P15" s="19">
        <v>2021</v>
      </c>
      <c r="Q15" s="19">
        <v>2022</v>
      </c>
    </row>
    <row r="16" spans="2:17" x14ac:dyDescent="0.3">
      <c r="L16" s="10" t="s">
        <v>781</v>
      </c>
      <c r="M16" s="10" t="s">
        <v>1204</v>
      </c>
      <c r="N16" s="587">
        <v>47.93</v>
      </c>
      <c r="O16" s="587">
        <v>46.81</v>
      </c>
      <c r="P16" s="587">
        <v>45.9</v>
      </c>
      <c r="Q16" s="587">
        <v>44.79</v>
      </c>
    </row>
    <row r="17" spans="2:26" x14ac:dyDescent="0.3">
      <c r="L17" s="10" t="s">
        <v>780</v>
      </c>
      <c r="M17" s="10" t="s">
        <v>1205</v>
      </c>
      <c r="N17" s="587">
        <v>47.93</v>
      </c>
      <c r="O17" s="587">
        <v>47.536801181436196</v>
      </c>
      <c r="P17" s="587">
        <v>47.163558578146514</v>
      </c>
      <c r="Q17" s="587">
        <v>46.382370676665772</v>
      </c>
    </row>
    <row r="18" spans="2:26" x14ac:dyDescent="0.3">
      <c r="L18" s="10" t="s">
        <v>779</v>
      </c>
      <c r="M18" s="10" t="s">
        <v>1206</v>
      </c>
      <c r="N18" s="587">
        <v>47.93</v>
      </c>
      <c r="O18" s="587">
        <v>46.731687262228512</v>
      </c>
      <c r="P18" s="587">
        <v>45.738024629148008</v>
      </c>
      <c r="Q18" s="587">
        <v>44.553714347911153</v>
      </c>
    </row>
    <row r="19" spans="2:26" x14ac:dyDescent="0.3">
      <c r="L19" s="10" t="s">
        <v>778</v>
      </c>
      <c r="M19" s="116" t="s">
        <v>1207</v>
      </c>
      <c r="N19" s="587">
        <v>47.93</v>
      </c>
      <c r="O19" s="587">
        <v>46.863486345491808</v>
      </c>
      <c r="P19" s="587">
        <v>46.06500424996414</v>
      </c>
      <c r="Q19" s="587">
        <v>45.105458435846579</v>
      </c>
    </row>
    <row r="20" spans="2:26" x14ac:dyDescent="0.3">
      <c r="L20" s="10" t="s">
        <v>777</v>
      </c>
      <c r="M20" s="10" t="s">
        <v>1208</v>
      </c>
      <c r="N20" s="587">
        <v>48</v>
      </c>
      <c r="O20" s="587">
        <v>47</v>
      </c>
      <c r="P20" s="587">
        <v>46</v>
      </c>
      <c r="Q20" s="587">
        <v>45</v>
      </c>
    </row>
    <row r="21" spans="2:26" ht="15" thickBot="1" x14ac:dyDescent="0.35">
      <c r="L21" s="114" t="s">
        <v>776</v>
      </c>
      <c r="M21" s="114" t="s">
        <v>1209</v>
      </c>
      <c r="N21" s="722">
        <v>51</v>
      </c>
      <c r="O21" s="722">
        <v>50</v>
      </c>
      <c r="P21" s="722">
        <v>49</v>
      </c>
      <c r="Q21" s="722">
        <v>48</v>
      </c>
    </row>
    <row r="23" spans="2:26" x14ac:dyDescent="0.3">
      <c r="B23" s="856" t="s">
        <v>890</v>
      </c>
      <c r="C23" s="857"/>
      <c r="D23" s="857"/>
      <c r="E23" s="857"/>
      <c r="F23" s="857"/>
      <c r="G23" s="857"/>
      <c r="H23" s="857"/>
      <c r="I23" s="857"/>
    </row>
    <row r="26" spans="2:26" x14ac:dyDescent="0.3">
      <c r="L26" s="741" t="s">
        <v>1211</v>
      </c>
    </row>
    <row r="27" spans="2:26" x14ac:dyDescent="0.3">
      <c r="S27" s="741" t="s">
        <v>1210</v>
      </c>
      <c r="T27" s="742"/>
      <c r="U27" s="742"/>
      <c r="V27" s="742"/>
      <c r="W27" s="742"/>
      <c r="X27" s="742"/>
      <c r="Y27" s="742"/>
      <c r="Z27" s="742"/>
    </row>
  </sheetData>
  <mergeCells count="1">
    <mergeCell ref="B23:I2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B30"/>
  <sheetViews>
    <sheetView topLeftCell="H7" workbookViewId="0">
      <selection activeCell="Q34" sqref="Q34"/>
    </sheetView>
  </sheetViews>
  <sheetFormatPr defaultRowHeight="14.4" x14ac:dyDescent="0.3"/>
  <cols>
    <col min="4" max="5" width="9.88671875" customWidth="1"/>
    <col min="6" max="9" width="9.6640625" customWidth="1"/>
    <col min="10" max="10" width="8.6640625" customWidth="1"/>
    <col min="11" max="11" width="10.6640625" customWidth="1"/>
    <col min="12" max="12" width="8.6640625" customWidth="1"/>
    <col min="13" max="13" width="10.6640625" customWidth="1"/>
    <col min="14" max="16" width="9.6640625" customWidth="1"/>
    <col min="21" max="21" width="9.88671875" customWidth="1"/>
    <col min="22" max="22" width="10.5546875" customWidth="1"/>
  </cols>
  <sheetData>
    <row r="5" spans="2:28" ht="15" thickBot="1" x14ac:dyDescent="0.35">
      <c r="B5" s="880" t="s">
        <v>891</v>
      </c>
      <c r="C5" s="881"/>
      <c r="D5" s="881"/>
      <c r="E5" s="881"/>
      <c r="F5" s="882"/>
      <c r="G5" s="882"/>
      <c r="H5" s="882"/>
      <c r="I5" s="882"/>
      <c r="J5" s="882"/>
      <c r="K5" s="882"/>
      <c r="L5" s="882"/>
      <c r="M5" s="882"/>
      <c r="N5" s="882"/>
      <c r="P5" s="880" t="s">
        <v>1214</v>
      </c>
      <c r="Q5" s="881"/>
      <c r="R5" s="881"/>
      <c r="S5" s="881"/>
      <c r="T5" s="882"/>
      <c r="U5" s="882"/>
      <c r="V5" s="882"/>
      <c r="W5" s="882"/>
      <c r="X5" s="882"/>
      <c r="Y5" s="882"/>
      <c r="Z5" s="882"/>
      <c r="AA5" s="882"/>
      <c r="AB5" s="882"/>
    </row>
    <row r="6" spans="2:28" ht="15.6" thickTop="1" thickBot="1" x14ac:dyDescent="0.35">
      <c r="B6" s="869" t="s">
        <v>792</v>
      </c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  <c r="P6" s="869" t="s">
        <v>1215</v>
      </c>
      <c r="Q6" s="870"/>
      <c r="R6" s="870"/>
      <c r="S6" s="870"/>
      <c r="T6" s="870"/>
      <c r="U6" s="870"/>
      <c r="V6" s="870"/>
      <c r="W6" s="870"/>
      <c r="X6" s="870"/>
      <c r="Y6" s="870"/>
      <c r="Z6" s="870"/>
      <c r="AA6" s="870"/>
      <c r="AB6" s="870"/>
    </row>
    <row r="7" spans="2:28" ht="15" thickTop="1" x14ac:dyDescent="0.3">
      <c r="B7" s="871" t="s">
        <v>791</v>
      </c>
      <c r="C7" s="871"/>
      <c r="D7" s="873" t="s">
        <v>774</v>
      </c>
      <c r="E7" s="873" t="s">
        <v>790</v>
      </c>
      <c r="F7" s="873" t="s">
        <v>789</v>
      </c>
      <c r="G7" s="873" t="s">
        <v>730</v>
      </c>
      <c r="H7" s="873" t="s">
        <v>788</v>
      </c>
      <c r="I7" s="873" t="s">
        <v>787</v>
      </c>
      <c r="J7" s="873" t="s">
        <v>786</v>
      </c>
      <c r="K7" s="876" t="s">
        <v>785</v>
      </c>
      <c r="L7" s="873" t="s">
        <v>784</v>
      </c>
      <c r="M7" s="873" t="s">
        <v>783</v>
      </c>
      <c r="N7" s="873" t="s">
        <v>782</v>
      </c>
      <c r="P7" s="871" t="s">
        <v>791</v>
      </c>
      <c r="Q7" s="871"/>
      <c r="R7" s="873" t="s">
        <v>1216</v>
      </c>
      <c r="S7" s="873" t="s">
        <v>1222</v>
      </c>
      <c r="T7" s="873" t="s">
        <v>1217</v>
      </c>
      <c r="U7" s="873" t="s">
        <v>1219</v>
      </c>
      <c r="V7" s="873" t="s">
        <v>1218</v>
      </c>
      <c r="W7" s="873" t="s">
        <v>787</v>
      </c>
      <c r="X7" s="873" t="s">
        <v>1220</v>
      </c>
      <c r="Y7" s="876" t="s">
        <v>1060</v>
      </c>
      <c r="Z7" s="873" t="s">
        <v>1221</v>
      </c>
      <c r="AA7" s="873" t="s">
        <v>1223</v>
      </c>
      <c r="AB7" s="873" t="s">
        <v>1224</v>
      </c>
    </row>
    <row r="8" spans="2:28" ht="15" thickBot="1" x14ac:dyDescent="0.35">
      <c r="B8" s="872"/>
      <c r="C8" s="872"/>
      <c r="D8" s="874"/>
      <c r="E8" s="874"/>
      <c r="F8" s="874"/>
      <c r="G8" s="875"/>
      <c r="H8" s="874"/>
      <c r="I8" s="874"/>
      <c r="J8" s="874"/>
      <c r="K8" s="877"/>
      <c r="L8" s="875"/>
      <c r="M8" s="875"/>
      <c r="N8" s="875"/>
      <c r="P8" s="872"/>
      <c r="Q8" s="872"/>
      <c r="R8" s="874"/>
      <c r="S8" s="874"/>
      <c r="T8" s="874"/>
      <c r="U8" s="875"/>
      <c r="V8" s="874"/>
      <c r="W8" s="874"/>
      <c r="X8" s="874"/>
      <c r="Y8" s="877"/>
      <c r="Z8" s="875"/>
      <c r="AA8" s="875"/>
      <c r="AB8" s="875"/>
    </row>
    <row r="9" spans="2:28" ht="15" thickTop="1" x14ac:dyDescent="0.3">
      <c r="B9" s="866">
        <v>2020</v>
      </c>
      <c r="C9" s="866"/>
      <c r="D9" s="615">
        <v>-0.93843276239773399</v>
      </c>
      <c r="E9" s="615">
        <v>-0.17587361966533432</v>
      </c>
      <c r="F9" s="580">
        <v>-0.91023619389776211</v>
      </c>
      <c r="G9" s="615">
        <v>-0.47622052462454878</v>
      </c>
      <c r="H9" s="615">
        <v>-0.55402873852274936</v>
      </c>
      <c r="I9" s="615">
        <v>-0.95681837357739496</v>
      </c>
      <c r="J9" s="615">
        <v>-1.5878948907636747</v>
      </c>
      <c r="K9" s="615">
        <v>-0.24564373404651896</v>
      </c>
      <c r="L9" s="617">
        <v>-0.75704782896215406</v>
      </c>
      <c r="M9" s="617">
        <v>-0.22218918627020809</v>
      </c>
      <c r="N9" s="616">
        <v>0.72680118143619299</v>
      </c>
      <c r="P9" s="866">
        <v>2020</v>
      </c>
      <c r="Q9" s="866"/>
      <c r="R9" s="615">
        <v>-0.93843276239773399</v>
      </c>
      <c r="S9" s="615">
        <v>-0.17587361966533432</v>
      </c>
      <c r="T9" s="580">
        <v>-0.91023619389776211</v>
      </c>
      <c r="U9" s="615">
        <v>-0.47622052462454878</v>
      </c>
      <c r="V9" s="615">
        <v>-0.55402873852274936</v>
      </c>
      <c r="W9" s="615">
        <v>-0.95681837357739496</v>
      </c>
      <c r="X9" s="615">
        <v>-1.5878948907636747</v>
      </c>
      <c r="Y9" s="615">
        <v>-0.24564373404651896</v>
      </c>
      <c r="Z9" s="617">
        <v>-0.75704782896215406</v>
      </c>
      <c r="AA9" s="617">
        <v>-0.22218918627020809</v>
      </c>
      <c r="AB9" s="616">
        <v>0.72680118143619299</v>
      </c>
    </row>
    <row r="10" spans="2:28" x14ac:dyDescent="0.3">
      <c r="B10" s="867">
        <v>2021</v>
      </c>
      <c r="C10" s="867"/>
      <c r="D10" s="615">
        <v>-0.98701748979128645</v>
      </c>
      <c r="E10" s="615">
        <v>-0.68009672991033998</v>
      </c>
      <c r="F10" s="580">
        <v>-0.9234468411413288</v>
      </c>
      <c r="G10" s="615">
        <v>-0.46408244842757185</v>
      </c>
      <c r="H10" s="615">
        <v>-0.69170674679164268</v>
      </c>
      <c r="I10" s="615">
        <v>-1.1030731310720521</v>
      </c>
      <c r="J10" s="615">
        <v>-1.7005432537593013</v>
      </c>
      <c r="K10" s="615">
        <v>-0.90994903031968999</v>
      </c>
      <c r="L10" s="580">
        <v>-0.75436647277533631</v>
      </c>
      <c r="M10" s="580">
        <v>-0.3902567334440169</v>
      </c>
      <c r="N10" s="616">
        <v>1.263558578146512</v>
      </c>
      <c r="P10" s="867">
        <v>2021</v>
      </c>
      <c r="Q10" s="867"/>
      <c r="R10" s="615">
        <v>-0.98701748979128645</v>
      </c>
      <c r="S10" s="615">
        <v>-0.68009672991033998</v>
      </c>
      <c r="T10" s="580">
        <v>-0.9234468411413288</v>
      </c>
      <c r="U10" s="615">
        <v>-0.46408244842757185</v>
      </c>
      <c r="V10" s="615">
        <v>-0.69170674679164268</v>
      </c>
      <c r="W10" s="615">
        <v>-1.1030731310720521</v>
      </c>
      <c r="X10" s="615">
        <v>-1.7005432537593013</v>
      </c>
      <c r="Y10" s="615">
        <v>-0.90994903031968999</v>
      </c>
      <c r="Z10" s="580">
        <v>-0.75436647277533631</v>
      </c>
      <c r="AA10" s="580">
        <v>-0.3902567334440169</v>
      </c>
      <c r="AB10" s="616">
        <v>1.263558578146512</v>
      </c>
    </row>
    <row r="11" spans="2:28" ht="15" thickBot="1" x14ac:dyDescent="0.35">
      <c r="B11" s="868">
        <v>2022</v>
      </c>
      <c r="C11" s="868"/>
      <c r="D11" s="615">
        <v>-0.82808701130627771</v>
      </c>
      <c r="E11" s="615">
        <v>-1.0885176525626372</v>
      </c>
      <c r="F11" s="580">
        <v>-0.74282718483421606</v>
      </c>
      <c r="G11" s="615">
        <v>-0.28311648660470645</v>
      </c>
      <c r="H11" s="615">
        <v>-0.8401193532397766</v>
      </c>
      <c r="I11" s="615">
        <v>-0.87497384672896583</v>
      </c>
      <c r="J11" s="615">
        <v>-1.5806839564049824</v>
      </c>
      <c r="K11" s="615">
        <v>-1.1245849833525723</v>
      </c>
      <c r="L11" s="614">
        <v>-1.2246417342775429</v>
      </c>
      <c r="M11" s="614">
        <v>-0.27468732681472008</v>
      </c>
      <c r="N11" s="613">
        <v>1.5923706766657719</v>
      </c>
      <c r="P11" s="868">
        <v>2022</v>
      </c>
      <c r="Q11" s="868"/>
      <c r="R11" s="615">
        <v>-0.82808701130627771</v>
      </c>
      <c r="S11" s="615">
        <v>-1.0885176525626372</v>
      </c>
      <c r="T11" s="580">
        <v>-0.74282718483421606</v>
      </c>
      <c r="U11" s="615">
        <v>-0.28311648660470645</v>
      </c>
      <c r="V11" s="615">
        <v>-0.8401193532397766</v>
      </c>
      <c r="W11" s="615">
        <v>-0.87497384672896583</v>
      </c>
      <c r="X11" s="615">
        <v>-1.5806839564049824</v>
      </c>
      <c r="Y11" s="615">
        <v>-1.1245849833525723</v>
      </c>
      <c r="Z11" s="614">
        <v>-1.2246417342775429</v>
      </c>
      <c r="AA11" s="614">
        <v>-0.27468732681472008</v>
      </c>
      <c r="AB11" s="613">
        <v>1.5923706766657719</v>
      </c>
    </row>
    <row r="12" spans="2:28" ht="15" thickTop="1" x14ac:dyDescent="0.3">
      <c r="B12" s="612"/>
      <c r="D12" s="612"/>
      <c r="E12" s="612"/>
      <c r="F12" s="612"/>
      <c r="G12" s="612"/>
      <c r="H12" s="612"/>
      <c r="I12" s="612"/>
      <c r="J12" s="612"/>
      <c r="K12" s="612"/>
      <c r="L12" s="612"/>
      <c r="M12" s="878" t="s">
        <v>3</v>
      </c>
      <c r="N12" s="879"/>
      <c r="P12" s="744"/>
      <c r="R12" s="744"/>
      <c r="S12" s="744"/>
      <c r="T12" s="744"/>
      <c r="U12" s="744"/>
      <c r="V12" s="744"/>
      <c r="W12" s="744"/>
      <c r="X12" s="744"/>
      <c r="Y12" s="744"/>
      <c r="Z12" s="744"/>
      <c r="AA12" s="878" t="s">
        <v>3</v>
      </c>
      <c r="AB12" s="879"/>
    </row>
    <row r="13" spans="2:28" x14ac:dyDescent="0.3">
      <c r="B13" s="619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8"/>
      <c r="P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8"/>
    </row>
    <row r="14" spans="2:28" ht="15" thickBot="1" x14ac:dyDescent="0.35">
      <c r="B14" s="880" t="s">
        <v>892</v>
      </c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P14" s="880" t="s">
        <v>1212</v>
      </c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</row>
    <row r="15" spans="2:28" ht="15.6" thickTop="1" thickBot="1" x14ac:dyDescent="0.35">
      <c r="B15" s="869" t="s">
        <v>792</v>
      </c>
      <c r="C15" s="870"/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0"/>
      <c r="P15" s="869" t="s">
        <v>1215</v>
      </c>
      <c r="Q15" s="870"/>
      <c r="R15" s="870"/>
      <c r="S15" s="870"/>
      <c r="T15" s="870"/>
      <c r="U15" s="870"/>
      <c r="V15" s="870"/>
      <c r="W15" s="870"/>
      <c r="X15" s="870"/>
      <c r="Y15" s="870"/>
      <c r="Z15" s="870"/>
      <c r="AA15" s="870"/>
      <c r="AB15" s="870"/>
    </row>
    <row r="16" spans="2:28" ht="15" customHeight="1" thickTop="1" x14ac:dyDescent="0.3">
      <c r="B16" s="871" t="s">
        <v>791</v>
      </c>
      <c r="C16" s="871"/>
      <c r="D16" s="873" t="s">
        <v>774</v>
      </c>
      <c r="E16" s="873" t="s">
        <v>790</v>
      </c>
      <c r="F16" s="873" t="s">
        <v>789</v>
      </c>
      <c r="G16" s="873" t="s">
        <v>730</v>
      </c>
      <c r="H16" s="873" t="s">
        <v>788</v>
      </c>
      <c r="I16" s="873" t="s">
        <v>787</v>
      </c>
      <c r="J16" s="873" t="s">
        <v>786</v>
      </c>
      <c r="K16" s="876" t="s">
        <v>785</v>
      </c>
      <c r="L16" s="873" t="s">
        <v>784</v>
      </c>
      <c r="M16" s="873" t="s">
        <v>783</v>
      </c>
      <c r="N16" s="873" t="s">
        <v>782</v>
      </c>
      <c r="P16" s="871" t="s">
        <v>791</v>
      </c>
      <c r="Q16" s="871"/>
      <c r="R16" s="873" t="s">
        <v>1216</v>
      </c>
      <c r="S16" s="873" t="s">
        <v>1222</v>
      </c>
      <c r="T16" s="873" t="s">
        <v>1217</v>
      </c>
      <c r="U16" s="873" t="s">
        <v>1219</v>
      </c>
      <c r="V16" s="873" t="s">
        <v>1218</v>
      </c>
      <c r="W16" s="873" t="s">
        <v>787</v>
      </c>
      <c r="X16" s="873" t="s">
        <v>1220</v>
      </c>
      <c r="Y16" s="876" t="s">
        <v>1060</v>
      </c>
      <c r="Z16" s="873" t="s">
        <v>1221</v>
      </c>
      <c r="AA16" s="873" t="s">
        <v>1223</v>
      </c>
      <c r="AB16" s="873" t="s">
        <v>1224</v>
      </c>
    </row>
    <row r="17" spans="2:28" ht="15" thickBot="1" x14ac:dyDescent="0.35">
      <c r="B17" s="872"/>
      <c r="C17" s="872"/>
      <c r="D17" s="874"/>
      <c r="E17" s="874"/>
      <c r="F17" s="874"/>
      <c r="G17" s="875"/>
      <c r="H17" s="874"/>
      <c r="I17" s="874"/>
      <c r="J17" s="874"/>
      <c r="K17" s="877"/>
      <c r="L17" s="875"/>
      <c r="M17" s="875"/>
      <c r="N17" s="875"/>
      <c r="P17" s="872"/>
      <c r="Q17" s="872"/>
      <c r="R17" s="874"/>
      <c r="S17" s="874"/>
      <c r="T17" s="874"/>
      <c r="U17" s="875"/>
      <c r="V17" s="874"/>
      <c r="W17" s="874"/>
      <c r="X17" s="874"/>
      <c r="Y17" s="877"/>
      <c r="Z17" s="875"/>
      <c r="AA17" s="875"/>
      <c r="AB17" s="875"/>
    </row>
    <row r="18" spans="2:28" ht="15" thickTop="1" x14ac:dyDescent="0.3">
      <c r="B18" s="866">
        <v>2020</v>
      </c>
      <c r="C18" s="866"/>
      <c r="D18" s="615">
        <v>3.3852773102149847E-2</v>
      </c>
      <c r="E18" s="615">
        <v>4.7979337789438858E-3</v>
      </c>
      <c r="F18" s="580">
        <v>3.2325405475197577E-2</v>
      </c>
      <c r="G18" s="615">
        <v>4.5645457463305839E-2</v>
      </c>
      <c r="H18" s="615">
        <v>4.0895908845928197E-2</v>
      </c>
      <c r="I18" s="615">
        <v>0.11837252175912472</v>
      </c>
      <c r="J18" s="615">
        <v>-2.4178754836956529E-3</v>
      </c>
      <c r="K18" s="615">
        <v>6.569592297056559E-3</v>
      </c>
      <c r="L18" s="617">
        <v>2.8491514467443579E-2</v>
      </c>
      <c r="M18" s="617">
        <v>6.0639831693811222E-2</v>
      </c>
      <c r="N18" s="616">
        <v>-7.8312737771490948E-2</v>
      </c>
      <c r="P18" s="866">
        <v>2020</v>
      </c>
      <c r="Q18" s="866"/>
      <c r="R18" s="615">
        <v>3.3852773102149847E-2</v>
      </c>
      <c r="S18" s="615">
        <v>4.7979337789438858E-3</v>
      </c>
      <c r="T18" s="580">
        <v>3.2325405475197577E-2</v>
      </c>
      <c r="U18" s="615">
        <v>4.5645457463305839E-2</v>
      </c>
      <c r="V18" s="615">
        <v>4.0895908845928197E-2</v>
      </c>
      <c r="W18" s="615">
        <v>0.11837252175912472</v>
      </c>
      <c r="X18" s="615">
        <v>-2.4178754836956529E-3</v>
      </c>
      <c r="Y18" s="615">
        <v>6.569592297056559E-3</v>
      </c>
      <c r="Z18" s="617">
        <v>2.8491514467443579E-2</v>
      </c>
      <c r="AA18" s="617">
        <v>6.0639831693811222E-2</v>
      </c>
      <c r="AB18" s="616">
        <v>-7.8312737771490948E-2</v>
      </c>
    </row>
    <row r="19" spans="2:28" x14ac:dyDescent="0.3">
      <c r="B19" s="867">
        <v>2021</v>
      </c>
      <c r="C19" s="867"/>
      <c r="D19" s="615">
        <v>8.0543891831164061E-2</v>
      </c>
      <c r="E19" s="615">
        <v>3.3581392316661685E-2</v>
      </c>
      <c r="F19" s="580">
        <v>7.213399147401045E-2</v>
      </c>
      <c r="G19" s="615">
        <v>8.5345784332147012E-2</v>
      </c>
      <c r="H19" s="615">
        <v>0.18597189292857141</v>
      </c>
      <c r="I19" s="615">
        <v>0.27014234820816885</v>
      </c>
      <c r="J19" s="615">
        <v>-1.1900696697386692E-2</v>
      </c>
      <c r="K19" s="615">
        <v>4.5425611767591079E-2</v>
      </c>
      <c r="L19" s="580">
        <v>7.4359699694803716E-2</v>
      </c>
      <c r="M19" s="580">
        <v>5.554426990732593E-2</v>
      </c>
      <c r="N19" s="616">
        <v>-0.16197537085199665</v>
      </c>
      <c r="P19" s="867">
        <v>2021</v>
      </c>
      <c r="Q19" s="867"/>
      <c r="R19" s="615">
        <v>8.0543891831164061E-2</v>
      </c>
      <c r="S19" s="615">
        <v>3.3581392316661685E-2</v>
      </c>
      <c r="T19" s="580">
        <v>7.213399147401045E-2</v>
      </c>
      <c r="U19" s="615">
        <v>8.5345784332147012E-2</v>
      </c>
      <c r="V19" s="615">
        <v>0.18597189292857141</v>
      </c>
      <c r="W19" s="615">
        <v>0.27014234820816885</v>
      </c>
      <c r="X19" s="615">
        <v>-1.1900696697386692E-2</v>
      </c>
      <c r="Y19" s="615">
        <v>4.5425611767591079E-2</v>
      </c>
      <c r="Z19" s="580">
        <v>7.4359699694803716E-2</v>
      </c>
      <c r="AA19" s="580">
        <v>5.554426990732593E-2</v>
      </c>
      <c r="AB19" s="616">
        <v>-0.16197537085199665</v>
      </c>
    </row>
    <row r="20" spans="2:28" ht="15" thickBot="1" x14ac:dyDescent="0.35">
      <c r="B20" s="868">
        <v>2022</v>
      </c>
      <c r="C20" s="868"/>
      <c r="D20" s="615">
        <v>0.11520147922701174</v>
      </c>
      <c r="E20" s="615">
        <v>7.9936268766145346E-2</v>
      </c>
      <c r="F20" s="580">
        <v>9.6358198525292593E-2</v>
      </c>
      <c r="G20" s="615">
        <v>0.10643782953909664</v>
      </c>
      <c r="H20" s="615">
        <v>0.34244112445578345</v>
      </c>
      <c r="I20" s="615">
        <v>0.3972585661864203</v>
      </c>
      <c r="J20" s="615">
        <v>-2.5678511690241379E-2</v>
      </c>
      <c r="K20" s="615">
        <v>9.0348010793772637E-2</v>
      </c>
      <c r="L20" s="614">
        <v>0.13698905897188141</v>
      </c>
      <c r="M20" s="614">
        <v>4.8885818232084779E-2</v>
      </c>
      <c r="N20" s="613">
        <v>-0.23628565208884678</v>
      </c>
      <c r="P20" s="868">
        <v>2022</v>
      </c>
      <c r="Q20" s="868"/>
      <c r="R20" s="615">
        <v>0.11520147922701174</v>
      </c>
      <c r="S20" s="615">
        <v>7.9936268766145346E-2</v>
      </c>
      <c r="T20" s="580">
        <v>9.6358198525292593E-2</v>
      </c>
      <c r="U20" s="615">
        <v>0.10643782953909664</v>
      </c>
      <c r="V20" s="615">
        <v>0.34244112445578345</v>
      </c>
      <c r="W20" s="615">
        <v>0.3972585661864203</v>
      </c>
      <c r="X20" s="615">
        <v>-2.5678511690241379E-2</v>
      </c>
      <c r="Y20" s="615">
        <v>9.0348010793772637E-2</v>
      </c>
      <c r="Z20" s="614">
        <v>0.13698905897188141</v>
      </c>
      <c r="AA20" s="614">
        <v>4.8885818232084779E-2</v>
      </c>
      <c r="AB20" s="613">
        <v>-0.23628565208884678</v>
      </c>
    </row>
    <row r="21" spans="2:28" ht="15" thickTop="1" x14ac:dyDescent="0.3">
      <c r="B21" s="612"/>
      <c r="D21" s="612"/>
      <c r="E21" s="612"/>
      <c r="F21" s="612"/>
      <c r="G21" s="612"/>
      <c r="H21" s="612"/>
      <c r="I21" s="612"/>
      <c r="J21" s="612"/>
      <c r="K21" s="612"/>
      <c r="L21" s="612"/>
      <c r="M21" s="878" t="s">
        <v>3</v>
      </c>
      <c r="N21" s="879"/>
      <c r="P21" s="744"/>
      <c r="R21" s="744"/>
      <c r="S21" s="744"/>
      <c r="T21" s="744"/>
      <c r="U21" s="744"/>
      <c r="V21" s="744"/>
      <c r="W21" s="744"/>
      <c r="X21" s="744"/>
      <c r="Y21" s="744"/>
      <c r="Z21" s="744"/>
      <c r="AA21" s="878" t="s">
        <v>3</v>
      </c>
      <c r="AB21" s="879"/>
    </row>
    <row r="22" spans="2:28" x14ac:dyDescent="0.3">
      <c r="B22" s="619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8"/>
      <c r="P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8"/>
    </row>
    <row r="23" spans="2:28" ht="15" thickBot="1" x14ac:dyDescent="0.35">
      <c r="B23" s="880" t="s">
        <v>893</v>
      </c>
      <c r="C23" s="881"/>
      <c r="D23" s="881"/>
      <c r="E23" s="881"/>
      <c r="F23" s="882"/>
      <c r="G23" s="882"/>
      <c r="H23" s="882"/>
      <c r="I23" s="882"/>
      <c r="J23" s="882"/>
      <c r="K23" s="882"/>
      <c r="L23" s="882"/>
      <c r="M23" s="882"/>
      <c r="N23" s="882"/>
      <c r="P23" s="880" t="s">
        <v>1213</v>
      </c>
      <c r="Q23" s="881"/>
      <c r="R23" s="881"/>
      <c r="S23" s="881"/>
      <c r="T23" s="882"/>
      <c r="U23" s="882"/>
      <c r="V23" s="882"/>
      <c r="W23" s="882"/>
      <c r="X23" s="882"/>
      <c r="Y23" s="882"/>
      <c r="Z23" s="882"/>
      <c r="AA23" s="882"/>
      <c r="AB23" s="882"/>
    </row>
    <row r="24" spans="2:28" ht="15.6" thickTop="1" thickBot="1" x14ac:dyDescent="0.35">
      <c r="B24" s="869" t="s">
        <v>792</v>
      </c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P24" s="869" t="s">
        <v>1215</v>
      </c>
      <c r="Q24" s="870"/>
      <c r="R24" s="870"/>
      <c r="S24" s="870"/>
      <c r="T24" s="870"/>
      <c r="U24" s="870"/>
      <c r="V24" s="870"/>
      <c r="W24" s="870"/>
      <c r="X24" s="870"/>
      <c r="Y24" s="870"/>
      <c r="Z24" s="870"/>
      <c r="AA24" s="870"/>
      <c r="AB24" s="870"/>
    </row>
    <row r="25" spans="2:28" ht="15" customHeight="1" thickTop="1" x14ac:dyDescent="0.3">
      <c r="B25" s="871" t="s">
        <v>791</v>
      </c>
      <c r="C25" s="871"/>
      <c r="D25" s="873" t="s">
        <v>774</v>
      </c>
      <c r="E25" s="873" t="s">
        <v>790</v>
      </c>
      <c r="F25" s="873" t="s">
        <v>789</v>
      </c>
      <c r="G25" s="873" t="s">
        <v>730</v>
      </c>
      <c r="H25" s="873" t="s">
        <v>788</v>
      </c>
      <c r="I25" s="873" t="s">
        <v>787</v>
      </c>
      <c r="J25" s="873" t="s">
        <v>786</v>
      </c>
      <c r="K25" s="876" t="s">
        <v>785</v>
      </c>
      <c r="L25" s="873" t="s">
        <v>784</v>
      </c>
      <c r="M25" s="873" t="s">
        <v>783</v>
      </c>
      <c r="N25" s="873" t="s">
        <v>782</v>
      </c>
      <c r="P25" s="871" t="s">
        <v>791</v>
      </c>
      <c r="Q25" s="871"/>
      <c r="R25" s="873" t="s">
        <v>1216</v>
      </c>
      <c r="S25" s="873" t="s">
        <v>1222</v>
      </c>
      <c r="T25" s="873" t="s">
        <v>1217</v>
      </c>
      <c r="U25" s="873" t="s">
        <v>1219</v>
      </c>
      <c r="V25" s="873" t="s">
        <v>1218</v>
      </c>
      <c r="W25" s="873" t="s">
        <v>787</v>
      </c>
      <c r="X25" s="873" t="s">
        <v>1220</v>
      </c>
      <c r="Y25" s="876" t="s">
        <v>1060</v>
      </c>
      <c r="Z25" s="873" t="s">
        <v>1221</v>
      </c>
      <c r="AA25" s="873" t="s">
        <v>1223</v>
      </c>
      <c r="AB25" s="873" t="s">
        <v>1224</v>
      </c>
    </row>
    <row r="26" spans="2:28" ht="15" thickBot="1" x14ac:dyDescent="0.35">
      <c r="B26" s="872"/>
      <c r="C26" s="872"/>
      <c r="D26" s="874"/>
      <c r="E26" s="874"/>
      <c r="F26" s="874"/>
      <c r="G26" s="875"/>
      <c r="H26" s="874"/>
      <c r="I26" s="874"/>
      <c r="J26" s="874"/>
      <c r="K26" s="877"/>
      <c r="L26" s="875"/>
      <c r="M26" s="875"/>
      <c r="N26" s="875"/>
      <c r="P26" s="872"/>
      <c r="Q26" s="872"/>
      <c r="R26" s="874"/>
      <c r="S26" s="874"/>
      <c r="T26" s="874"/>
      <c r="U26" s="875"/>
      <c r="V26" s="874"/>
      <c r="W26" s="874"/>
      <c r="X26" s="874"/>
      <c r="Y26" s="877"/>
      <c r="Z26" s="875"/>
      <c r="AA26" s="875"/>
      <c r="AB26" s="875"/>
    </row>
    <row r="27" spans="2:28" ht="15" thickTop="1" x14ac:dyDescent="0.3">
      <c r="B27" s="866">
        <v>2020</v>
      </c>
      <c r="C27" s="866"/>
      <c r="D27" s="615">
        <v>-7.620524511311455E-2</v>
      </c>
      <c r="E27" s="615">
        <v>4.1967194380743145E-2</v>
      </c>
      <c r="F27" s="580">
        <v>0.19443044212041904</v>
      </c>
      <c r="G27" s="615">
        <v>1.8351256008375394E-2</v>
      </c>
      <c r="H27" s="615">
        <v>-3.5020089998361037E-2</v>
      </c>
      <c r="I27" s="615">
        <v>-7.6025076932340063E-2</v>
      </c>
      <c r="J27" s="615">
        <v>-0.17167348873003974</v>
      </c>
      <c r="K27" s="615">
        <v>-0.18373827722726332</v>
      </c>
      <c r="L27" s="617">
        <v>0.15959107768697134</v>
      </c>
      <c r="M27" s="617">
        <v>-3.7128673652882076E-2</v>
      </c>
      <c r="N27" s="616">
        <v>5.3486345491804421E-2</v>
      </c>
      <c r="P27" s="866">
        <v>2020</v>
      </c>
      <c r="Q27" s="866"/>
      <c r="R27" s="615">
        <v>-7.620524511311455E-2</v>
      </c>
      <c r="S27" s="615">
        <v>4.1967194380743145E-2</v>
      </c>
      <c r="T27" s="580">
        <v>0.19443044212041904</v>
      </c>
      <c r="U27" s="615">
        <v>1.8351256008375394E-2</v>
      </c>
      <c r="V27" s="615">
        <v>-3.5020089998361037E-2</v>
      </c>
      <c r="W27" s="615">
        <v>-7.6025076932340063E-2</v>
      </c>
      <c r="X27" s="615">
        <v>-0.17167348873003974</v>
      </c>
      <c r="Y27" s="615">
        <v>-0.18373827722726332</v>
      </c>
      <c r="Z27" s="617">
        <v>0.15959107768697134</v>
      </c>
      <c r="AA27" s="617">
        <v>-3.7128673652882076E-2</v>
      </c>
      <c r="AB27" s="616">
        <v>5.3486345491804421E-2</v>
      </c>
    </row>
    <row r="28" spans="2:28" x14ac:dyDescent="0.3">
      <c r="B28" s="867">
        <v>2021</v>
      </c>
      <c r="C28" s="867"/>
      <c r="D28" s="615">
        <v>-0.34484472694311652</v>
      </c>
      <c r="E28" s="615">
        <v>0.15659460488324228</v>
      </c>
      <c r="F28" s="580">
        <v>0.17247379306453148</v>
      </c>
      <c r="G28" s="615">
        <v>-0.18205898071750326</v>
      </c>
      <c r="H28" s="615">
        <v>-0.20124459916432968</v>
      </c>
      <c r="I28" s="615">
        <v>-0.41519354144852194</v>
      </c>
      <c r="J28" s="615">
        <v>-0.49124801603415147</v>
      </c>
      <c r="K28" s="615">
        <v>-0.40902840959355924</v>
      </c>
      <c r="L28" s="580">
        <v>0.27974217563546677</v>
      </c>
      <c r="M28" s="580">
        <v>-3.4300873323705204E-2</v>
      </c>
      <c r="N28" s="616">
        <v>0.1650042499641402</v>
      </c>
      <c r="P28" s="867">
        <v>2021</v>
      </c>
      <c r="Q28" s="867"/>
      <c r="R28" s="615">
        <v>-0.34484472694311652</v>
      </c>
      <c r="S28" s="615">
        <v>0.15659460488324228</v>
      </c>
      <c r="T28" s="580">
        <v>0.17247379306453148</v>
      </c>
      <c r="U28" s="615">
        <v>-0.18205898071750326</v>
      </c>
      <c r="V28" s="615">
        <v>-0.20124459916432968</v>
      </c>
      <c r="W28" s="615">
        <v>-0.41519354144852194</v>
      </c>
      <c r="X28" s="615">
        <v>-0.49124801603415147</v>
      </c>
      <c r="Y28" s="615">
        <v>-0.40902840959355924</v>
      </c>
      <c r="Z28" s="580">
        <v>0.27974217563546677</v>
      </c>
      <c r="AA28" s="580">
        <v>-3.4300873323705204E-2</v>
      </c>
      <c r="AB28" s="616">
        <v>0.1650042499641402</v>
      </c>
    </row>
    <row r="29" spans="2:28" ht="15" thickBot="1" x14ac:dyDescent="0.35">
      <c r="B29" s="868">
        <v>2022</v>
      </c>
      <c r="C29" s="868"/>
      <c r="D29" s="615">
        <v>-0.65871346786563478</v>
      </c>
      <c r="E29" s="615">
        <v>0.23863475594925188</v>
      </c>
      <c r="F29" s="580">
        <v>7.9369798718453843E-2</v>
      </c>
      <c r="G29" s="615">
        <v>-0.50706923771701717</v>
      </c>
      <c r="H29" s="615">
        <v>-0.44407862060205083</v>
      </c>
      <c r="I29" s="615">
        <v>-0.83757697023991717</v>
      </c>
      <c r="J29" s="615">
        <v>-0.75723942926595456</v>
      </c>
      <c r="K29" s="615">
        <v>-0.61958072898269378</v>
      </c>
      <c r="L29" s="614">
        <v>0.33381489445403201</v>
      </c>
      <c r="M29" s="614">
        <v>-5.1004322866356908E-2</v>
      </c>
      <c r="N29" s="613">
        <v>0.31545843584657729</v>
      </c>
      <c r="P29" s="868">
        <v>2022</v>
      </c>
      <c r="Q29" s="868"/>
      <c r="R29" s="775">
        <v>-0.65871346786563478</v>
      </c>
      <c r="S29" s="775">
        <v>0.23863475594925188</v>
      </c>
      <c r="T29" s="578">
        <v>7.9369798718453843E-2</v>
      </c>
      <c r="U29" s="775">
        <v>-0.50706923771701717</v>
      </c>
      <c r="V29" s="775">
        <v>-0.44407862060205083</v>
      </c>
      <c r="W29" s="775">
        <v>-0.83757697023991717</v>
      </c>
      <c r="X29" s="775">
        <v>-0.75723942926595456</v>
      </c>
      <c r="Y29" s="775">
        <v>-0.61958072898269378</v>
      </c>
      <c r="Z29" s="614">
        <v>0.33381489445403201</v>
      </c>
      <c r="AA29" s="614">
        <v>-5.1004322866356908E-2</v>
      </c>
      <c r="AB29" s="613">
        <v>0.31545843584657729</v>
      </c>
    </row>
    <row r="30" spans="2:28" ht="15" thickTop="1" x14ac:dyDescent="0.3">
      <c r="B30" s="612"/>
      <c r="D30" s="612"/>
      <c r="E30" s="612"/>
      <c r="F30" s="612"/>
      <c r="G30" s="612"/>
      <c r="H30" s="612"/>
      <c r="I30" s="612"/>
      <c r="J30" s="612"/>
      <c r="K30" s="612"/>
      <c r="L30" s="612"/>
      <c r="M30" s="878" t="s">
        <v>3</v>
      </c>
      <c r="N30" s="879"/>
    </row>
  </sheetData>
  <mergeCells count="107">
    <mergeCell ref="B27:C27"/>
    <mergeCell ref="B28:C28"/>
    <mergeCell ref="B29:C29"/>
    <mergeCell ref="M30:N30"/>
    <mergeCell ref="B5:N5"/>
    <mergeCell ref="B14:N14"/>
    <mergeCell ref="B23:N23"/>
    <mergeCell ref="I25:I26"/>
    <mergeCell ref="J25:J26"/>
    <mergeCell ref="K25:K26"/>
    <mergeCell ref="L25:L26"/>
    <mergeCell ref="M25:M26"/>
    <mergeCell ref="N25:N26"/>
    <mergeCell ref="B19:C19"/>
    <mergeCell ref="B20:C20"/>
    <mergeCell ref="M21:N21"/>
    <mergeCell ref="B24:N24"/>
    <mergeCell ref="B25:C26"/>
    <mergeCell ref="D25:D26"/>
    <mergeCell ref="E25:E26"/>
    <mergeCell ref="M12:N12"/>
    <mergeCell ref="B15:N15"/>
    <mergeCell ref="B16:C17"/>
    <mergeCell ref="D16:D17"/>
    <mergeCell ref="E16:E17"/>
    <mergeCell ref="F25:F26"/>
    <mergeCell ref="G25:G26"/>
    <mergeCell ref="H25:H26"/>
    <mergeCell ref="B18:C18"/>
    <mergeCell ref="B11:C11"/>
    <mergeCell ref="L16:L17"/>
    <mergeCell ref="M16:M17"/>
    <mergeCell ref="N16:N17"/>
    <mergeCell ref="B10:C10"/>
    <mergeCell ref="F16:F17"/>
    <mergeCell ref="G16:G17"/>
    <mergeCell ref="H16:H17"/>
    <mergeCell ref="I16:I17"/>
    <mergeCell ref="J16:J17"/>
    <mergeCell ref="K16:K17"/>
    <mergeCell ref="B9:C9"/>
    <mergeCell ref="H7:H8"/>
    <mergeCell ref="I7:I8"/>
    <mergeCell ref="J7:J8"/>
    <mergeCell ref="K7:K8"/>
    <mergeCell ref="B6:N6"/>
    <mergeCell ref="B7:C8"/>
    <mergeCell ref="D7:D8"/>
    <mergeCell ref="E7:E8"/>
    <mergeCell ref="F7:F8"/>
    <mergeCell ref="G7:G8"/>
    <mergeCell ref="N7:N8"/>
    <mergeCell ref="L7:L8"/>
    <mergeCell ref="M7:M8"/>
    <mergeCell ref="P9:Q9"/>
    <mergeCell ref="P10:Q10"/>
    <mergeCell ref="P11:Q11"/>
    <mergeCell ref="AA12:AB12"/>
    <mergeCell ref="P14:AB14"/>
    <mergeCell ref="P5:AB5"/>
    <mergeCell ref="P6:AB6"/>
    <mergeCell ref="P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P18:Q18"/>
    <mergeCell ref="P19:Q19"/>
    <mergeCell ref="P20:Q20"/>
    <mergeCell ref="AA21:AB21"/>
    <mergeCell ref="P23:AB23"/>
    <mergeCell ref="P15:AB15"/>
    <mergeCell ref="P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P27:Q27"/>
    <mergeCell ref="P28:Q28"/>
    <mergeCell ref="P29:Q29"/>
    <mergeCell ref="P24:AB24"/>
    <mergeCell ref="P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B4:M31"/>
  <sheetViews>
    <sheetView showGridLines="0" zoomScale="80" zoomScaleNormal="80" workbookViewId="0">
      <selection activeCell="C27" sqref="C27"/>
    </sheetView>
  </sheetViews>
  <sheetFormatPr defaultColWidth="9.109375" defaultRowHeight="13.8" x14ac:dyDescent="0.3"/>
  <cols>
    <col min="1" max="1" width="9.109375" style="6"/>
    <col min="2" max="3" width="43.109375" style="6" customWidth="1"/>
    <col min="4" max="4" width="9.109375" style="6"/>
    <col min="5" max="13" width="9.109375" style="6" customWidth="1"/>
    <col min="14" max="16384" width="9.109375" style="6"/>
  </cols>
  <sheetData>
    <row r="4" spans="2:13" ht="14.4" customHeight="1" x14ac:dyDescent="0.3">
      <c r="B4" s="884" t="s">
        <v>700</v>
      </c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</row>
    <row r="5" spans="2:13" ht="15" customHeight="1" thickBot="1" x14ac:dyDescent="0.35">
      <c r="B5" s="883" t="s">
        <v>1225</v>
      </c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</row>
    <row r="6" spans="2:13" ht="14.4" thickBot="1" x14ac:dyDescent="0.35">
      <c r="B6" s="758"/>
      <c r="C6" s="758"/>
      <c r="D6" s="371"/>
      <c r="E6" s="746" t="s">
        <v>6</v>
      </c>
      <c r="F6" s="747"/>
      <c r="G6" s="748"/>
      <c r="H6" s="749" t="s">
        <v>500</v>
      </c>
      <c r="I6" s="750"/>
      <c r="J6" s="751"/>
      <c r="K6" s="746" t="s">
        <v>502</v>
      </c>
      <c r="L6" s="747"/>
      <c r="M6" s="747"/>
    </row>
    <row r="7" spans="2:13" ht="14.4" thickBot="1" x14ac:dyDescent="0.35">
      <c r="B7" s="4"/>
      <c r="C7" s="4"/>
      <c r="D7" s="372" t="s">
        <v>31</v>
      </c>
      <c r="E7" s="373">
        <v>2020</v>
      </c>
      <c r="F7" s="750">
        <v>2021</v>
      </c>
      <c r="G7" s="374">
        <v>2022</v>
      </c>
      <c r="H7" s="373">
        <v>2020</v>
      </c>
      <c r="I7" s="750" t="s">
        <v>863</v>
      </c>
      <c r="J7" s="374" t="s">
        <v>864</v>
      </c>
      <c r="K7" s="373">
        <v>2020</v>
      </c>
      <c r="L7" s="750">
        <v>2021</v>
      </c>
      <c r="M7" s="374">
        <v>2022</v>
      </c>
    </row>
    <row r="8" spans="2:13" ht="14.4" thickBot="1" x14ac:dyDescent="0.35">
      <c r="B8" s="346" t="s">
        <v>32</v>
      </c>
      <c r="C8" s="346" t="s">
        <v>1226</v>
      </c>
      <c r="D8" s="375" t="s">
        <v>33</v>
      </c>
      <c r="E8" s="494">
        <v>40.019964734291705</v>
      </c>
      <c r="F8" s="494">
        <v>39.66689508699757</v>
      </c>
      <c r="G8" s="495">
        <v>39.571020299441876</v>
      </c>
      <c r="H8" s="530">
        <v>39.641833014782463</v>
      </c>
      <c r="I8" s="530">
        <v>39.645589034933252</v>
      </c>
      <c r="J8" s="531">
        <v>39.750262940882628</v>
      </c>
      <c r="K8" s="494">
        <v>-0.37813171950924129</v>
      </c>
      <c r="L8" s="494">
        <v>-2.1306052064318237E-2</v>
      </c>
      <c r="M8" s="495">
        <v>0.17924264144075153</v>
      </c>
    </row>
    <row r="9" spans="2:13" x14ac:dyDescent="0.3">
      <c r="B9" s="745" t="s">
        <v>34</v>
      </c>
      <c r="C9" s="745" t="s">
        <v>1227</v>
      </c>
      <c r="D9" s="376" t="s">
        <v>35</v>
      </c>
      <c r="E9" s="133">
        <v>11.6334007958163</v>
      </c>
      <c r="F9" s="133">
        <v>11.238610501611729</v>
      </c>
      <c r="G9" s="315">
        <v>11.20737359659223</v>
      </c>
      <c r="H9" s="133">
        <v>11.658187953233448</v>
      </c>
      <c r="I9" s="133">
        <v>11.293127979265373</v>
      </c>
      <c r="J9" s="315">
        <v>11.256151482387022</v>
      </c>
      <c r="K9" s="133">
        <v>2.4787157417147654E-2</v>
      </c>
      <c r="L9" s="133">
        <v>5.4517477653643454E-2</v>
      </c>
      <c r="M9" s="315">
        <v>4.8777885794791587E-2</v>
      </c>
    </row>
    <row r="10" spans="2:13" x14ac:dyDescent="0.3">
      <c r="B10" s="745" t="s">
        <v>36</v>
      </c>
      <c r="C10" s="745" t="s">
        <v>1228</v>
      </c>
      <c r="D10" s="377" t="s">
        <v>37</v>
      </c>
      <c r="E10" s="133">
        <v>7.4104135414298407</v>
      </c>
      <c r="F10" s="133">
        <v>7.3949257916327502</v>
      </c>
      <c r="G10" s="315">
        <v>7.3154051485895488</v>
      </c>
      <c r="H10" s="133">
        <v>7.1486765809556347</v>
      </c>
      <c r="I10" s="133">
        <v>7.1429552439774877</v>
      </c>
      <c r="J10" s="315">
        <v>7.0757018021683189</v>
      </c>
      <c r="K10" s="133">
        <v>-0.26173696047420592</v>
      </c>
      <c r="L10" s="133">
        <v>-0.2519705476552625</v>
      </c>
      <c r="M10" s="315">
        <v>-0.23970334642122992</v>
      </c>
    </row>
    <row r="11" spans="2:13" x14ac:dyDescent="0.3">
      <c r="B11" s="745" t="s">
        <v>38</v>
      </c>
      <c r="C11" s="745" t="s">
        <v>1229</v>
      </c>
      <c r="D11" s="376" t="s">
        <v>39</v>
      </c>
      <c r="E11" s="133">
        <v>0</v>
      </c>
      <c r="F11" s="133">
        <v>0</v>
      </c>
      <c r="G11" s="315">
        <v>0</v>
      </c>
      <c r="H11" s="133">
        <v>0</v>
      </c>
      <c r="I11" s="133">
        <v>0</v>
      </c>
      <c r="J11" s="315">
        <v>0</v>
      </c>
      <c r="K11" s="133">
        <v>0</v>
      </c>
      <c r="L11" s="133">
        <v>0</v>
      </c>
      <c r="M11" s="315">
        <v>0</v>
      </c>
    </row>
    <row r="12" spans="2:13" x14ac:dyDescent="0.3">
      <c r="B12" s="745" t="s">
        <v>40</v>
      </c>
      <c r="C12" s="745" t="s">
        <v>1230</v>
      </c>
      <c r="D12" s="376" t="s">
        <v>41</v>
      </c>
      <c r="E12" s="133">
        <v>15.139475976901576</v>
      </c>
      <c r="F12" s="133">
        <v>15.077468360808302</v>
      </c>
      <c r="G12" s="315">
        <v>15.01991918897583</v>
      </c>
      <c r="H12" s="133">
        <v>15.124644684991331</v>
      </c>
      <c r="I12" s="133">
        <v>15.042102863437595</v>
      </c>
      <c r="J12" s="315">
        <v>14.989749091460538</v>
      </c>
      <c r="K12" s="133">
        <v>-1.483129191024446E-2</v>
      </c>
      <c r="L12" s="133">
        <v>-3.5365497370706933E-2</v>
      </c>
      <c r="M12" s="315">
        <v>-3.0170097515291872E-2</v>
      </c>
    </row>
    <row r="13" spans="2:13" ht="11.25" customHeight="1" x14ac:dyDescent="0.3">
      <c r="B13" s="523" t="s">
        <v>42</v>
      </c>
      <c r="C13" s="378" t="s">
        <v>1231</v>
      </c>
      <c r="D13" s="379" t="s">
        <v>43</v>
      </c>
      <c r="E13" s="133">
        <v>0.59449093228425942</v>
      </c>
      <c r="F13" s="133">
        <v>0.56785971240311561</v>
      </c>
      <c r="G13" s="315">
        <v>0.53274021162499885</v>
      </c>
      <c r="H13" s="133">
        <v>0.59449093228425942</v>
      </c>
      <c r="I13" s="133">
        <v>0.56785971240311561</v>
      </c>
      <c r="J13" s="133">
        <v>0.53274021162499885</v>
      </c>
      <c r="K13" s="133">
        <v>0</v>
      </c>
      <c r="L13" s="133">
        <v>0</v>
      </c>
      <c r="M13" s="315">
        <v>0</v>
      </c>
    </row>
    <row r="14" spans="2:13" ht="11.25" customHeight="1" thickBot="1" x14ac:dyDescent="0.35">
      <c r="B14" s="521" t="s">
        <v>501</v>
      </c>
      <c r="C14" s="498" t="s">
        <v>1232</v>
      </c>
      <c r="D14" s="498"/>
      <c r="E14" s="2">
        <v>5.2421834878597302</v>
      </c>
      <c r="F14" s="2">
        <v>5.3880307205416704</v>
      </c>
      <c r="G14" s="318">
        <v>5.4955821536592691</v>
      </c>
      <c r="H14" s="2">
        <v>5.1158328633177916</v>
      </c>
      <c r="I14" s="2">
        <v>5.5995432358496808</v>
      </c>
      <c r="J14" s="318">
        <v>5.8959203532417508</v>
      </c>
      <c r="K14" s="2">
        <v>-0.12635062454193857</v>
      </c>
      <c r="L14" s="2">
        <v>0.21151251530801041</v>
      </c>
      <c r="M14" s="318">
        <v>0.40033819958248174</v>
      </c>
    </row>
    <row r="15" spans="2:13" ht="14.4" thickBot="1" x14ac:dyDescent="0.35">
      <c r="B15" s="488" t="s">
        <v>361</v>
      </c>
      <c r="C15" s="488" t="s">
        <v>1243</v>
      </c>
      <c r="D15" s="491"/>
      <c r="E15" s="489">
        <v>0</v>
      </c>
      <c r="F15" s="489">
        <v>0</v>
      </c>
      <c r="G15" s="490">
        <v>0</v>
      </c>
      <c r="H15" s="489">
        <v>0</v>
      </c>
      <c r="I15" s="489">
        <v>0.37404645119232927</v>
      </c>
      <c r="J15" s="490">
        <v>0.57558958456593579</v>
      </c>
      <c r="K15" s="489">
        <v>0</v>
      </c>
      <c r="L15" s="489">
        <v>0.37404645119232927</v>
      </c>
      <c r="M15" s="490">
        <v>0.57558958456593579</v>
      </c>
    </row>
    <row r="16" spans="2:13" ht="16.5" customHeight="1" thickBot="1" x14ac:dyDescent="0.35">
      <c r="B16" s="4" t="s">
        <v>44</v>
      </c>
      <c r="C16" s="4" t="s">
        <v>1147</v>
      </c>
      <c r="D16" s="372" t="s">
        <v>30</v>
      </c>
      <c r="E16" s="496">
        <v>39.925550002905759</v>
      </c>
      <c r="F16" s="496">
        <v>39.876523969623889</v>
      </c>
      <c r="G16" s="497">
        <v>40.255760202016795</v>
      </c>
      <c r="H16" s="528">
        <v>40.13183274762811</v>
      </c>
      <c r="I16" s="528">
        <v>39.645589034933252</v>
      </c>
      <c r="J16" s="529">
        <v>39.750262940882628</v>
      </c>
      <c r="K16" s="496">
        <v>0.2062827447223512</v>
      </c>
      <c r="L16" s="496">
        <v>-0.23093493469063731</v>
      </c>
      <c r="M16" s="497">
        <v>-0.50549726113416682</v>
      </c>
    </row>
    <row r="17" spans="2:13" x14ac:dyDescent="0.3">
      <c r="B17" s="745" t="s">
        <v>45</v>
      </c>
      <c r="C17" s="745" t="s">
        <v>1233</v>
      </c>
      <c r="D17" s="376" t="s">
        <v>46</v>
      </c>
      <c r="E17" s="133">
        <v>9.8461574033410706</v>
      </c>
      <c r="F17" s="133">
        <v>9.825193304032652</v>
      </c>
      <c r="G17" s="315">
        <v>9.7895601135183483</v>
      </c>
      <c r="H17" s="133">
        <v>9.9342667559592073</v>
      </c>
      <c r="I17" s="133">
        <v>9.8124164616692511</v>
      </c>
      <c r="J17" s="315">
        <v>9.6598210979871695</v>
      </c>
      <c r="K17" s="133">
        <v>8.8109352618136683E-2</v>
      </c>
      <c r="L17" s="133">
        <v>-1.2776842363400931E-2</v>
      </c>
      <c r="M17" s="315">
        <v>-0.12973901553117884</v>
      </c>
    </row>
    <row r="18" spans="2:13" x14ac:dyDescent="0.3">
      <c r="B18" s="745" t="s">
        <v>47</v>
      </c>
      <c r="C18" s="745" t="s">
        <v>1234</v>
      </c>
      <c r="D18" s="376" t="s">
        <v>48</v>
      </c>
      <c r="E18" s="133">
        <v>5.4899584072127467</v>
      </c>
      <c r="F18" s="133">
        <v>5.5264781753977523</v>
      </c>
      <c r="G18" s="315">
        <v>5.4067623777160554</v>
      </c>
      <c r="H18" s="133">
        <v>5.4600736661224936</v>
      </c>
      <c r="I18" s="133">
        <v>5.4907074160647129</v>
      </c>
      <c r="J18" s="315">
        <v>5.426011106579387</v>
      </c>
      <c r="K18" s="133">
        <v>-2.9884741090253186E-2</v>
      </c>
      <c r="L18" s="133">
        <v>-3.5770759333039415E-2</v>
      </c>
      <c r="M18" s="315">
        <v>1.9248728863331621E-2</v>
      </c>
    </row>
    <row r="19" spans="2:13" x14ac:dyDescent="0.3">
      <c r="B19" s="745" t="s">
        <v>49</v>
      </c>
      <c r="C19" s="745" t="s">
        <v>1235</v>
      </c>
      <c r="D19" s="376" t="s">
        <v>211</v>
      </c>
      <c r="E19" s="133">
        <v>0.49538525328634425</v>
      </c>
      <c r="F19" s="133">
        <v>0.45267683195242842</v>
      </c>
      <c r="G19" s="315">
        <v>0.39433321787982956</v>
      </c>
      <c r="H19" s="133">
        <v>0.50641094850040314</v>
      </c>
      <c r="I19" s="133">
        <v>0.45889178319846163</v>
      </c>
      <c r="J19" s="315">
        <v>0.39043557785846583</v>
      </c>
      <c r="K19" s="133">
        <v>1.1025695214058884E-2</v>
      </c>
      <c r="L19" s="133">
        <v>6.2149512460332179E-3</v>
      </c>
      <c r="M19" s="315">
        <v>-3.8976400213637241E-3</v>
      </c>
    </row>
    <row r="20" spans="2:13" x14ac:dyDescent="0.3">
      <c r="B20" s="745" t="s">
        <v>50</v>
      </c>
      <c r="C20" s="745" t="s">
        <v>1236</v>
      </c>
      <c r="D20" s="376" t="s">
        <v>51</v>
      </c>
      <c r="E20" s="133">
        <v>1.0782433875733237</v>
      </c>
      <c r="F20" s="133">
        <v>0.97198437000044358</v>
      </c>
      <c r="G20" s="315">
        <v>0.93519079800215443</v>
      </c>
      <c r="H20" s="133">
        <v>1.0782433875733237</v>
      </c>
      <c r="I20" s="133">
        <v>0.97198437000044358</v>
      </c>
      <c r="J20" s="315">
        <v>0.93519079800215443</v>
      </c>
      <c r="K20" s="133">
        <v>0</v>
      </c>
      <c r="L20" s="133">
        <v>0</v>
      </c>
      <c r="M20" s="315">
        <v>0</v>
      </c>
    </row>
    <row r="21" spans="2:13" x14ac:dyDescent="0.3">
      <c r="B21" s="745" t="s">
        <v>52</v>
      </c>
      <c r="C21" s="745" t="s">
        <v>1237</v>
      </c>
      <c r="D21" s="376" t="s">
        <v>212</v>
      </c>
      <c r="E21" s="133">
        <v>18.252630548497589</v>
      </c>
      <c r="F21" s="133">
        <v>17.973458377545551</v>
      </c>
      <c r="G21" s="315">
        <v>17.717398080738025</v>
      </c>
      <c r="H21" s="133">
        <v>18.659984664060843</v>
      </c>
      <c r="I21" s="133">
        <v>18.385953526829734</v>
      </c>
      <c r="J21" s="315">
        <v>18.130013151830493</v>
      </c>
      <c r="K21" s="133">
        <v>0.40735411556325474</v>
      </c>
      <c r="L21" s="133">
        <v>0.41249514928418307</v>
      </c>
      <c r="M21" s="315">
        <v>0.41261507109246764</v>
      </c>
    </row>
    <row r="22" spans="2:13" x14ac:dyDescent="0.3">
      <c r="B22" s="344" t="s">
        <v>503</v>
      </c>
      <c r="C22" s="344" t="s">
        <v>1238</v>
      </c>
      <c r="D22" s="376"/>
      <c r="E22" s="133">
        <v>0.18024084226222356</v>
      </c>
      <c r="F22" s="133">
        <v>0.16706304651046139</v>
      </c>
      <c r="G22" s="315">
        <v>0.16338933383677801</v>
      </c>
      <c r="H22" s="133">
        <v>0.18024084226222356</v>
      </c>
      <c r="I22" s="133">
        <v>0.16706304651046139</v>
      </c>
      <c r="J22" s="315">
        <v>0.16338933383677801</v>
      </c>
      <c r="K22" s="133">
        <v>0</v>
      </c>
      <c r="L22" s="133">
        <v>0</v>
      </c>
      <c r="M22" s="315">
        <v>0</v>
      </c>
    </row>
    <row r="23" spans="2:13" x14ac:dyDescent="0.3">
      <c r="B23" s="745" t="s">
        <v>53</v>
      </c>
      <c r="C23" s="745" t="s">
        <v>1239</v>
      </c>
      <c r="D23" s="376" t="s">
        <v>54</v>
      </c>
      <c r="E23" s="133">
        <v>2.3242627738377859</v>
      </c>
      <c r="F23" s="133">
        <v>2.4092199193392805</v>
      </c>
      <c r="G23" s="315">
        <v>3.4289198862253887</v>
      </c>
      <c r="H23" s="133">
        <v>1.8761538368093258</v>
      </c>
      <c r="I23" s="133">
        <v>2.0449605629921512</v>
      </c>
      <c r="J23" s="315">
        <v>3.1089502042582668</v>
      </c>
      <c r="K23" s="133">
        <v>-0.44810893702846011</v>
      </c>
      <c r="L23" s="133">
        <v>-0.36425935634712925</v>
      </c>
      <c r="M23" s="315">
        <v>-0.31996968196712183</v>
      </c>
    </row>
    <row r="24" spans="2:13" x14ac:dyDescent="0.3">
      <c r="B24" s="523" t="s">
        <v>55</v>
      </c>
      <c r="C24" s="523" t="s">
        <v>1240</v>
      </c>
      <c r="D24" s="376" t="s">
        <v>56</v>
      </c>
      <c r="E24" s="1">
        <v>0.20446519901870949</v>
      </c>
      <c r="F24" s="1">
        <v>0.22230473325221059</v>
      </c>
      <c r="G24" s="315">
        <v>0.22401593590356106</v>
      </c>
      <c r="H24" s="1">
        <v>0.21104374547997864</v>
      </c>
      <c r="I24" s="1">
        <v>0.23423971502671567</v>
      </c>
      <c r="J24" s="315">
        <v>0.18198326397496697</v>
      </c>
      <c r="K24" s="1">
        <v>6.5785464612691524E-3</v>
      </c>
      <c r="L24" s="1">
        <v>1.1934981774505082E-2</v>
      </c>
      <c r="M24" s="315">
        <v>-4.2032671928594084E-2</v>
      </c>
    </row>
    <row r="25" spans="2:13" ht="14.4" thickBot="1" x14ac:dyDescent="0.35">
      <c r="B25" s="521" t="s">
        <v>504</v>
      </c>
      <c r="C25" s="521" t="s">
        <v>1241</v>
      </c>
      <c r="D25" s="522"/>
      <c r="E25" s="2">
        <v>2.2344470301381905</v>
      </c>
      <c r="F25" s="2">
        <v>2.4952082581035735</v>
      </c>
      <c r="G25" s="318">
        <v>2.3595797920334323</v>
      </c>
      <c r="H25" s="2">
        <v>2.4056557431225354</v>
      </c>
      <c r="I25" s="2">
        <v>2.2464351991517821</v>
      </c>
      <c r="J25" s="318">
        <v>1.917857740391725</v>
      </c>
      <c r="K25" s="2">
        <v>0.17120871298434492</v>
      </c>
      <c r="L25" s="2">
        <v>-0.24877305895179136</v>
      </c>
      <c r="M25" s="318">
        <v>-0.4417220516417073</v>
      </c>
    </row>
    <row r="26" spans="2:13" ht="14.4" thickBot="1" x14ac:dyDescent="0.35">
      <c r="B26" s="524" t="s">
        <v>642</v>
      </c>
      <c r="C26" s="488" t="s">
        <v>1244</v>
      </c>
      <c r="D26" s="525"/>
      <c r="E26" s="526">
        <v>0</v>
      </c>
      <c r="F26" s="526">
        <v>0</v>
      </c>
      <c r="G26" s="527">
        <v>0</v>
      </c>
      <c r="H26" s="526">
        <v>0</v>
      </c>
      <c r="I26" s="526">
        <v>-0.37404645119232927</v>
      </c>
      <c r="J26" s="527">
        <v>-0.57558958456593579</v>
      </c>
      <c r="K26" s="526">
        <v>0</v>
      </c>
      <c r="L26" s="526">
        <v>-0.37404645119232927</v>
      </c>
      <c r="M26" s="527">
        <v>-0.57558958456593579</v>
      </c>
    </row>
    <row r="27" spans="2:13" ht="14.4" thickBot="1" x14ac:dyDescent="0.35">
      <c r="B27" s="346" t="s">
        <v>505</v>
      </c>
      <c r="C27" s="346" t="s">
        <v>1242</v>
      </c>
      <c r="D27" s="375" t="s">
        <v>57</v>
      </c>
      <c r="E27" s="494">
        <v>9.4414731385946027E-2</v>
      </c>
      <c r="F27" s="494">
        <v>-0.20962888262631907</v>
      </c>
      <c r="G27" s="495">
        <v>-0.68473990257491835</v>
      </c>
      <c r="H27" s="494">
        <v>-0.48999973284564646</v>
      </c>
      <c r="I27" s="494">
        <v>0</v>
      </c>
      <c r="J27" s="495">
        <v>0</v>
      </c>
      <c r="K27" s="494">
        <v>-0.58441446423159249</v>
      </c>
      <c r="L27" s="494">
        <v>0.20962888262631907</v>
      </c>
      <c r="M27" s="495">
        <v>0.68473990257491835</v>
      </c>
    </row>
    <row r="28" spans="2:13" x14ac:dyDescent="0.3">
      <c r="B28" s="752" t="s">
        <v>506</v>
      </c>
      <c r="C28" s="752"/>
      <c r="D28" s="752"/>
      <c r="E28" s="752"/>
      <c r="F28" s="752"/>
      <c r="G28" s="752"/>
      <c r="H28" s="752"/>
      <c r="I28" s="752"/>
      <c r="J28" s="752"/>
      <c r="K28" s="752"/>
      <c r="L28" s="753" t="s">
        <v>3</v>
      </c>
      <c r="M28" s="753"/>
    </row>
    <row r="29" spans="2:13" x14ac:dyDescent="0.3">
      <c r="B29" s="745" t="s">
        <v>862</v>
      </c>
      <c r="C29" s="745"/>
      <c r="D29" s="745"/>
      <c r="E29" s="745"/>
      <c r="F29" s="745"/>
      <c r="G29" s="745"/>
      <c r="H29" s="745"/>
      <c r="I29" s="745"/>
      <c r="J29" s="745"/>
      <c r="K29" s="745"/>
      <c r="L29" s="745"/>
      <c r="M29" s="745"/>
    </row>
    <row r="30" spans="2:13" x14ac:dyDescent="0.3">
      <c r="B30" s="745" t="s">
        <v>865</v>
      </c>
      <c r="C30" s="745"/>
      <c r="D30" s="745"/>
      <c r="E30" s="745"/>
      <c r="F30" s="745"/>
      <c r="G30" s="745"/>
      <c r="H30" s="745"/>
      <c r="I30" s="745"/>
      <c r="J30" s="745"/>
      <c r="K30" s="745"/>
      <c r="L30" s="745"/>
      <c r="M30" s="745"/>
    </row>
    <row r="31" spans="2:13" x14ac:dyDescent="0.3">
      <c r="E31" s="118"/>
      <c r="F31" s="118"/>
      <c r="G31" s="118"/>
      <c r="H31" s="118"/>
      <c r="I31" s="118"/>
      <c r="J31" s="118"/>
      <c r="K31" s="118"/>
      <c r="L31" s="118"/>
      <c r="M31" s="118"/>
    </row>
  </sheetData>
  <mergeCells count="2">
    <mergeCell ref="B5:M5"/>
    <mergeCell ref="B4:M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3:N43"/>
  <sheetViews>
    <sheetView showGridLines="0" topLeftCell="A13" zoomScale="80" zoomScaleNormal="80" workbookViewId="0">
      <selection activeCell="C47" sqref="C47"/>
    </sheetView>
  </sheetViews>
  <sheetFormatPr defaultColWidth="9.109375" defaultRowHeight="13.8" x14ac:dyDescent="0.3"/>
  <cols>
    <col min="1" max="1" width="9.109375" style="6"/>
    <col min="2" max="2" width="61.88671875" style="6" bestFit="1" customWidth="1"/>
    <col min="3" max="3" width="12.6640625" style="6" customWidth="1"/>
    <col min="4" max="4" width="10.6640625" style="6" customWidth="1"/>
    <col min="5" max="7" width="7.33203125" style="6" customWidth="1"/>
    <col min="8" max="8" width="9.109375" style="6"/>
    <col min="9" max="9" width="75.5546875" style="122" customWidth="1"/>
    <col min="10" max="16384" width="9.109375" style="6"/>
  </cols>
  <sheetData>
    <row r="3" spans="1:14" x14ac:dyDescent="0.3">
      <c r="A3" s="47"/>
      <c r="C3" s="47"/>
      <c r="D3" s="47"/>
      <c r="E3" s="47"/>
      <c r="F3" s="47"/>
      <c r="G3" s="47"/>
    </row>
    <row r="4" spans="1:14" ht="16.5" customHeight="1" thickBot="1" x14ac:dyDescent="0.35">
      <c r="A4" s="47"/>
      <c r="B4" s="885" t="s">
        <v>894</v>
      </c>
      <c r="C4" s="885"/>
      <c r="D4" s="885"/>
      <c r="E4" s="885"/>
      <c r="F4" s="885"/>
      <c r="G4" s="885"/>
      <c r="I4" s="885" t="s">
        <v>1398</v>
      </c>
      <c r="J4" s="885"/>
      <c r="K4" s="885"/>
      <c r="L4" s="885"/>
      <c r="M4" s="885"/>
      <c r="N4" s="885"/>
    </row>
    <row r="5" spans="1:14" ht="16.5" customHeight="1" thickBot="1" x14ac:dyDescent="0.35">
      <c r="A5" s="47"/>
      <c r="B5" s="246" t="s">
        <v>479</v>
      </c>
      <c r="C5" s="247" t="s">
        <v>58</v>
      </c>
      <c r="D5" s="247" t="s">
        <v>59</v>
      </c>
      <c r="E5" s="247">
        <v>2020</v>
      </c>
      <c r="F5" s="483">
        <v>2021</v>
      </c>
      <c r="G5" s="247">
        <v>2022</v>
      </c>
      <c r="I5" s="246" t="s">
        <v>1118</v>
      </c>
      <c r="J5" s="247" t="s">
        <v>1383</v>
      </c>
      <c r="K5" s="247" t="s">
        <v>59</v>
      </c>
      <c r="L5" s="247">
        <f>E5</f>
        <v>2020</v>
      </c>
      <c r="M5" s="247">
        <f t="shared" ref="M5:N5" si="0">F5</f>
        <v>2021</v>
      </c>
      <c r="N5" s="247">
        <f t="shared" si="0"/>
        <v>2022</v>
      </c>
    </row>
    <row r="6" spans="1:14" ht="16.5" customHeight="1" thickBot="1" x14ac:dyDescent="0.35">
      <c r="A6" s="47"/>
      <c r="B6" s="481" t="s">
        <v>696</v>
      </c>
      <c r="C6" s="482" t="s">
        <v>148</v>
      </c>
      <c r="D6" s="483"/>
      <c r="E6" s="484">
        <f>E7+E11+E18</f>
        <v>-0.25178109496730272</v>
      </c>
      <c r="F6" s="484">
        <f>F7+F11+F18</f>
        <v>-0.23281856737232598</v>
      </c>
      <c r="G6" s="484">
        <f>G7+G11+G18</f>
        <v>-0.22109555814173021</v>
      </c>
      <c r="H6" s="47"/>
      <c r="I6" s="481" t="s">
        <v>1113</v>
      </c>
      <c r="J6" s="809" t="s">
        <v>148</v>
      </c>
      <c r="K6" s="810"/>
      <c r="L6" s="811">
        <f t="shared" ref="L6:L23" si="1">E6</f>
        <v>-0.25178109496730272</v>
      </c>
      <c r="M6" s="811">
        <f t="shared" ref="M6:M23" si="2">F6</f>
        <v>-0.23281856737232598</v>
      </c>
      <c r="N6" s="811">
        <f t="shared" ref="N6:N23" si="3">G6</f>
        <v>-0.22109555814173021</v>
      </c>
    </row>
    <row r="7" spans="1:14" ht="16.5" customHeight="1" thickBot="1" x14ac:dyDescent="0.35">
      <c r="A7" s="47"/>
      <c r="B7" s="502" t="s">
        <v>149</v>
      </c>
      <c r="C7" s="482" t="s">
        <v>148</v>
      </c>
      <c r="D7" s="482" t="s">
        <v>35</v>
      </c>
      <c r="E7" s="484">
        <f>'Tabuľka 7 '!K9</f>
        <v>2.4787157417147654E-2</v>
      </c>
      <c r="F7" s="484">
        <f>'Tabuľka 7 '!L9</f>
        <v>5.4517477653643454E-2</v>
      </c>
      <c r="G7" s="484">
        <f>'Tabuľka 7 '!M9</f>
        <v>4.8777885794791587E-2</v>
      </c>
      <c r="H7" s="47"/>
      <c r="I7" s="481" t="s">
        <v>1384</v>
      </c>
      <c r="J7" s="809" t="s">
        <v>148</v>
      </c>
      <c r="K7" s="809" t="s">
        <v>35</v>
      </c>
      <c r="L7" s="811">
        <f t="shared" si="1"/>
        <v>2.4787157417147654E-2</v>
      </c>
      <c r="M7" s="811">
        <f t="shared" si="2"/>
        <v>5.4517477653643454E-2</v>
      </c>
      <c r="N7" s="811">
        <f t="shared" si="3"/>
        <v>4.8777885794791587E-2</v>
      </c>
    </row>
    <row r="8" spans="1:14" ht="16.5" customHeight="1" x14ac:dyDescent="0.3">
      <c r="A8" s="47"/>
      <c r="B8" s="499" t="s">
        <v>694</v>
      </c>
      <c r="C8" s="248"/>
      <c r="D8" s="248"/>
      <c r="E8" s="308">
        <v>0.1038792212289895</v>
      </c>
      <c r="F8" s="308">
        <v>0.13338194424071828</v>
      </c>
      <c r="G8" s="308">
        <v>0.12712442577187033</v>
      </c>
      <c r="H8" s="47"/>
      <c r="I8" s="812" t="s">
        <v>1404</v>
      </c>
      <c r="J8" s="248"/>
      <c r="K8" s="248"/>
      <c r="L8" s="308">
        <f t="shared" si="1"/>
        <v>0.1038792212289895</v>
      </c>
      <c r="M8" s="308">
        <f t="shared" si="2"/>
        <v>0.13338194424071828</v>
      </c>
      <c r="N8" s="308">
        <f t="shared" si="3"/>
        <v>0.12712442577187033</v>
      </c>
    </row>
    <row r="9" spans="1:14" ht="16.5" customHeight="1" x14ac:dyDescent="0.3">
      <c r="A9" s="47"/>
      <c r="B9" s="500" t="s">
        <v>689</v>
      </c>
      <c r="C9" s="248"/>
      <c r="D9" s="248"/>
      <c r="E9" s="308">
        <v>-7.8627077601465853E-2</v>
      </c>
      <c r="F9" s="308">
        <v>-7.8422029104806307E-2</v>
      </c>
      <c r="G9" s="308">
        <v>-7.7926021256557537E-2</v>
      </c>
      <c r="H9" s="47"/>
      <c r="I9" s="544" t="s">
        <v>1405</v>
      </c>
      <c r="J9" s="248"/>
      <c r="K9" s="248"/>
      <c r="L9" s="813">
        <f t="shared" si="1"/>
        <v>-7.8627077601465853E-2</v>
      </c>
      <c r="M9" s="813">
        <f t="shared" si="2"/>
        <v>-7.8422029104806307E-2</v>
      </c>
      <c r="N9" s="813">
        <f t="shared" si="3"/>
        <v>-7.7926021256557537E-2</v>
      </c>
    </row>
    <row r="10" spans="1:14" ht="16.5" customHeight="1" x14ac:dyDescent="0.3">
      <c r="A10" s="47"/>
      <c r="B10" s="500" t="s">
        <v>517</v>
      </c>
      <c r="C10" s="248"/>
      <c r="D10" s="248"/>
      <c r="E10" s="308">
        <f>E7-E8-E9</f>
        <v>-4.6498621037599497E-4</v>
      </c>
      <c r="F10" s="308">
        <f>F7-F8-F9</f>
        <v>-4.4243748226852064E-4</v>
      </c>
      <c r="G10" s="308">
        <f>G7-G8-G9</f>
        <v>-4.2051872052120687E-4</v>
      </c>
      <c r="H10" s="47"/>
      <c r="I10" s="544" t="s">
        <v>998</v>
      </c>
      <c r="J10" s="248"/>
      <c r="K10" s="248"/>
      <c r="L10" s="813">
        <f t="shared" si="1"/>
        <v>-4.6498621037599497E-4</v>
      </c>
      <c r="M10" s="813">
        <f t="shared" si="2"/>
        <v>-4.4243748226852064E-4</v>
      </c>
      <c r="N10" s="813">
        <f t="shared" si="3"/>
        <v>-4.2051872052120687E-4</v>
      </c>
    </row>
    <row r="11" spans="1:14" ht="16.5" customHeight="1" thickBot="1" x14ac:dyDescent="0.35">
      <c r="A11" s="47"/>
      <c r="B11" s="503" t="s">
        <v>150</v>
      </c>
      <c r="C11" s="405" t="s">
        <v>148</v>
      </c>
      <c r="D11" s="405" t="s">
        <v>37</v>
      </c>
      <c r="E11" s="485">
        <f>'Tabuľka 7 '!K10</f>
        <v>-0.26173696047420592</v>
      </c>
      <c r="F11" s="485">
        <f>'Tabuľka 7 '!L10</f>
        <v>-0.2519705476552625</v>
      </c>
      <c r="G11" s="485">
        <f>'Tabuľka 7 '!M10</f>
        <v>-0.23970334642122992</v>
      </c>
      <c r="H11" s="47"/>
      <c r="I11" s="836" t="s">
        <v>1385</v>
      </c>
      <c r="J11" s="305" t="s">
        <v>148</v>
      </c>
      <c r="K11" s="305" t="s">
        <v>37</v>
      </c>
      <c r="L11" s="306">
        <f t="shared" si="1"/>
        <v>-0.26173696047420592</v>
      </c>
      <c r="M11" s="306">
        <f t="shared" si="2"/>
        <v>-0.2519705476552625</v>
      </c>
      <c r="N11" s="306">
        <f t="shared" si="3"/>
        <v>-0.23970334642122992</v>
      </c>
    </row>
    <row r="12" spans="1:14" ht="16.5" customHeight="1" x14ac:dyDescent="0.3">
      <c r="A12" s="47"/>
      <c r="B12" s="499" t="s">
        <v>695</v>
      </c>
      <c r="C12" s="161"/>
      <c r="D12" s="161"/>
      <c r="E12" s="308">
        <v>-6.5609436832417094E-4</v>
      </c>
      <c r="F12" s="308">
        <v>-6.2485101276618486E-4</v>
      </c>
      <c r="G12" s="308">
        <v>-5.9428576561398687E-4</v>
      </c>
      <c r="H12" s="47"/>
      <c r="I12" s="814" t="s">
        <v>1406</v>
      </c>
      <c r="J12" s="161"/>
      <c r="K12" s="161"/>
      <c r="L12" s="307">
        <f t="shared" si="1"/>
        <v>-6.5609436832417094E-4</v>
      </c>
      <c r="M12" s="307">
        <f t="shared" si="2"/>
        <v>-6.2485101276618486E-4</v>
      </c>
      <c r="N12" s="307">
        <f t="shared" si="3"/>
        <v>-5.9428576561398687E-4</v>
      </c>
    </row>
    <row r="13" spans="1:14" ht="16.5" customHeight="1" x14ac:dyDescent="0.3">
      <c r="A13" s="47"/>
      <c r="B13" s="499" t="s">
        <v>693</v>
      </c>
      <c r="E13" s="308">
        <v>-4.9070249436308402E-2</v>
      </c>
      <c r="F13" s="308">
        <v>-4.9082508293409662E-2</v>
      </c>
      <c r="G13" s="308">
        <v>-4.7741541012793126E-2</v>
      </c>
      <c r="H13" s="47"/>
      <c r="I13" s="812" t="s">
        <v>1407</v>
      </c>
      <c r="J13" s="161"/>
      <c r="K13" s="161"/>
      <c r="L13" s="307">
        <f t="shared" si="1"/>
        <v>-4.9070249436308402E-2</v>
      </c>
      <c r="M13" s="307">
        <f t="shared" si="2"/>
        <v>-4.9082508293409662E-2</v>
      </c>
      <c r="N13" s="307">
        <f t="shared" si="3"/>
        <v>-4.7741541012793126E-2</v>
      </c>
    </row>
    <row r="14" spans="1:14" ht="16.5" customHeight="1" x14ac:dyDescent="0.3">
      <c r="A14" s="47"/>
      <c r="B14" s="500" t="s">
        <v>691</v>
      </c>
      <c r="C14" s="161"/>
      <c r="D14" s="161"/>
      <c r="E14" s="308">
        <v>-1.0049593401862488E-2</v>
      </c>
      <c r="F14" s="308">
        <v>-1.03797277253939E-2</v>
      </c>
      <c r="G14" s="308">
        <v>-1.007307606317109E-2</v>
      </c>
      <c r="H14" s="47"/>
      <c r="I14" s="812" t="s">
        <v>1408</v>
      </c>
      <c r="J14" s="161"/>
      <c r="K14" s="161"/>
      <c r="L14" s="307">
        <f t="shared" si="1"/>
        <v>-1.0049593401862488E-2</v>
      </c>
      <c r="M14" s="307">
        <f t="shared" si="2"/>
        <v>-1.03797277253939E-2</v>
      </c>
      <c r="N14" s="307">
        <f t="shared" si="3"/>
        <v>-1.007307606317109E-2</v>
      </c>
    </row>
    <row r="15" spans="1:14" ht="16.5" customHeight="1" x14ac:dyDescent="0.3">
      <c r="A15" s="47"/>
      <c r="B15" s="499" t="s">
        <v>692</v>
      </c>
      <c r="C15" s="161"/>
      <c r="D15" s="161"/>
      <c r="E15" s="308">
        <v>0</v>
      </c>
      <c r="F15" s="308">
        <v>-1.4597646816244252E-2</v>
      </c>
      <c r="G15" s="308">
        <v>-1.3530067528722428E-2</v>
      </c>
      <c r="H15" s="47"/>
      <c r="I15" s="812" t="s">
        <v>1409</v>
      </c>
      <c r="J15" s="161"/>
      <c r="K15" s="161"/>
      <c r="L15" s="307">
        <f t="shared" si="1"/>
        <v>0</v>
      </c>
      <c r="M15" s="307">
        <f t="shared" si="2"/>
        <v>-1.4597646816244252E-2</v>
      </c>
      <c r="N15" s="307">
        <f t="shared" si="3"/>
        <v>-1.3530067528722428E-2</v>
      </c>
    </row>
    <row r="16" spans="1:14" ht="16.5" customHeight="1" x14ac:dyDescent="0.3">
      <c r="A16" s="47"/>
      <c r="B16" s="499" t="s">
        <v>690</v>
      </c>
      <c r="C16" s="161"/>
      <c r="D16" s="161"/>
      <c r="E16" s="308">
        <v>-1.7030333610160805E-2</v>
      </c>
      <c r="F16" s="308">
        <v>-1.5043960166455494E-2</v>
      </c>
      <c r="G16" s="308">
        <v>-8.5560164468730972E-3</v>
      </c>
      <c r="H16" s="47"/>
      <c r="I16" s="544" t="s">
        <v>1410</v>
      </c>
      <c r="J16" s="161"/>
      <c r="K16" s="161"/>
      <c r="L16" s="307">
        <f t="shared" si="1"/>
        <v>-1.7030333610160805E-2</v>
      </c>
      <c r="M16" s="307">
        <f t="shared" si="2"/>
        <v>-1.5043960166455494E-2</v>
      </c>
      <c r="N16" s="307">
        <f t="shared" si="3"/>
        <v>-8.5560164468730972E-3</v>
      </c>
    </row>
    <row r="17" spans="1:14" ht="16.5" customHeight="1" thickBot="1" x14ac:dyDescent="0.35">
      <c r="A17" s="47"/>
      <c r="B17" s="501" t="s">
        <v>517</v>
      </c>
      <c r="C17" s="305"/>
      <c r="D17" s="305"/>
      <c r="E17" s="309">
        <v>-0.11939446843682999</v>
      </c>
      <c r="F17" s="309">
        <v>-0.10763020889488348</v>
      </c>
      <c r="G17" s="309">
        <v>-8.4375326347962964E-2</v>
      </c>
      <c r="H17" s="47"/>
      <c r="I17" s="547" t="s">
        <v>998</v>
      </c>
      <c r="J17" s="305"/>
      <c r="K17" s="305"/>
      <c r="L17" s="306">
        <f t="shared" si="1"/>
        <v>-0.11939446843682999</v>
      </c>
      <c r="M17" s="306">
        <f t="shared" si="2"/>
        <v>-0.10763020889488348</v>
      </c>
      <c r="N17" s="306">
        <f t="shared" si="3"/>
        <v>-8.4375326347962964E-2</v>
      </c>
    </row>
    <row r="18" spans="1:14" ht="16.5" customHeight="1" thickBot="1" x14ac:dyDescent="0.35">
      <c r="A18" s="47"/>
      <c r="B18" s="504" t="s">
        <v>151</v>
      </c>
      <c r="C18" s="486" t="s">
        <v>148</v>
      </c>
      <c r="D18" s="486" t="s">
        <v>41</v>
      </c>
      <c r="E18" s="485">
        <f>'Tabuľka 7 '!K12</f>
        <v>-1.483129191024446E-2</v>
      </c>
      <c r="F18" s="485">
        <f>'Tabuľka 7 '!L12</f>
        <v>-3.5365497370706933E-2</v>
      </c>
      <c r="G18" s="485">
        <f>'Tabuľka 7 '!M12</f>
        <v>-3.0170097515291872E-2</v>
      </c>
      <c r="H18" s="47"/>
      <c r="I18" s="481" t="s">
        <v>1387</v>
      </c>
      <c r="J18" s="809" t="s">
        <v>148</v>
      </c>
      <c r="K18" s="809" t="s">
        <v>41</v>
      </c>
      <c r="L18" s="811">
        <f t="shared" si="1"/>
        <v>-1.483129191024446E-2</v>
      </c>
      <c r="M18" s="811">
        <f t="shared" si="2"/>
        <v>-3.5365497370706933E-2</v>
      </c>
      <c r="N18" s="811">
        <f t="shared" si="3"/>
        <v>-3.0170097515291872E-2</v>
      </c>
    </row>
    <row r="19" spans="1:14" ht="16.5" customHeight="1" x14ac:dyDescent="0.3">
      <c r="A19" s="47"/>
      <c r="B19" s="499" t="s">
        <v>697</v>
      </c>
      <c r="C19" s="161"/>
      <c r="D19" s="161"/>
      <c r="E19" s="307">
        <v>-3.5010406517710286E-3</v>
      </c>
      <c r="F19" s="307">
        <v>-3.334320339591486E-3</v>
      </c>
      <c r="G19" s="307">
        <v>-3.1712185390309899E-3</v>
      </c>
      <c r="H19" s="47"/>
      <c r="I19" s="812" t="s">
        <v>1386</v>
      </c>
      <c r="J19" s="161"/>
      <c r="K19" s="161"/>
      <c r="L19" s="307">
        <f t="shared" si="1"/>
        <v>-3.5010406517710286E-3</v>
      </c>
      <c r="M19" s="307">
        <f t="shared" si="2"/>
        <v>-3.334320339591486E-3</v>
      </c>
      <c r="N19" s="307">
        <f t="shared" si="3"/>
        <v>-3.1712185390309899E-3</v>
      </c>
    </row>
    <row r="20" spans="1:14" ht="16.5" customHeight="1" thickBot="1" x14ac:dyDescent="0.35">
      <c r="A20" s="47"/>
      <c r="B20" s="501" t="s">
        <v>517</v>
      </c>
      <c r="C20" s="305"/>
      <c r="D20" s="305"/>
      <c r="E20" s="306">
        <v>-1.7784009254441487E-3</v>
      </c>
      <c r="F20" s="306">
        <v>-1.781104363982236E-2</v>
      </c>
      <c r="G20" s="306">
        <v>-6.777160668010096E-3</v>
      </c>
      <c r="H20" s="47"/>
      <c r="I20" s="547" t="s">
        <v>998</v>
      </c>
      <c r="J20" s="305"/>
      <c r="K20" s="305"/>
      <c r="L20" s="306">
        <f t="shared" si="1"/>
        <v>-1.7784009254441487E-3</v>
      </c>
      <c r="M20" s="306">
        <f t="shared" si="2"/>
        <v>-1.781104363982236E-2</v>
      </c>
      <c r="N20" s="306">
        <f t="shared" si="3"/>
        <v>-6.777160668010096E-3</v>
      </c>
    </row>
    <row r="21" spans="1:14" ht="16.5" customHeight="1" thickBot="1" x14ac:dyDescent="0.35">
      <c r="A21" s="47"/>
      <c r="B21" s="249" t="s">
        <v>209</v>
      </c>
      <c r="C21" s="487" t="s">
        <v>60</v>
      </c>
      <c r="D21" s="487" t="s">
        <v>210</v>
      </c>
      <c r="E21" s="250">
        <v>8.5264302640285561E-2</v>
      </c>
      <c r="F21" s="250">
        <v>2.7120974881127871E-2</v>
      </c>
      <c r="G21" s="250">
        <v>1.043133348876181E-2</v>
      </c>
      <c r="H21" s="47"/>
      <c r="I21" s="249" t="s">
        <v>1388</v>
      </c>
      <c r="J21" s="815" t="s">
        <v>60</v>
      </c>
      <c r="K21" s="815" t="s">
        <v>210</v>
      </c>
      <c r="L21" s="816">
        <f t="shared" si="1"/>
        <v>8.5264302640285561E-2</v>
      </c>
      <c r="M21" s="816">
        <f t="shared" si="2"/>
        <v>2.7120974881127871E-2</v>
      </c>
      <c r="N21" s="816">
        <f t="shared" si="3"/>
        <v>1.043133348876181E-2</v>
      </c>
    </row>
    <row r="22" spans="1:14" ht="16.5" customHeight="1" thickBot="1" x14ac:dyDescent="0.35">
      <c r="A22" s="47"/>
      <c r="B22" s="249" t="s">
        <v>207</v>
      </c>
      <c r="C22" s="487" t="s">
        <v>60</v>
      </c>
      <c r="D22" s="487"/>
      <c r="E22" s="250">
        <v>-0.21161492718222233</v>
      </c>
      <c r="F22" s="250">
        <v>-0.1896549107654481</v>
      </c>
      <c r="G22" s="250">
        <v>-0.18568271847220841</v>
      </c>
      <c r="H22" s="47"/>
      <c r="I22" s="832" t="s">
        <v>1389</v>
      </c>
      <c r="J22" s="817" t="s">
        <v>60</v>
      </c>
      <c r="K22" s="817"/>
      <c r="L22" s="818">
        <f t="shared" si="1"/>
        <v>-0.21161492718222233</v>
      </c>
      <c r="M22" s="818">
        <f t="shared" si="2"/>
        <v>-0.1896549107654481</v>
      </c>
      <c r="N22" s="818">
        <f t="shared" si="3"/>
        <v>-0.18568271847220841</v>
      </c>
    </row>
    <row r="23" spans="1:14" ht="18.75" customHeight="1" thickBot="1" x14ac:dyDescent="0.35">
      <c r="A23" s="47"/>
      <c r="B23" s="832" t="s">
        <v>262</v>
      </c>
      <c r="C23" s="820"/>
      <c r="D23" s="820"/>
      <c r="E23" s="833">
        <f>E7+E11+E18+E21+E22</f>
        <v>-0.37813171950923952</v>
      </c>
      <c r="F23" s="833">
        <f>F7+F11+F18+F21+F22</f>
        <v>-0.39535250325664623</v>
      </c>
      <c r="G23" s="833">
        <f>G7+G11+G18+G21+G22</f>
        <v>-0.39634694312517682</v>
      </c>
      <c r="H23" s="47"/>
      <c r="I23" s="249" t="s">
        <v>1390</v>
      </c>
      <c r="J23" s="819"/>
      <c r="K23" s="819"/>
      <c r="L23" s="250">
        <f t="shared" si="1"/>
        <v>-0.37813171950923952</v>
      </c>
      <c r="M23" s="250">
        <f t="shared" si="2"/>
        <v>-0.39535250325664623</v>
      </c>
      <c r="N23" s="250">
        <f t="shared" si="3"/>
        <v>-0.39634694312517682</v>
      </c>
    </row>
    <row r="24" spans="1:14" s="122" customFormat="1" ht="18.75" customHeight="1" x14ac:dyDescent="0.3">
      <c r="A24" s="231"/>
      <c r="B24" s="174"/>
      <c r="C24" s="492"/>
      <c r="D24" s="492"/>
      <c r="E24" s="520"/>
      <c r="F24" s="520"/>
      <c r="G24" s="520"/>
      <c r="H24" s="231"/>
      <c r="I24" s="174"/>
      <c r="J24" s="161"/>
      <c r="K24" s="161"/>
      <c r="L24" s="493"/>
      <c r="M24" s="493"/>
      <c r="N24" s="493"/>
    </row>
    <row r="25" spans="1:14" s="122" customFormat="1" ht="16.5" customHeight="1" thickBot="1" x14ac:dyDescent="0.35">
      <c r="A25" s="231"/>
      <c r="B25" s="885" t="s">
        <v>895</v>
      </c>
      <c r="C25" s="885"/>
      <c r="D25" s="885"/>
      <c r="E25" s="885"/>
      <c r="F25" s="885"/>
      <c r="G25" s="885"/>
      <c r="H25" s="231"/>
      <c r="I25" s="885" t="s">
        <v>1399</v>
      </c>
      <c r="J25" s="885"/>
      <c r="K25" s="885"/>
      <c r="L25" s="885"/>
      <c r="M25" s="885"/>
      <c r="N25" s="885"/>
    </row>
    <row r="26" spans="1:14" ht="16.5" customHeight="1" thickBot="1" x14ac:dyDescent="0.35">
      <c r="A26" s="47"/>
      <c r="B26" s="246" t="s">
        <v>480</v>
      </c>
      <c r="C26" s="247" t="s">
        <v>58</v>
      </c>
      <c r="D26" s="247" t="s">
        <v>59</v>
      </c>
      <c r="E26" s="247">
        <v>2020</v>
      </c>
      <c r="F26" s="247">
        <v>2021</v>
      </c>
      <c r="G26" s="247">
        <v>2022</v>
      </c>
      <c r="H26" s="47"/>
      <c r="I26" s="246" t="s">
        <v>1391</v>
      </c>
      <c r="J26" s="247" t="s">
        <v>1392</v>
      </c>
      <c r="K26" s="247" t="s">
        <v>59</v>
      </c>
      <c r="L26" s="247">
        <f>E26</f>
        <v>2020</v>
      </c>
      <c r="M26" s="247">
        <f t="shared" ref="M26:N26" si="4">F26</f>
        <v>2021</v>
      </c>
      <c r="N26" s="247">
        <f t="shared" si="4"/>
        <v>2022</v>
      </c>
    </row>
    <row r="27" spans="1:14" ht="16.5" customHeight="1" thickBot="1" x14ac:dyDescent="0.35">
      <c r="A27" s="47"/>
      <c r="B27" s="246" t="s">
        <v>704</v>
      </c>
      <c r="C27" s="247" t="s">
        <v>60</v>
      </c>
      <c r="D27" s="247" t="s">
        <v>205</v>
      </c>
      <c r="E27" s="247">
        <v>-0.09</v>
      </c>
      <c r="F27" s="483">
        <v>0.01</v>
      </c>
      <c r="G27" s="247">
        <v>0.13</v>
      </c>
      <c r="H27" s="47"/>
      <c r="I27" s="829" t="s">
        <v>1393</v>
      </c>
      <c r="J27" s="821" t="s">
        <v>60</v>
      </c>
      <c r="K27" s="821" t="s">
        <v>205</v>
      </c>
      <c r="L27" s="822">
        <f t="shared" ref="L27:L42" si="5">E27</f>
        <v>-0.09</v>
      </c>
      <c r="M27" s="822">
        <f t="shared" ref="M27:M42" si="6">F27</f>
        <v>0.01</v>
      </c>
      <c r="N27" s="822">
        <f t="shared" ref="N27:N42" si="7">G27</f>
        <v>0.13</v>
      </c>
    </row>
    <row r="28" spans="1:14" ht="16.5" customHeight="1" thickBot="1" x14ac:dyDescent="0.35">
      <c r="A28" s="47"/>
      <c r="B28" s="246" t="s">
        <v>47</v>
      </c>
      <c r="C28" s="247" t="s">
        <v>60</v>
      </c>
      <c r="D28" s="247" t="s">
        <v>48</v>
      </c>
      <c r="E28" s="247">
        <v>0.03</v>
      </c>
      <c r="F28" s="483">
        <v>0.04</v>
      </c>
      <c r="G28" s="247">
        <v>-0.02</v>
      </c>
      <c r="H28" s="47"/>
      <c r="I28" s="835" t="s">
        <v>1394</v>
      </c>
      <c r="J28" s="304" t="s">
        <v>60</v>
      </c>
      <c r="K28" s="304" t="s">
        <v>48</v>
      </c>
      <c r="L28" s="309">
        <f t="shared" si="5"/>
        <v>0.03</v>
      </c>
      <c r="M28" s="309">
        <f t="shared" si="6"/>
        <v>0.04</v>
      </c>
      <c r="N28" s="309">
        <f t="shared" si="7"/>
        <v>-0.02</v>
      </c>
    </row>
    <row r="29" spans="1:14" ht="16.5" customHeight="1" thickBot="1" x14ac:dyDescent="0.35">
      <c r="A29" s="47"/>
      <c r="B29" s="246" t="s">
        <v>49</v>
      </c>
      <c r="C29" s="247" t="s">
        <v>60</v>
      </c>
      <c r="D29" s="247" t="s">
        <v>206</v>
      </c>
      <c r="E29" s="247">
        <v>-0.01</v>
      </c>
      <c r="F29" s="483">
        <v>-0.01</v>
      </c>
      <c r="G29" s="247">
        <v>0</v>
      </c>
      <c r="H29" s="47"/>
      <c r="I29" s="387" t="s">
        <v>1235</v>
      </c>
      <c r="J29" s="304" t="s">
        <v>60</v>
      </c>
      <c r="K29" s="304" t="s">
        <v>206</v>
      </c>
      <c r="L29" s="309">
        <f t="shared" si="5"/>
        <v>-0.01</v>
      </c>
      <c r="M29" s="309">
        <f t="shared" si="6"/>
        <v>-0.01</v>
      </c>
      <c r="N29" s="309">
        <f t="shared" si="7"/>
        <v>0</v>
      </c>
    </row>
    <row r="30" spans="1:14" ht="16.5" customHeight="1" x14ac:dyDescent="0.3">
      <c r="A30" s="47"/>
      <c r="B30" s="22" t="s">
        <v>705</v>
      </c>
      <c r="C30" s="543" t="s">
        <v>60</v>
      </c>
      <c r="D30" s="543" t="s">
        <v>610</v>
      </c>
      <c r="E30" s="543">
        <v>-0.41</v>
      </c>
      <c r="F30" s="543">
        <v>-0.41</v>
      </c>
      <c r="G30" s="543">
        <v>-0.41</v>
      </c>
      <c r="H30" s="47"/>
      <c r="I30" s="402" t="s">
        <v>1400</v>
      </c>
      <c r="J30" s="34" t="s">
        <v>60</v>
      </c>
      <c r="K30" s="34" t="str">
        <f>D30</f>
        <v>D.6P</v>
      </c>
      <c r="L30" s="308">
        <f t="shared" si="5"/>
        <v>-0.41</v>
      </c>
      <c r="M30" s="308">
        <f t="shared" si="6"/>
        <v>-0.41</v>
      </c>
      <c r="N30" s="308">
        <f t="shared" si="7"/>
        <v>-0.41</v>
      </c>
    </row>
    <row r="31" spans="1:14" ht="16.5" customHeight="1" x14ac:dyDescent="0.3">
      <c r="A31" s="47"/>
      <c r="B31" s="544" t="s">
        <v>706</v>
      </c>
      <c r="C31" s="500"/>
      <c r="D31" s="23"/>
      <c r="E31" s="23">
        <v>-0.17</v>
      </c>
      <c r="F31" s="23">
        <v>-0.16</v>
      </c>
      <c r="G31" s="23">
        <v>-0.16</v>
      </c>
      <c r="H31" s="47"/>
      <c r="I31" s="33" t="s">
        <v>1411</v>
      </c>
      <c r="J31" s="34"/>
      <c r="K31" s="34"/>
      <c r="L31" s="308">
        <f t="shared" si="5"/>
        <v>-0.17</v>
      </c>
      <c r="M31" s="308">
        <f t="shared" si="6"/>
        <v>-0.16</v>
      </c>
      <c r="N31" s="308">
        <f t="shared" si="7"/>
        <v>-0.16</v>
      </c>
    </row>
    <row r="32" spans="1:14" ht="16.5" customHeight="1" x14ac:dyDescent="0.3">
      <c r="A32" s="47"/>
      <c r="B32" s="544" t="s">
        <v>712</v>
      </c>
      <c r="C32" s="23"/>
      <c r="D32" s="23"/>
      <c r="E32" s="23">
        <v>-0.09</v>
      </c>
      <c r="F32" s="23">
        <v>-0.09</v>
      </c>
      <c r="G32" s="23">
        <v>-0.08</v>
      </c>
      <c r="H32" s="47"/>
      <c r="I32" s="33" t="s">
        <v>1412</v>
      </c>
      <c r="J32" s="34"/>
      <c r="K32" s="34"/>
      <c r="L32" s="308">
        <f t="shared" si="5"/>
        <v>-0.09</v>
      </c>
      <c r="M32" s="308">
        <f t="shared" si="6"/>
        <v>-0.09</v>
      </c>
      <c r="N32" s="308">
        <f t="shared" si="7"/>
        <v>-0.08</v>
      </c>
    </row>
    <row r="33" spans="1:14" ht="16.5" customHeight="1" x14ac:dyDescent="0.3">
      <c r="A33" s="47"/>
      <c r="B33" s="544" t="s">
        <v>707</v>
      </c>
      <c r="C33" s="500"/>
      <c r="D33" s="23"/>
      <c r="E33" s="23">
        <v>-0.04</v>
      </c>
      <c r="F33" s="23">
        <v>-0.04</v>
      </c>
      <c r="G33" s="23">
        <v>-0.04</v>
      </c>
      <c r="H33" s="47"/>
      <c r="I33" s="33" t="s">
        <v>1413</v>
      </c>
      <c r="J33" s="34"/>
      <c r="K33" s="34"/>
      <c r="L33" s="308">
        <f t="shared" si="5"/>
        <v>-0.04</v>
      </c>
      <c r="M33" s="308">
        <f t="shared" si="6"/>
        <v>-0.04</v>
      </c>
      <c r="N33" s="308">
        <f t="shared" si="7"/>
        <v>-0.04</v>
      </c>
    </row>
    <row r="34" spans="1:14" ht="16.5" customHeight="1" x14ac:dyDescent="0.3">
      <c r="A34" s="47"/>
      <c r="B34" s="532" t="s">
        <v>710</v>
      </c>
      <c r="C34" s="545"/>
      <c r="D34" s="533"/>
      <c r="E34" s="23">
        <v>-0.03</v>
      </c>
      <c r="F34" s="23">
        <v>-0.04</v>
      </c>
      <c r="G34" s="23">
        <v>-0.05</v>
      </c>
      <c r="H34" s="47"/>
      <c r="I34" s="837" t="s">
        <v>1416</v>
      </c>
      <c r="J34" s="34"/>
      <c r="K34" s="34"/>
      <c r="L34" s="308">
        <f t="shared" si="5"/>
        <v>-0.03</v>
      </c>
      <c r="M34" s="308">
        <f t="shared" si="6"/>
        <v>-0.04</v>
      </c>
      <c r="N34" s="308">
        <f t="shared" si="7"/>
        <v>-0.05</v>
      </c>
    </row>
    <row r="35" spans="1:14" ht="16.5" customHeight="1" x14ac:dyDescent="0.3">
      <c r="A35" s="47"/>
      <c r="B35" s="33" t="s">
        <v>711</v>
      </c>
      <c r="C35" s="499"/>
      <c r="D35" s="34"/>
      <c r="E35" s="34">
        <v>-0.01</v>
      </c>
      <c r="F35" s="34">
        <v>-0.01</v>
      </c>
      <c r="G35" s="34">
        <v>-0.01</v>
      </c>
      <c r="H35" s="47"/>
      <c r="I35" s="33" t="s">
        <v>1414</v>
      </c>
      <c r="J35" s="34"/>
      <c r="K35" s="34"/>
      <c r="L35" s="308">
        <f t="shared" si="5"/>
        <v>-0.01</v>
      </c>
      <c r="M35" s="308">
        <f t="shared" si="6"/>
        <v>-0.01</v>
      </c>
      <c r="N35" s="308">
        <f t="shared" si="7"/>
        <v>-0.01</v>
      </c>
    </row>
    <row r="36" spans="1:14" ht="16.5" customHeight="1" thickBot="1" x14ac:dyDescent="0.35">
      <c r="A36" s="47"/>
      <c r="B36" s="547" t="s">
        <v>728</v>
      </c>
      <c r="C36" s="304" t="s">
        <v>60</v>
      </c>
      <c r="D36" s="304" t="s">
        <v>727</v>
      </c>
      <c r="E36" s="309">
        <v>-6.4273011148090808E-2</v>
      </c>
      <c r="F36" s="309">
        <v>-6.737580412866806E-2</v>
      </c>
      <c r="G36" s="309">
        <v>-6.910500723838435E-2</v>
      </c>
      <c r="H36" s="47"/>
      <c r="I36" s="253" t="s">
        <v>1415</v>
      </c>
      <c r="J36" s="304"/>
      <c r="K36" s="304"/>
      <c r="L36" s="309">
        <f t="shared" si="5"/>
        <v>-6.4273011148090808E-2</v>
      </c>
      <c r="M36" s="309">
        <f t="shared" si="6"/>
        <v>-6.737580412866806E-2</v>
      </c>
      <c r="N36" s="309">
        <f t="shared" si="7"/>
        <v>-6.910500723838435E-2</v>
      </c>
    </row>
    <row r="37" spans="1:14" ht="16.5" customHeight="1" thickBot="1" x14ac:dyDescent="0.35">
      <c r="A37" s="47"/>
      <c r="B37" s="387" t="s">
        <v>254</v>
      </c>
      <c r="C37" s="373" t="s">
        <v>60</v>
      </c>
      <c r="D37" s="373" t="s">
        <v>220</v>
      </c>
      <c r="E37" s="373">
        <v>-0.17</v>
      </c>
      <c r="F37" s="373">
        <v>-0.13</v>
      </c>
      <c r="G37" s="373">
        <v>-0.14000000000000001</v>
      </c>
      <c r="H37" s="47"/>
      <c r="I37" s="387" t="s">
        <v>1395</v>
      </c>
      <c r="J37" s="304" t="s">
        <v>60</v>
      </c>
      <c r="K37" s="823" t="s">
        <v>220</v>
      </c>
      <c r="L37" s="309">
        <f t="shared" si="5"/>
        <v>-0.17</v>
      </c>
      <c r="M37" s="309">
        <f t="shared" si="6"/>
        <v>-0.13</v>
      </c>
      <c r="N37" s="309">
        <f t="shared" si="7"/>
        <v>-0.14000000000000001</v>
      </c>
    </row>
    <row r="38" spans="1:14" ht="16.5" customHeight="1" thickBot="1" x14ac:dyDescent="0.35">
      <c r="A38" s="47"/>
      <c r="B38" s="387" t="s">
        <v>478</v>
      </c>
      <c r="C38" s="373" t="s">
        <v>60</v>
      </c>
      <c r="D38" s="373"/>
      <c r="E38" s="373">
        <v>0.45</v>
      </c>
      <c r="F38" s="373">
        <v>0.36</v>
      </c>
      <c r="G38" s="373">
        <v>0.37</v>
      </c>
      <c r="H38" s="47"/>
      <c r="I38" s="829" t="s">
        <v>1396</v>
      </c>
      <c r="J38" s="821" t="s">
        <v>60</v>
      </c>
      <c r="K38" s="824"/>
      <c r="L38" s="822">
        <f t="shared" si="5"/>
        <v>0.45</v>
      </c>
      <c r="M38" s="822">
        <f t="shared" si="6"/>
        <v>0.36</v>
      </c>
      <c r="N38" s="822">
        <f t="shared" si="7"/>
        <v>0.37</v>
      </c>
    </row>
    <row r="39" spans="1:14" ht="16.5" customHeight="1" x14ac:dyDescent="0.3">
      <c r="A39" s="47"/>
      <c r="B39" s="544" t="s">
        <v>708</v>
      </c>
      <c r="C39" s="500"/>
      <c r="D39" s="23"/>
      <c r="E39" s="23">
        <v>0.08</v>
      </c>
      <c r="F39" s="23">
        <v>0</v>
      </c>
      <c r="G39" s="23">
        <v>0.05</v>
      </c>
      <c r="H39" s="47"/>
      <c r="I39" s="825" t="s">
        <v>1401</v>
      </c>
      <c r="J39" s="826"/>
      <c r="K39" s="827"/>
      <c r="L39" s="828">
        <f t="shared" si="5"/>
        <v>0.08</v>
      </c>
      <c r="M39" s="828">
        <f t="shared" si="6"/>
        <v>0</v>
      </c>
      <c r="N39" s="828">
        <f t="shared" si="7"/>
        <v>0.05</v>
      </c>
    </row>
    <row r="40" spans="1:14" ht="16.5" customHeight="1" x14ac:dyDescent="0.3">
      <c r="A40" s="47"/>
      <c r="B40" s="544" t="s">
        <v>713</v>
      </c>
      <c r="C40" s="500"/>
      <c r="D40" s="23"/>
      <c r="E40" s="23">
        <v>0.1</v>
      </c>
      <c r="F40" s="23">
        <v>0.1</v>
      </c>
      <c r="G40" s="23">
        <v>0.09</v>
      </c>
      <c r="H40" s="47"/>
      <c r="I40" s="33" t="s">
        <v>1402</v>
      </c>
      <c r="J40" s="34"/>
      <c r="K40" s="834"/>
      <c r="L40" s="308">
        <f t="shared" si="5"/>
        <v>0.1</v>
      </c>
      <c r="M40" s="308">
        <f t="shared" si="6"/>
        <v>0.1</v>
      </c>
      <c r="N40" s="308">
        <f t="shared" si="7"/>
        <v>0.09</v>
      </c>
    </row>
    <row r="41" spans="1:14" ht="16.5" customHeight="1" thickBot="1" x14ac:dyDescent="0.35">
      <c r="A41" s="47"/>
      <c r="B41" s="547" t="s">
        <v>709</v>
      </c>
      <c r="C41" s="501"/>
      <c r="D41" s="304"/>
      <c r="E41" s="304">
        <v>0.08</v>
      </c>
      <c r="F41" s="304">
        <v>7.0000000000000007E-2</v>
      </c>
      <c r="G41" s="304">
        <v>0.03</v>
      </c>
      <c r="H41" s="47"/>
      <c r="I41" s="837" t="s">
        <v>1403</v>
      </c>
      <c r="L41" s="6">
        <f t="shared" si="5"/>
        <v>0.08</v>
      </c>
      <c r="M41" s="6">
        <f t="shared" si="6"/>
        <v>7.0000000000000007E-2</v>
      </c>
      <c r="N41" s="6">
        <f t="shared" si="7"/>
        <v>0.03</v>
      </c>
    </row>
    <row r="42" spans="1:14" ht="14.4" thickBot="1" x14ac:dyDescent="0.35">
      <c r="B42" s="387" t="s">
        <v>208</v>
      </c>
      <c r="C42" s="373"/>
      <c r="D42" s="373"/>
      <c r="E42" s="582">
        <v>-0.2062827437027045</v>
      </c>
      <c r="F42" s="582">
        <v>-0.14311151669306718</v>
      </c>
      <c r="G42" s="582">
        <v>-7.0092323193558806E-2</v>
      </c>
      <c r="I42" s="829" t="s">
        <v>1397</v>
      </c>
      <c r="J42" s="830"/>
      <c r="K42" s="822"/>
      <c r="L42" s="831">
        <f t="shared" si="5"/>
        <v>-0.2062827437027045</v>
      </c>
      <c r="M42" s="831">
        <f t="shared" si="6"/>
        <v>-0.14311151669306718</v>
      </c>
      <c r="N42" s="831">
        <f t="shared" si="7"/>
        <v>-7.0092323193558806E-2</v>
      </c>
    </row>
    <row r="43" spans="1:14" x14ac:dyDescent="0.3">
      <c r="B43" s="548" t="s">
        <v>714</v>
      </c>
    </row>
  </sheetData>
  <mergeCells count="4">
    <mergeCell ref="B4:G4"/>
    <mergeCell ref="B25:G25"/>
    <mergeCell ref="I4:N4"/>
    <mergeCell ref="I25:N2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2"/>
  <sheetViews>
    <sheetView workbookViewId="0">
      <selection activeCell="C5" sqref="C5"/>
    </sheetView>
  </sheetViews>
  <sheetFormatPr defaultRowHeight="14.4" x14ac:dyDescent="0.3"/>
  <cols>
    <col min="3" max="3" width="28.44140625" customWidth="1"/>
    <col min="4" max="4" width="27.6640625" customWidth="1"/>
  </cols>
  <sheetData>
    <row r="3" spans="3:9" x14ac:dyDescent="0.3">
      <c r="C3" s="886" t="s">
        <v>896</v>
      </c>
      <c r="D3" s="886"/>
      <c r="E3" s="886"/>
      <c r="F3" s="886"/>
      <c r="G3" s="886"/>
      <c r="H3" s="886"/>
    </row>
    <row r="4" spans="3:9" ht="17.399999999999999" customHeight="1" thickBot="1" x14ac:dyDescent="0.35">
      <c r="C4" s="888" t="s">
        <v>1455</v>
      </c>
      <c r="D4" s="888"/>
      <c r="E4" s="888"/>
      <c r="F4" s="888"/>
      <c r="G4" s="888"/>
      <c r="H4" s="888"/>
      <c r="I4" s="888"/>
    </row>
    <row r="5" spans="3:9" ht="15" thickBot="1" x14ac:dyDescent="0.35">
      <c r="C5" s="640" t="s">
        <v>897</v>
      </c>
      <c r="D5" s="640" t="s">
        <v>1255</v>
      </c>
      <c r="E5" s="546" t="s">
        <v>898</v>
      </c>
      <c r="F5" s="572">
        <v>2020</v>
      </c>
      <c r="G5" s="572">
        <v>2021</v>
      </c>
      <c r="H5" s="572">
        <v>2022</v>
      </c>
      <c r="I5" s="572" t="s">
        <v>899</v>
      </c>
    </row>
    <row r="6" spans="3:9" x14ac:dyDescent="0.3">
      <c r="C6" s="641" t="s">
        <v>45</v>
      </c>
      <c r="D6" s="641" t="s">
        <v>1250</v>
      </c>
      <c r="E6" s="541" t="s">
        <v>205</v>
      </c>
      <c r="F6" s="628">
        <v>-1</v>
      </c>
      <c r="G6" s="628">
        <v>-3</v>
      </c>
      <c r="H6" s="628">
        <v>-4</v>
      </c>
      <c r="I6" s="628">
        <v>-4</v>
      </c>
    </row>
    <row r="7" spans="3:9" x14ac:dyDescent="0.3">
      <c r="C7" s="641" t="s">
        <v>47</v>
      </c>
      <c r="D7" s="641" t="s">
        <v>1234</v>
      </c>
      <c r="E7" s="541" t="s">
        <v>48</v>
      </c>
      <c r="F7" s="628">
        <v>-3</v>
      </c>
      <c r="G7" s="628">
        <v>-8</v>
      </c>
      <c r="H7" s="628">
        <v>-11</v>
      </c>
      <c r="I7" s="628">
        <v>-11</v>
      </c>
    </row>
    <row r="8" spans="3:9" x14ac:dyDescent="0.3">
      <c r="C8" s="641" t="s">
        <v>900</v>
      </c>
      <c r="D8" s="641" t="s">
        <v>1254</v>
      </c>
      <c r="E8" s="541" t="s">
        <v>901</v>
      </c>
      <c r="F8" s="628">
        <v>-144</v>
      </c>
      <c r="G8" s="628">
        <v>-241</v>
      </c>
      <c r="H8" s="628">
        <v>-318</v>
      </c>
      <c r="I8" s="628">
        <v>-527</v>
      </c>
    </row>
    <row r="9" spans="3:9" x14ac:dyDescent="0.3">
      <c r="C9" s="642" t="s">
        <v>902</v>
      </c>
      <c r="D9" s="642" t="s">
        <v>1251</v>
      </c>
      <c r="E9" s="643"/>
      <c r="F9" s="644"/>
      <c r="G9" s="644"/>
      <c r="H9" s="644"/>
      <c r="I9" s="644"/>
    </row>
    <row r="10" spans="3:9" x14ac:dyDescent="0.3">
      <c r="C10" s="645" t="s">
        <v>903</v>
      </c>
      <c r="D10" s="645" t="s">
        <v>1252</v>
      </c>
      <c r="E10" s="643"/>
      <c r="F10" s="646">
        <v>-114</v>
      </c>
      <c r="G10" s="646">
        <v>-158</v>
      </c>
      <c r="H10" s="646">
        <v>-179</v>
      </c>
      <c r="I10" s="646">
        <v>-216</v>
      </c>
    </row>
    <row r="11" spans="3:9" x14ac:dyDescent="0.3">
      <c r="C11" s="645" t="s">
        <v>904</v>
      </c>
      <c r="D11" s="645" t="s">
        <v>904</v>
      </c>
      <c r="E11" s="643"/>
      <c r="F11" s="646">
        <v>-10</v>
      </c>
      <c r="G11" s="646">
        <v>-26</v>
      </c>
      <c r="H11" s="646">
        <v>-43</v>
      </c>
      <c r="I11" s="646">
        <v>-43</v>
      </c>
    </row>
    <row r="12" spans="3:9" x14ac:dyDescent="0.3">
      <c r="C12" s="645" t="s">
        <v>905</v>
      </c>
      <c r="D12" s="645" t="s">
        <v>1253</v>
      </c>
      <c r="E12" s="643"/>
      <c r="F12" s="646">
        <v>-10</v>
      </c>
      <c r="G12" s="646">
        <v>-15</v>
      </c>
      <c r="H12" s="646">
        <v>-20</v>
      </c>
      <c r="I12" s="646">
        <v>-20</v>
      </c>
    </row>
    <row r="13" spans="3:9" ht="15" thickBot="1" x14ac:dyDescent="0.35">
      <c r="C13" s="645" t="s">
        <v>517</v>
      </c>
      <c r="D13" s="645" t="s">
        <v>998</v>
      </c>
      <c r="E13" s="643"/>
      <c r="F13" s="646">
        <v>-11</v>
      </c>
      <c r="G13" s="646">
        <v>-41</v>
      </c>
      <c r="H13" s="646">
        <v>-76</v>
      </c>
      <c r="I13" s="646">
        <v>-247</v>
      </c>
    </row>
    <row r="14" spans="3:9" ht="15" thickBot="1" x14ac:dyDescent="0.35">
      <c r="C14" s="647" t="s">
        <v>906</v>
      </c>
      <c r="D14" s="647" t="s">
        <v>1256</v>
      </c>
      <c r="E14" s="648"/>
      <c r="F14" s="649">
        <v>-148</v>
      </c>
      <c r="G14" s="649">
        <v>-251</v>
      </c>
      <c r="H14" s="649">
        <v>-333</v>
      </c>
      <c r="I14" s="649">
        <v>-542</v>
      </c>
    </row>
    <row r="17" spans="3:5" x14ac:dyDescent="0.3">
      <c r="C17" s="638" t="s">
        <v>907</v>
      </c>
    </row>
    <row r="18" spans="3:5" ht="15" thickBot="1" x14ac:dyDescent="0.35">
      <c r="C18" s="887" t="s">
        <v>1249</v>
      </c>
      <c r="D18" s="887"/>
    </row>
    <row r="19" spans="3:5" ht="15" thickBot="1" x14ac:dyDescent="0.35">
      <c r="C19" s="650" t="s">
        <v>908</v>
      </c>
      <c r="D19" s="650" t="s">
        <v>1245</v>
      </c>
      <c r="E19" s="651">
        <v>5399</v>
      </c>
    </row>
    <row r="20" spans="3:5" x14ac:dyDescent="0.3">
      <c r="C20" s="652" t="s">
        <v>909</v>
      </c>
      <c r="D20" s="652" t="s">
        <v>1246</v>
      </c>
      <c r="E20" s="653">
        <v>167</v>
      </c>
    </row>
    <row r="21" spans="3:5" ht="15" thickBot="1" x14ac:dyDescent="0.35">
      <c r="C21" s="573" t="s">
        <v>910</v>
      </c>
      <c r="D21" s="573" t="s">
        <v>1247</v>
      </c>
      <c r="E21" s="654">
        <v>-148</v>
      </c>
    </row>
    <row r="22" spans="3:5" ht="15" thickBot="1" x14ac:dyDescent="0.35">
      <c r="C22" s="570" t="s">
        <v>911</v>
      </c>
      <c r="D22" s="570" t="s">
        <v>1248</v>
      </c>
      <c r="E22" s="655">
        <v>5418</v>
      </c>
    </row>
  </sheetData>
  <mergeCells count="3">
    <mergeCell ref="C3:H3"/>
    <mergeCell ref="C18:D18"/>
    <mergeCell ref="C4:I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B2:Z40"/>
  <sheetViews>
    <sheetView showGridLines="0" zoomScale="110" zoomScaleNormal="110" workbookViewId="0">
      <selection activeCell="B17" sqref="B17"/>
    </sheetView>
  </sheetViews>
  <sheetFormatPr defaultColWidth="9.109375" defaultRowHeight="13.8" x14ac:dyDescent="0.3"/>
  <cols>
    <col min="1" max="1" width="9.33203125" style="179" customWidth="1"/>
    <col min="2" max="8" width="9.109375" style="179"/>
    <col min="9" max="10" width="24.44140625" style="179" customWidth="1"/>
    <col min="11" max="26" width="7" style="179" customWidth="1"/>
    <col min="27" max="16384" width="9.109375" style="179"/>
  </cols>
  <sheetData>
    <row r="2" spans="2:26" x14ac:dyDescent="0.3">
      <c r="B2" s="6"/>
      <c r="I2" s="776" t="s">
        <v>176</v>
      </c>
      <c r="J2" s="776" t="s">
        <v>1010</v>
      </c>
    </row>
    <row r="3" spans="2:26" x14ac:dyDescent="0.3">
      <c r="B3" s="6"/>
      <c r="C3" s="180"/>
    </row>
    <row r="4" spans="2:26" ht="14.4" thickBot="1" x14ac:dyDescent="0.35">
      <c r="B4" s="49" t="s">
        <v>912</v>
      </c>
      <c r="I4" s="182" t="s">
        <v>1257</v>
      </c>
      <c r="J4" s="182" t="s">
        <v>1267</v>
      </c>
      <c r="K4" s="182"/>
      <c r="L4" s="182"/>
      <c r="M4" s="182"/>
      <c r="N4" s="182"/>
      <c r="O4" s="182"/>
      <c r="P4" s="182"/>
      <c r="Q4" s="182"/>
      <c r="R4" s="182"/>
      <c r="S4" s="182"/>
    </row>
    <row r="5" spans="2:26" x14ac:dyDescent="0.3"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4"/>
      <c r="V5" s="184"/>
      <c r="W5" s="184"/>
      <c r="X5" s="185"/>
    </row>
    <row r="6" spans="2:26" x14ac:dyDescent="0.3">
      <c r="I6" s="186"/>
      <c r="J6" s="186"/>
      <c r="K6" s="320">
        <v>2007</v>
      </c>
      <c r="L6" s="320">
        <v>2008</v>
      </c>
      <c r="M6" s="320">
        <v>2009</v>
      </c>
      <c r="N6" s="320">
        <v>2010</v>
      </c>
      <c r="O6" s="320">
        <v>2011</v>
      </c>
      <c r="P6" s="320">
        <v>2012</v>
      </c>
      <c r="Q6" s="320">
        <v>2013</v>
      </c>
      <c r="R6" s="320">
        <v>2014</v>
      </c>
      <c r="S6" s="320">
        <v>2015</v>
      </c>
      <c r="T6" s="320">
        <v>2016</v>
      </c>
      <c r="U6" s="320">
        <v>2017</v>
      </c>
      <c r="V6" s="320">
        <v>2018</v>
      </c>
      <c r="W6" s="320" t="s">
        <v>102</v>
      </c>
      <c r="X6" s="320" t="s">
        <v>203</v>
      </c>
      <c r="Y6" s="320" t="s">
        <v>474</v>
      </c>
      <c r="Z6" s="320" t="s">
        <v>682</v>
      </c>
    </row>
    <row r="7" spans="2:26" x14ac:dyDescent="0.3">
      <c r="I7" s="505" t="s">
        <v>699</v>
      </c>
      <c r="J7" s="777" t="s">
        <v>1262</v>
      </c>
      <c r="K7" s="656">
        <v>21684.152999999995</v>
      </c>
      <c r="L7" s="656">
        <v>23643.786999999997</v>
      </c>
      <c r="M7" s="656">
        <v>23239.9</v>
      </c>
      <c r="N7" s="656">
        <v>23659.917999999998</v>
      </c>
      <c r="O7" s="656">
        <v>26339.777999999998</v>
      </c>
      <c r="P7" s="656">
        <v>26893.902000000002</v>
      </c>
      <c r="Q7" s="656">
        <v>29307.414000000001</v>
      </c>
      <c r="R7" s="656">
        <v>30571.503999999997</v>
      </c>
      <c r="S7" s="656">
        <v>34299.132999999994</v>
      </c>
      <c r="T7" s="656">
        <v>32526.420999999998</v>
      </c>
      <c r="U7" s="656">
        <v>34220.925000000003</v>
      </c>
      <c r="V7" s="656">
        <v>36569.629000000001</v>
      </c>
      <c r="W7" s="656">
        <v>37740.36346</v>
      </c>
      <c r="X7" s="656">
        <v>38865.925999999999</v>
      </c>
      <c r="Y7" s="656">
        <v>40428.077000000005</v>
      </c>
      <c r="Z7" s="656">
        <v>42402.518999999993</v>
      </c>
    </row>
    <row r="8" spans="2:26" x14ac:dyDescent="0.3">
      <c r="I8" s="505" t="s">
        <v>247</v>
      </c>
      <c r="J8" s="505" t="s">
        <v>247</v>
      </c>
      <c r="K8" s="656">
        <f t="shared" ref="K8:U8" si="0">+K7</f>
        <v>21684.152999999995</v>
      </c>
      <c r="L8" s="656">
        <f t="shared" si="0"/>
        <v>23643.786999999997</v>
      </c>
      <c r="M8" s="656">
        <f t="shared" si="0"/>
        <v>23239.9</v>
      </c>
      <c r="N8" s="656">
        <f t="shared" si="0"/>
        <v>23659.917999999998</v>
      </c>
      <c r="O8" s="656">
        <f t="shared" si="0"/>
        <v>26339.777999999998</v>
      </c>
      <c r="P8" s="656">
        <f t="shared" si="0"/>
        <v>26893.902000000002</v>
      </c>
      <c r="Q8" s="656">
        <f t="shared" si="0"/>
        <v>29307.414000000001</v>
      </c>
      <c r="R8" s="656">
        <f t="shared" si="0"/>
        <v>30571.503999999997</v>
      </c>
      <c r="S8" s="656">
        <f t="shared" si="0"/>
        <v>34299.132999999994</v>
      </c>
      <c r="T8" s="656">
        <f t="shared" si="0"/>
        <v>32526.420999999998</v>
      </c>
      <c r="U8" s="656">
        <f t="shared" si="0"/>
        <v>34220.925000000003</v>
      </c>
      <c r="V8" s="656">
        <f>+V7</f>
        <v>36569.629000000001</v>
      </c>
      <c r="W8" s="656">
        <v>37733.648460000004</v>
      </c>
      <c r="X8" s="656">
        <v>38865.925999999999</v>
      </c>
      <c r="Y8" s="656">
        <v>40813.139000000003</v>
      </c>
      <c r="Z8" s="656">
        <v>43025.534999999996</v>
      </c>
    </row>
    <row r="9" spans="2:26" x14ac:dyDescent="0.3">
      <c r="I9" s="187" t="s">
        <v>248</v>
      </c>
      <c r="J9" s="187" t="s">
        <v>248</v>
      </c>
      <c r="K9" s="664">
        <v>63053.9</v>
      </c>
      <c r="L9" s="664">
        <v>68491.600000000006</v>
      </c>
      <c r="M9" s="664">
        <v>64023.1</v>
      </c>
      <c r="N9" s="656">
        <v>68092.964000000007</v>
      </c>
      <c r="O9" s="656">
        <v>71214.386999999988</v>
      </c>
      <c r="P9" s="656">
        <v>73483.822000000015</v>
      </c>
      <c r="Q9" s="656">
        <v>74354.845000000001</v>
      </c>
      <c r="R9" s="656">
        <v>76255.855999999985</v>
      </c>
      <c r="S9" s="656">
        <v>79758.198000000004</v>
      </c>
      <c r="T9" s="656">
        <v>81038.379000000001</v>
      </c>
      <c r="U9" s="656">
        <v>84517.00499999999</v>
      </c>
      <c r="V9" s="656">
        <v>89720.96100000001</v>
      </c>
      <c r="W9" s="656">
        <v>94087.398495250498</v>
      </c>
      <c r="X9" s="656">
        <v>98042.706515379556</v>
      </c>
      <c r="Y9" s="657">
        <v>102944.96813766088</v>
      </c>
      <c r="Z9" s="657">
        <v>108239.62363214658</v>
      </c>
    </row>
    <row r="10" spans="2:26" x14ac:dyDescent="0.3">
      <c r="I10" s="506" t="s">
        <v>698</v>
      </c>
      <c r="J10" s="506" t="s">
        <v>698</v>
      </c>
      <c r="K10" s="658">
        <v>34.390418356358602</v>
      </c>
      <c r="L10" s="658">
        <v>34.51007130801441</v>
      </c>
      <c r="M10" s="658">
        <v>36.280186370231995</v>
      </c>
      <c r="N10" s="658">
        <f>+N7/N9*100</f>
        <v>34.746494513001366</v>
      </c>
      <c r="O10" s="658">
        <f t="shared" ref="O10:Z10" si="1">+O7/O9*100</f>
        <v>36.986596542634011</v>
      </c>
      <c r="P10" s="658">
        <f t="shared" si="1"/>
        <v>36.598398488309435</v>
      </c>
      <c r="Q10" s="658">
        <f t="shared" si="1"/>
        <v>39.415607685013669</v>
      </c>
      <c r="R10" s="658">
        <f t="shared" si="1"/>
        <v>40.090696772192821</v>
      </c>
      <c r="S10" s="658">
        <f t="shared" si="1"/>
        <v>43.003896602578699</v>
      </c>
      <c r="T10" s="658">
        <f t="shared" si="1"/>
        <v>40.137057776044607</v>
      </c>
      <c r="U10" s="658">
        <f t="shared" si="1"/>
        <v>40.489987784115165</v>
      </c>
      <c r="V10" s="658">
        <f t="shared" si="1"/>
        <v>40.759292580470685</v>
      </c>
      <c r="W10" s="658">
        <f t="shared" si="1"/>
        <v>40.112027820500451</v>
      </c>
      <c r="X10" s="658">
        <f t="shared" si="1"/>
        <v>39.641833014782449</v>
      </c>
      <c r="Y10" s="658">
        <f t="shared" si="1"/>
        <v>39.27154258374091</v>
      </c>
      <c r="Z10" s="658">
        <f t="shared" si="1"/>
        <v>39.174673356316688</v>
      </c>
    </row>
    <row r="11" spans="2:26" x14ac:dyDescent="0.3">
      <c r="I11" s="506" t="s">
        <v>165</v>
      </c>
      <c r="J11" s="778" t="s">
        <v>165</v>
      </c>
      <c r="K11" s="658">
        <f>+K10</f>
        <v>34.390418356358602</v>
      </c>
      <c r="L11" s="658">
        <f t="shared" ref="L11:M11" si="2">+L10</f>
        <v>34.51007130801441</v>
      </c>
      <c r="M11" s="658">
        <f t="shared" si="2"/>
        <v>36.280186370231995</v>
      </c>
      <c r="N11" s="658">
        <f>+N8/N9*100</f>
        <v>34.746494513001366</v>
      </c>
      <c r="O11" s="658">
        <f t="shared" ref="O11:Z11" si="3">+O8/O9*100</f>
        <v>36.986596542634011</v>
      </c>
      <c r="P11" s="658">
        <f t="shared" si="3"/>
        <v>36.598398488309435</v>
      </c>
      <c r="Q11" s="658">
        <f t="shared" si="3"/>
        <v>39.415607685013669</v>
      </c>
      <c r="R11" s="658">
        <f t="shared" si="3"/>
        <v>40.090696772192821</v>
      </c>
      <c r="S11" s="658">
        <f t="shared" si="3"/>
        <v>43.003896602578699</v>
      </c>
      <c r="T11" s="658">
        <f t="shared" si="3"/>
        <v>40.137057776044607</v>
      </c>
      <c r="U11" s="658">
        <f t="shared" si="3"/>
        <v>40.489987784115165</v>
      </c>
      <c r="V11" s="658">
        <f t="shared" si="3"/>
        <v>40.759292580470685</v>
      </c>
      <c r="W11" s="658">
        <f t="shared" si="3"/>
        <v>40.10489083923899</v>
      </c>
      <c r="X11" s="658">
        <f t="shared" si="3"/>
        <v>39.641833014782449</v>
      </c>
      <c r="Y11" s="658">
        <f t="shared" si="3"/>
        <v>39.645589034933245</v>
      </c>
      <c r="Z11" s="658">
        <f t="shared" si="3"/>
        <v>39.750262940882628</v>
      </c>
    </row>
    <row r="12" spans="2:26" x14ac:dyDescent="0.3">
      <c r="I12" s="188" t="s">
        <v>162</v>
      </c>
      <c r="J12" s="778" t="s">
        <v>1263</v>
      </c>
      <c r="K12" s="665">
        <v>44.7</v>
      </c>
      <c r="L12" s="665">
        <v>44.4</v>
      </c>
      <c r="M12" s="665">
        <v>44.5</v>
      </c>
      <c r="N12" s="665">
        <v>44.4</v>
      </c>
      <c r="O12" s="665">
        <v>45</v>
      </c>
      <c r="P12" s="665">
        <v>46.1</v>
      </c>
      <c r="Q12" s="665">
        <v>46.8</v>
      </c>
      <c r="R12" s="665">
        <v>46.7</v>
      </c>
      <c r="S12" s="665">
        <v>46.2</v>
      </c>
      <c r="T12" s="666">
        <v>46</v>
      </c>
      <c r="U12" s="666">
        <v>46</v>
      </c>
      <c r="V12" s="666">
        <v>46.3</v>
      </c>
      <c r="W12" s="666">
        <v>46.057052200000001</v>
      </c>
      <c r="X12" s="666">
        <v>45.824977599999997</v>
      </c>
      <c r="Y12" s="667"/>
      <c r="Z12" s="657"/>
    </row>
    <row r="13" spans="2:26" x14ac:dyDescent="0.3">
      <c r="I13" s="188" t="s">
        <v>249</v>
      </c>
      <c r="J13" s="778" t="s">
        <v>1264</v>
      </c>
      <c r="K13" s="665">
        <v>43.7</v>
      </c>
      <c r="L13" s="665">
        <v>43.7</v>
      </c>
      <c r="M13" s="665">
        <v>43.4</v>
      </c>
      <c r="N13" s="665">
        <v>43.5</v>
      </c>
      <c r="O13" s="665">
        <v>44</v>
      </c>
      <c r="P13" s="665">
        <v>44.6</v>
      </c>
      <c r="Q13" s="665">
        <v>45.3</v>
      </c>
      <c r="R13" s="665">
        <v>45</v>
      </c>
      <c r="S13" s="665">
        <v>44.6</v>
      </c>
      <c r="T13" s="666">
        <v>44.6</v>
      </c>
      <c r="U13" s="666">
        <v>44.8</v>
      </c>
      <c r="V13" s="666">
        <v>45</v>
      </c>
      <c r="W13" s="666">
        <v>44.829558300000002</v>
      </c>
      <c r="X13" s="666">
        <v>44.675218600000001</v>
      </c>
      <c r="Y13" s="667"/>
      <c r="Z13" s="657"/>
    </row>
    <row r="14" spans="2:26" x14ac:dyDescent="0.3">
      <c r="I14" s="188" t="s">
        <v>250</v>
      </c>
      <c r="J14" s="778" t="s">
        <v>1265</v>
      </c>
      <c r="K14" s="666">
        <v>41.966666666666669</v>
      </c>
      <c r="L14" s="666">
        <v>41.466666666666669</v>
      </c>
      <c r="M14" s="666">
        <v>40.799999999999997</v>
      </c>
      <c r="N14" s="666">
        <v>40.866666666666667</v>
      </c>
      <c r="O14" s="666">
        <v>41.166666666666664</v>
      </c>
      <c r="P14" s="666">
        <v>41.9</v>
      </c>
      <c r="Q14" s="666">
        <v>42.199999999999996</v>
      </c>
      <c r="R14" s="666">
        <v>41.966666666666661</v>
      </c>
      <c r="S14" s="666">
        <v>42.766666666666673</v>
      </c>
      <c r="T14" s="666">
        <v>41.400000000000006</v>
      </c>
      <c r="U14" s="666">
        <v>41.633333333333333</v>
      </c>
      <c r="V14" s="666">
        <v>42.300000000000004</v>
      </c>
      <c r="W14" s="666">
        <f>AVERAGE(W15:W17)</f>
        <v>42.507319833333334</v>
      </c>
      <c r="X14" s="666">
        <f>AVERAGE(X15:X17)</f>
        <v>42.307085699999995</v>
      </c>
      <c r="Y14" s="667"/>
      <c r="Z14" s="657"/>
    </row>
    <row r="15" spans="2:26" x14ac:dyDescent="0.3">
      <c r="I15" s="189" t="s">
        <v>251</v>
      </c>
      <c r="J15" s="189" t="s">
        <v>251</v>
      </c>
      <c r="K15" s="666">
        <v>39.700000000000003</v>
      </c>
      <c r="L15" s="666">
        <v>38.700000000000003</v>
      </c>
      <c r="M15" s="666">
        <v>38.700000000000003</v>
      </c>
      <c r="N15" s="666">
        <v>39.299999999999997</v>
      </c>
      <c r="O15" s="666">
        <v>40.299999999999997</v>
      </c>
      <c r="P15" s="666">
        <v>40.5</v>
      </c>
      <c r="Q15" s="666">
        <v>41.4</v>
      </c>
      <c r="R15" s="666">
        <v>40.299999999999997</v>
      </c>
      <c r="S15" s="666">
        <v>41.1</v>
      </c>
      <c r="T15" s="666">
        <v>40.200000000000003</v>
      </c>
      <c r="U15" s="666">
        <v>40.5</v>
      </c>
      <c r="V15" s="666">
        <v>41.5</v>
      </c>
      <c r="W15" s="666">
        <v>41.863964500000002</v>
      </c>
      <c r="X15" s="666">
        <v>41.675206199999998</v>
      </c>
      <c r="Y15" s="667"/>
      <c r="Z15" s="657"/>
    </row>
    <row r="16" spans="2:26" x14ac:dyDescent="0.3">
      <c r="I16" s="189" t="s">
        <v>163</v>
      </c>
      <c r="J16" s="189" t="s">
        <v>163</v>
      </c>
      <c r="K16" s="666">
        <v>41.4</v>
      </c>
      <c r="L16" s="666">
        <v>40.700000000000003</v>
      </c>
      <c r="M16" s="666">
        <v>37.799999999999997</v>
      </c>
      <c r="N16" s="666">
        <v>38.5</v>
      </c>
      <c r="O16" s="666">
        <v>39.1</v>
      </c>
      <c r="P16" s="666">
        <v>39.1</v>
      </c>
      <c r="Q16" s="666">
        <v>38.5</v>
      </c>
      <c r="R16" s="666">
        <v>38.700000000000003</v>
      </c>
      <c r="S16" s="666">
        <v>39</v>
      </c>
      <c r="T16" s="666">
        <v>38.9</v>
      </c>
      <c r="U16" s="666">
        <v>39.700000000000003</v>
      </c>
      <c r="V16" s="666">
        <v>41.2</v>
      </c>
      <c r="W16" s="666">
        <v>41.010087800000001</v>
      </c>
      <c r="X16" s="666">
        <v>41.2369694</v>
      </c>
      <c r="Y16" s="667"/>
      <c r="Z16" s="657"/>
    </row>
    <row r="17" spans="2:26" x14ac:dyDescent="0.3">
      <c r="B17" s="49" t="s">
        <v>1266</v>
      </c>
      <c r="I17" s="190" t="s">
        <v>164</v>
      </c>
      <c r="J17" s="190" t="s">
        <v>164</v>
      </c>
      <c r="K17" s="668">
        <v>44.8</v>
      </c>
      <c r="L17" s="668">
        <v>45</v>
      </c>
      <c r="M17" s="668">
        <v>45.9</v>
      </c>
      <c r="N17" s="668">
        <v>44.8</v>
      </c>
      <c r="O17" s="668">
        <v>44.1</v>
      </c>
      <c r="P17" s="668">
        <v>46.1</v>
      </c>
      <c r="Q17" s="668">
        <v>46.7</v>
      </c>
      <c r="R17" s="668">
        <v>46.9</v>
      </c>
      <c r="S17" s="668">
        <v>48.2</v>
      </c>
      <c r="T17" s="668">
        <v>45.1</v>
      </c>
      <c r="U17" s="666">
        <v>44.7</v>
      </c>
      <c r="V17" s="666">
        <v>44.2</v>
      </c>
      <c r="W17" s="666">
        <v>44.647907199999999</v>
      </c>
      <c r="X17" s="666">
        <v>44.009081500000001</v>
      </c>
      <c r="Y17" s="667"/>
      <c r="Z17" s="657"/>
    </row>
    <row r="18" spans="2:26" x14ac:dyDescent="0.3"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</row>
    <row r="26" spans="2:26" x14ac:dyDescent="0.3">
      <c r="I26" s="776" t="s">
        <v>176</v>
      </c>
      <c r="J26" s="776" t="s">
        <v>1010</v>
      </c>
    </row>
    <row r="28" spans="2:26" ht="14.4" thickBot="1" x14ac:dyDescent="0.35">
      <c r="I28" s="182" t="s">
        <v>1258</v>
      </c>
      <c r="J28" s="182" t="s">
        <v>1268</v>
      </c>
      <c r="K28" s="182"/>
      <c r="L28" s="182"/>
      <c r="M28" s="182"/>
      <c r="N28" s="182"/>
      <c r="O28" s="182"/>
    </row>
    <row r="29" spans="2:26" x14ac:dyDescent="0.3">
      <c r="B29" s="49" t="s">
        <v>934</v>
      </c>
      <c r="I29" s="669"/>
      <c r="J29" s="669"/>
      <c r="K29" s="670"/>
      <c r="L29" s="670"/>
      <c r="M29" s="670"/>
      <c r="N29" s="670"/>
      <c r="O29" s="670"/>
    </row>
    <row r="30" spans="2:26" x14ac:dyDescent="0.3">
      <c r="I30" s="671"/>
      <c r="J30" s="671"/>
      <c r="K30" s="671">
        <v>2018</v>
      </c>
      <c r="L30" s="671">
        <v>2019</v>
      </c>
      <c r="M30" s="671">
        <v>2020</v>
      </c>
      <c r="N30" s="671">
        <v>2021</v>
      </c>
      <c r="O30" s="671">
        <v>2022</v>
      </c>
    </row>
    <row r="31" spans="2:26" x14ac:dyDescent="0.3">
      <c r="I31" s="179" t="s">
        <v>928</v>
      </c>
      <c r="J31" s="179" t="s">
        <v>1259</v>
      </c>
      <c r="K31" s="319">
        <v>6.7191075228774197</v>
      </c>
      <c r="L31" s="319">
        <v>5.9215615949262812</v>
      </c>
      <c r="M31" s="319">
        <v>4.1302611105841818</v>
      </c>
      <c r="N31" s="319">
        <v>4.4151421580863062</v>
      </c>
      <c r="O31" s="319">
        <v>4.3473960075562683</v>
      </c>
    </row>
    <row r="32" spans="2:26" x14ac:dyDescent="0.3">
      <c r="I32" s="179" t="s">
        <v>929</v>
      </c>
      <c r="J32" s="179" t="s">
        <v>1261</v>
      </c>
      <c r="K32" s="319">
        <v>0.79787853846681023</v>
      </c>
      <c r="L32" s="319">
        <v>0.65234868862023387</v>
      </c>
      <c r="M32" s="319">
        <v>0.33437201075622258</v>
      </c>
      <c r="N32" s="319">
        <v>0.34768253516308473</v>
      </c>
      <c r="O32" s="319">
        <v>0.13964716167074473</v>
      </c>
    </row>
    <row r="33" spans="9:15" x14ac:dyDescent="0.3">
      <c r="I33" s="179" t="s">
        <v>930</v>
      </c>
      <c r="J33" s="179" t="s">
        <v>1260</v>
      </c>
      <c r="K33" s="319">
        <v>-0.23471524726645052</v>
      </c>
      <c r="L33" s="319">
        <v>-0.26865996917972201</v>
      </c>
      <c r="M33" s="319">
        <v>-0.89604092405411684</v>
      </c>
      <c r="N33" s="319">
        <v>-0.62543171433308553</v>
      </c>
      <c r="O33" s="319">
        <v>3.9207929449716572E-2</v>
      </c>
    </row>
    <row r="34" spans="9:15" x14ac:dyDescent="0.3">
      <c r="I34" s="179" t="s">
        <v>931</v>
      </c>
      <c r="J34" s="179" t="s">
        <v>1105</v>
      </c>
      <c r="K34" s="319">
        <v>0.7478235349760356</v>
      </c>
      <c r="L34" s="319">
        <v>-0.63561539679830059</v>
      </c>
      <c r="M34" s="319">
        <v>4.6295294813535242E-3</v>
      </c>
      <c r="N34" s="319">
        <v>-2.9438477490212361E-2</v>
      </c>
      <c r="O34" s="319">
        <v>3.2967490029729991E-2</v>
      </c>
    </row>
    <row r="35" spans="9:15" x14ac:dyDescent="0.3">
      <c r="I35" s="179" t="s">
        <v>932</v>
      </c>
      <c r="J35" s="179" t="s">
        <v>998</v>
      </c>
      <c r="K35" s="319">
        <v>-0.18128896226795985</v>
      </c>
      <c r="L35" s="319">
        <v>-0.11059655646233225</v>
      </c>
      <c r="M35" s="319">
        <v>0</v>
      </c>
      <c r="N35" s="319">
        <v>0</v>
      </c>
      <c r="O35" s="319">
        <v>3.6737028618400669E-2</v>
      </c>
    </row>
    <row r="36" spans="9:15" x14ac:dyDescent="0.3">
      <c r="I36" s="670" t="s">
        <v>933</v>
      </c>
      <c r="J36" s="670" t="s">
        <v>1121</v>
      </c>
      <c r="K36" s="672">
        <v>7.8488053867858554</v>
      </c>
      <c r="L36" s="672">
        <v>5.5590383611061611</v>
      </c>
      <c r="M36" s="672">
        <v>3.5732217267676418</v>
      </c>
      <c r="N36" s="672">
        <v>4.107954501426093</v>
      </c>
      <c r="O36" s="672">
        <v>4.5959556173248615</v>
      </c>
    </row>
    <row r="40" spans="9:15" x14ac:dyDescent="0.3">
      <c r="I40" s="49" t="s">
        <v>1269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pageSetUpPr fitToPage="1"/>
  </sheetPr>
  <dimension ref="B3:N33"/>
  <sheetViews>
    <sheetView showGridLines="0" zoomScaleNormal="100" workbookViewId="0">
      <selection activeCell="G4" sqref="G4:N4"/>
    </sheetView>
  </sheetViews>
  <sheetFormatPr defaultColWidth="9.109375" defaultRowHeight="13.8" x14ac:dyDescent="0.3"/>
  <cols>
    <col min="1" max="1" width="12.109375" style="193" customWidth="1"/>
    <col min="2" max="3" width="26.109375" style="193" customWidth="1"/>
    <col min="4" max="8" width="10.44140625" style="193" customWidth="1"/>
    <col min="9" max="9" width="10.44140625" style="196" customWidth="1"/>
    <col min="10" max="11" width="11.109375" style="196" customWidth="1"/>
    <col min="12" max="16384" width="9.109375" style="193"/>
  </cols>
  <sheetData>
    <row r="3" spans="2:14" x14ac:dyDescent="0.3">
      <c r="B3" s="192" t="s">
        <v>913</v>
      </c>
      <c r="C3" s="192"/>
      <c r="D3" s="192"/>
      <c r="E3" s="192"/>
      <c r="F3" s="192"/>
      <c r="G3" s="192"/>
      <c r="H3" s="192"/>
      <c r="I3" s="192"/>
      <c r="J3" s="191"/>
      <c r="K3" s="191"/>
      <c r="L3" s="192"/>
    </row>
    <row r="4" spans="2:14" ht="14.4" thickBot="1" x14ac:dyDescent="0.35">
      <c r="G4" s="889" t="s">
        <v>1274</v>
      </c>
      <c r="H4" s="889"/>
      <c r="I4" s="889"/>
      <c r="J4" s="889"/>
      <c r="K4" s="889"/>
      <c r="L4" s="889"/>
      <c r="M4" s="889"/>
      <c r="N4" s="889"/>
    </row>
    <row r="5" spans="2:14" x14ac:dyDescent="0.3">
      <c r="G5" s="191"/>
      <c r="H5" s="191"/>
      <c r="I5" s="191"/>
      <c r="J5" s="191"/>
      <c r="K5" s="191"/>
    </row>
    <row r="6" spans="2:14" x14ac:dyDescent="0.3">
      <c r="G6" s="191"/>
      <c r="H6" s="191"/>
      <c r="I6" s="191"/>
      <c r="J6" s="191"/>
      <c r="K6" s="191"/>
    </row>
    <row r="7" spans="2:14" x14ac:dyDescent="0.3">
      <c r="G7" s="191"/>
      <c r="H7" s="191"/>
      <c r="I7" s="191"/>
      <c r="J7" s="191"/>
      <c r="K7" s="191"/>
    </row>
    <row r="8" spans="2:14" x14ac:dyDescent="0.3">
      <c r="G8" s="191"/>
      <c r="H8" s="191"/>
      <c r="I8" s="191"/>
      <c r="J8" s="191"/>
      <c r="K8" s="191"/>
    </row>
    <row r="9" spans="2:14" x14ac:dyDescent="0.3">
      <c r="G9" s="191"/>
      <c r="H9" s="191"/>
      <c r="I9" s="191"/>
      <c r="J9" s="191"/>
      <c r="K9" s="191"/>
    </row>
    <row r="10" spans="2:14" x14ac:dyDescent="0.3">
      <c r="G10" s="191"/>
      <c r="H10" s="191"/>
      <c r="I10" s="191"/>
      <c r="J10" s="191"/>
      <c r="K10" s="191"/>
    </row>
    <row r="11" spans="2:14" x14ac:dyDescent="0.3">
      <c r="G11" s="191"/>
      <c r="H11" s="191"/>
      <c r="I11" s="191"/>
      <c r="J11" s="191"/>
      <c r="K11" s="191"/>
    </row>
    <row r="12" spans="2:14" x14ac:dyDescent="0.3">
      <c r="G12" s="191"/>
      <c r="H12" s="191"/>
      <c r="I12" s="191"/>
      <c r="J12" s="191"/>
      <c r="K12" s="191"/>
    </row>
    <row r="13" spans="2:14" x14ac:dyDescent="0.3">
      <c r="G13" s="191"/>
      <c r="H13" s="191"/>
      <c r="I13" s="191"/>
      <c r="J13" s="191"/>
      <c r="K13" s="191"/>
    </row>
    <row r="14" spans="2:14" x14ac:dyDescent="0.3">
      <c r="G14" s="191"/>
      <c r="H14" s="191"/>
      <c r="I14" s="191"/>
      <c r="J14" s="191"/>
      <c r="K14" s="191"/>
    </row>
    <row r="15" spans="2:14" x14ac:dyDescent="0.3">
      <c r="G15" s="191"/>
      <c r="H15" s="191"/>
      <c r="I15" s="191"/>
      <c r="J15" s="191"/>
      <c r="K15" s="191"/>
    </row>
    <row r="16" spans="2:14" x14ac:dyDescent="0.3">
      <c r="G16" s="191"/>
      <c r="H16" s="191"/>
      <c r="I16" s="191"/>
      <c r="J16" s="191"/>
      <c r="K16" s="191"/>
    </row>
    <row r="17" spans="2:13" x14ac:dyDescent="0.3">
      <c r="G17" s="191"/>
      <c r="H17" s="191"/>
      <c r="I17" s="191"/>
      <c r="J17" s="191"/>
      <c r="K17" s="191"/>
    </row>
    <row r="18" spans="2:13" x14ac:dyDescent="0.3">
      <c r="G18" s="191"/>
      <c r="H18" s="191"/>
      <c r="I18" s="191"/>
      <c r="J18" s="191"/>
      <c r="K18" s="191"/>
    </row>
    <row r="19" spans="2:13" x14ac:dyDescent="0.3">
      <c r="I19" s="191"/>
      <c r="J19" s="191"/>
      <c r="K19" s="191"/>
    </row>
    <row r="20" spans="2:13" x14ac:dyDescent="0.3">
      <c r="I20" s="191"/>
      <c r="J20" s="191"/>
      <c r="K20" s="191"/>
    </row>
    <row r="21" spans="2:13" s="196" customFormat="1" x14ac:dyDescent="0.3">
      <c r="I21" s="191"/>
      <c r="J21" s="191"/>
      <c r="K21" s="191"/>
      <c r="L21" s="193"/>
      <c r="M21" s="193"/>
    </row>
    <row r="22" spans="2:13" s="196" customFormat="1" x14ac:dyDescent="0.3">
      <c r="B22" s="779" t="s">
        <v>176</v>
      </c>
      <c r="C22" s="196" t="s">
        <v>1010</v>
      </c>
      <c r="I22" s="191"/>
      <c r="J22" s="191"/>
      <c r="K22" s="191"/>
      <c r="L22" s="193"/>
      <c r="M22" s="193"/>
    </row>
    <row r="23" spans="2:13" s="196" customFormat="1" x14ac:dyDescent="0.3">
      <c r="B23" s="779"/>
      <c r="I23" s="191"/>
      <c r="J23" s="191"/>
      <c r="K23" s="191"/>
      <c r="L23" s="193"/>
      <c r="M23" s="193"/>
    </row>
    <row r="24" spans="2:13" s="196" customFormat="1" ht="14.4" thickBot="1" x14ac:dyDescent="0.35">
      <c r="B24" s="780" t="s">
        <v>1270</v>
      </c>
      <c r="C24" s="781" t="s">
        <v>1271</v>
      </c>
      <c r="D24" s="659"/>
      <c r="E24" s="659"/>
      <c r="F24" s="659"/>
      <c r="G24" s="659"/>
      <c r="H24" s="659"/>
      <c r="I24" s="191"/>
      <c r="J24" s="191"/>
      <c r="K24" s="191"/>
      <c r="L24" s="193"/>
      <c r="M24" s="193"/>
    </row>
    <row r="25" spans="2:13" s="196" customFormat="1" x14ac:dyDescent="0.3">
      <c r="B25" s="194"/>
      <c r="C25" s="194"/>
      <c r="D25" s="195">
        <v>2018</v>
      </c>
      <c r="E25" s="195">
        <v>2019</v>
      </c>
      <c r="F25" s="195">
        <v>2020</v>
      </c>
      <c r="G25" s="195">
        <v>2021</v>
      </c>
      <c r="H25" s="195">
        <v>2022</v>
      </c>
      <c r="I25" s="191"/>
      <c r="J25" s="191"/>
      <c r="K25" s="191"/>
    </row>
    <row r="26" spans="2:13" s="196" customFormat="1" x14ac:dyDescent="0.3">
      <c r="B26" s="197" t="s">
        <v>258</v>
      </c>
      <c r="C26" s="200" t="s">
        <v>1109</v>
      </c>
      <c r="D26" s="660">
        <v>3.564896075009067</v>
      </c>
      <c r="E26" s="660">
        <v>3.737238861013628</v>
      </c>
      <c r="F26" s="660">
        <v>3.6616338030940172</v>
      </c>
      <c r="G26" s="660">
        <v>3.7157013916651249</v>
      </c>
      <c r="H26" s="660">
        <v>3.7149258791842525</v>
      </c>
      <c r="I26" s="191"/>
      <c r="J26" s="191"/>
      <c r="K26" s="191"/>
      <c r="L26" s="193"/>
      <c r="M26" s="193"/>
    </row>
    <row r="27" spans="2:13" s="196" customFormat="1" x14ac:dyDescent="0.3">
      <c r="B27" s="198" t="s">
        <v>255</v>
      </c>
      <c r="C27" s="198" t="s">
        <v>1108</v>
      </c>
      <c r="D27" s="660">
        <v>3.0836351048828434</v>
      </c>
      <c r="E27" s="661">
        <v>2.958956435381189</v>
      </c>
      <c r="F27" s="661">
        <v>2.849790266325773</v>
      </c>
      <c r="G27" s="661">
        <v>2.8636893920676929</v>
      </c>
      <c r="H27" s="661">
        <v>2.8037801506945219</v>
      </c>
      <c r="I27" s="191"/>
      <c r="J27" s="191"/>
      <c r="K27" s="191"/>
      <c r="L27" s="193"/>
      <c r="M27" s="193"/>
    </row>
    <row r="28" spans="2:13" s="196" customFormat="1" x14ac:dyDescent="0.3">
      <c r="B28" s="199" t="s">
        <v>256</v>
      </c>
      <c r="C28" s="199" t="s">
        <v>1107</v>
      </c>
      <c r="D28" s="660">
        <v>7.0022518951176451</v>
      </c>
      <c r="E28" s="661">
        <v>7.0493481226078796</v>
      </c>
      <c r="F28" s="661">
        <v>7.0209021283322706</v>
      </c>
      <c r="G28" s="661">
        <v>7.0023705990475236</v>
      </c>
      <c r="H28" s="661">
        <v>7.0136458489002855</v>
      </c>
      <c r="I28" s="191"/>
      <c r="J28" s="191"/>
      <c r="K28" s="191"/>
      <c r="L28" s="193"/>
      <c r="M28" s="193"/>
    </row>
    <row r="29" spans="2:13" s="196" customFormat="1" x14ac:dyDescent="0.3">
      <c r="B29" s="200" t="s">
        <v>159</v>
      </c>
      <c r="C29" s="200" t="s">
        <v>1272</v>
      </c>
      <c r="D29" s="660">
        <v>2.5668549293834406</v>
      </c>
      <c r="E29" s="661">
        <v>2.5063339159805587</v>
      </c>
      <c r="F29" s="661">
        <v>2.5223000348862228</v>
      </c>
      <c r="G29" s="661">
        <v>2.4726642297718979</v>
      </c>
      <c r="H29" s="661">
        <v>2.3878251149314291</v>
      </c>
      <c r="I29" s="191"/>
      <c r="J29" s="191"/>
      <c r="K29" s="191"/>
      <c r="L29" s="193"/>
      <c r="M29" s="193"/>
    </row>
    <row r="30" spans="2:13" x14ac:dyDescent="0.3">
      <c r="B30" s="199" t="s">
        <v>259</v>
      </c>
      <c r="C30" s="199" t="s">
        <v>1114</v>
      </c>
      <c r="D30" s="660">
        <v>8.6916777627512243</v>
      </c>
      <c r="E30" s="660">
        <v>8.6448085945737585</v>
      </c>
      <c r="F30" s="660">
        <v>8.6455601039151819</v>
      </c>
      <c r="G30" s="660">
        <v>8.5886912880068245</v>
      </c>
      <c r="H30" s="660">
        <v>8.5873122745838373</v>
      </c>
      <c r="I30" s="201"/>
    </row>
    <row r="31" spans="2:13" x14ac:dyDescent="0.3">
      <c r="B31" s="199" t="s">
        <v>260</v>
      </c>
      <c r="C31" s="199" t="s">
        <v>1273</v>
      </c>
      <c r="D31" s="660">
        <v>4.0471872136503553</v>
      </c>
      <c r="E31" s="660">
        <v>4.2370294035936586</v>
      </c>
      <c r="F31" s="660">
        <v>4.2729246884107415</v>
      </c>
      <c r="G31" s="660">
        <v>4.2911411929046821</v>
      </c>
      <c r="H31" s="660">
        <v>4.2888072907530415</v>
      </c>
    </row>
    <row r="32" spans="2:13" x14ac:dyDescent="0.3">
      <c r="B32" s="194" t="s">
        <v>926</v>
      </c>
      <c r="C32" s="199" t="s">
        <v>998</v>
      </c>
      <c r="D32" s="660">
        <v>1.5331051894337189</v>
      </c>
      <c r="E32" s="660">
        <v>1.5571917566539761</v>
      </c>
      <c r="F32" s="660">
        <v>1.5320540079826248</v>
      </c>
      <c r="G32" s="660">
        <v>1.3117079740412663</v>
      </c>
      <c r="H32" s="660">
        <v>1.2922495361685038</v>
      </c>
    </row>
    <row r="33" spans="2:8" x14ac:dyDescent="0.3">
      <c r="B33" s="662" t="s">
        <v>927</v>
      </c>
      <c r="C33" s="662" t="s">
        <v>1121</v>
      </c>
      <c r="D33" s="663">
        <f>+SUM(D26:D32)</f>
        <v>30.489608170228294</v>
      </c>
      <c r="E33" s="663">
        <f t="shared" ref="E33:H33" si="0">+SUM(E26:E32)</f>
        <v>30.69090708980465</v>
      </c>
      <c r="F33" s="663">
        <f t="shared" si="0"/>
        <v>30.505165032946827</v>
      </c>
      <c r="G33" s="663">
        <f t="shared" si="0"/>
        <v>30.245966067505012</v>
      </c>
      <c r="H33" s="663">
        <f t="shared" si="0"/>
        <v>30.088546095215875</v>
      </c>
    </row>
  </sheetData>
  <mergeCells count="1">
    <mergeCell ref="G4:N4"/>
  </mergeCells>
  <pageMargins left="0" right="0" top="0" bottom="0" header="0" footer="0"/>
  <pageSetup paperSize="8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L103"/>
  <sheetViews>
    <sheetView showGridLines="0" workbookViewId="0"/>
  </sheetViews>
  <sheetFormatPr defaultRowHeight="14.4" x14ac:dyDescent="0.3"/>
  <cols>
    <col min="1" max="1" width="44.88671875" style="271" customWidth="1"/>
    <col min="2" max="2" width="18" style="276" customWidth="1"/>
    <col min="3" max="5" width="10.5546875" style="271" customWidth="1"/>
    <col min="6" max="6" width="9.88671875" customWidth="1"/>
    <col min="7" max="7" width="41.109375" customWidth="1"/>
    <col min="8" max="8" width="11" customWidth="1"/>
    <col min="9" max="9" width="10" customWidth="1"/>
    <col min="10" max="10" width="11.33203125" customWidth="1"/>
  </cols>
  <sheetData>
    <row r="1" spans="1:10" x14ac:dyDescent="0.3">
      <c r="A1" s="6"/>
    </row>
    <row r="2" spans="1:10" ht="15" customHeight="1" x14ac:dyDescent="0.3">
      <c r="F2" s="414"/>
    </row>
    <row r="3" spans="1:10" x14ac:dyDescent="0.3">
      <c r="A3" s="50" t="s">
        <v>263</v>
      </c>
      <c r="B3" s="51"/>
      <c r="C3" s="52"/>
      <c r="D3" s="52"/>
      <c r="E3" s="52"/>
      <c r="F3" s="414"/>
      <c r="G3" s="415"/>
      <c r="H3" s="415"/>
      <c r="I3" s="415"/>
      <c r="J3" s="415"/>
    </row>
    <row r="4" spans="1:10" ht="15" customHeight="1" x14ac:dyDescent="0.3">
      <c r="A4" s="53"/>
      <c r="B4" s="854" t="s">
        <v>31</v>
      </c>
      <c r="C4" s="279">
        <v>2019</v>
      </c>
      <c r="D4" s="279">
        <v>2019</v>
      </c>
      <c r="E4" s="279" t="s">
        <v>634</v>
      </c>
      <c r="F4" s="413"/>
      <c r="G4" s="511"/>
      <c r="H4" s="509" t="s">
        <v>507</v>
      </c>
      <c r="I4" s="509" t="s">
        <v>633</v>
      </c>
      <c r="J4" s="509" t="s">
        <v>634</v>
      </c>
    </row>
    <row r="5" spans="1:10" ht="15" customHeight="1" x14ac:dyDescent="0.3">
      <c r="A5" s="54"/>
      <c r="B5" s="855"/>
      <c r="C5" s="281" t="s">
        <v>270</v>
      </c>
      <c r="D5" s="281" t="s">
        <v>633</v>
      </c>
      <c r="E5" s="281"/>
      <c r="G5" s="418" t="s">
        <v>639</v>
      </c>
      <c r="H5" s="519">
        <f>C6</f>
        <v>37216.334999999999</v>
      </c>
      <c r="I5" s="519">
        <f>D6</f>
        <v>37740.36346</v>
      </c>
      <c r="J5" s="519">
        <f>E6</f>
        <v>524.02846000000136</v>
      </c>
    </row>
    <row r="6" spans="1:10" x14ac:dyDescent="0.3">
      <c r="A6" s="55" t="s">
        <v>32</v>
      </c>
      <c r="B6" s="56" t="s">
        <v>33</v>
      </c>
      <c r="C6" s="282">
        <f>MMF_TABULKA!P6</f>
        <v>37216.334999999999</v>
      </c>
      <c r="D6" s="428">
        <f>MMF_TABULKA!Q6</f>
        <v>37740.36346</v>
      </c>
      <c r="E6" s="428">
        <f t="shared" ref="E6:E26" si="0">D6-C6</f>
        <v>524.02846000000136</v>
      </c>
      <c r="G6" s="416" t="s">
        <v>242</v>
      </c>
      <c r="H6" s="512">
        <f>C23</f>
        <v>14053.315000000001</v>
      </c>
      <c r="I6" s="512">
        <f>D23</f>
        <v>14232.634000000002</v>
      </c>
      <c r="J6" s="512">
        <f>E23</f>
        <v>179.31900000000132</v>
      </c>
    </row>
    <row r="7" spans="1:10" x14ac:dyDescent="0.3">
      <c r="A7" s="57" t="s">
        <v>4</v>
      </c>
      <c r="B7" s="59"/>
      <c r="C7" s="60">
        <f>MMF_TABULKA!P7</f>
        <v>0.38410774496817035</v>
      </c>
      <c r="D7" s="60">
        <f>MMF_TABULKA!Q7</f>
        <v>0.40112027820500462</v>
      </c>
      <c r="E7" s="60">
        <f t="shared" si="0"/>
        <v>1.7012533236834271E-2</v>
      </c>
      <c r="G7" s="416" t="s">
        <v>635</v>
      </c>
      <c r="H7" s="513">
        <f>C8</f>
        <v>17782.278000000002</v>
      </c>
      <c r="I7" s="513">
        <f>D8</f>
        <v>17615.245460000002</v>
      </c>
      <c r="J7" s="513">
        <f>E8</f>
        <v>-167.03254000000015</v>
      </c>
    </row>
    <row r="8" spans="1:10" x14ac:dyDescent="0.3">
      <c r="A8" s="61" t="s">
        <v>273</v>
      </c>
      <c r="B8" s="63" t="s">
        <v>274</v>
      </c>
      <c r="C8" s="421">
        <f>MMF_TABULKA!P8</f>
        <v>17782.278000000002</v>
      </c>
      <c r="D8" s="421">
        <f>MMF_TABULKA!Q8</f>
        <v>17615.245460000002</v>
      </c>
      <c r="E8" s="421">
        <f t="shared" si="0"/>
        <v>-167.03254000000015</v>
      </c>
      <c r="G8" s="416" t="s">
        <v>638</v>
      </c>
      <c r="H8" s="514">
        <f>C29</f>
        <v>4182.0230000000001</v>
      </c>
      <c r="I8" s="514">
        <f>D29</f>
        <v>4320.7290000000003</v>
      </c>
      <c r="J8" s="514">
        <f>E29</f>
        <v>138.70600000000013</v>
      </c>
    </row>
    <row r="9" spans="1:10" x14ac:dyDescent="0.3">
      <c r="A9" s="64" t="s">
        <v>277</v>
      </c>
      <c r="B9" s="66" t="s">
        <v>35</v>
      </c>
      <c r="C9" s="422">
        <f>MMF_TABULKA!P9</f>
        <v>10666.058000000001</v>
      </c>
      <c r="D9" s="422">
        <f>MMF_TABULKA!Q9</f>
        <v>10681.482460000001</v>
      </c>
      <c r="E9" s="422">
        <f t="shared" si="0"/>
        <v>15.424460000000181</v>
      </c>
      <c r="G9" s="417" t="s">
        <v>484</v>
      </c>
      <c r="H9" s="515">
        <f>C36</f>
        <v>1198.7190000000001</v>
      </c>
      <c r="I9" s="515">
        <f>D36</f>
        <v>1571.7549999999997</v>
      </c>
      <c r="J9" s="515">
        <f>E36</f>
        <v>373.0359999999996</v>
      </c>
    </row>
    <row r="10" spans="1:10" x14ac:dyDescent="0.3">
      <c r="A10" s="67" t="s">
        <v>279</v>
      </c>
      <c r="B10" s="69" t="s">
        <v>579</v>
      </c>
      <c r="C10" s="422">
        <f>MMF_TABULKA!P10</f>
        <v>6663.6639999999998</v>
      </c>
      <c r="D10" s="422">
        <f>MMF_TABULKA!Q10</f>
        <v>6668.0929999999998</v>
      </c>
      <c r="E10" s="422">
        <f t="shared" si="0"/>
        <v>4.4290000000000873</v>
      </c>
      <c r="G10" s="419" t="s">
        <v>640</v>
      </c>
      <c r="H10" s="518">
        <f>C42</f>
        <v>37216.335000000006</v>
      </c>
      <c r="I10" s="518">
        <f>D42</f>
        <v>38380.156999999999</v>
      </c>
      <c r="J10" s="518">
        <f>E42</f>
        <v>1163.8219999999928</v>
      </c>
    </row>
    <row r="11" spans="1:10" x14ac:dyDescent="0.3">
      <c r="A11" s="70" t="s">
        <v>283</v>
      </c>
      <c r="B11" s="69" t="s">
        <v>580</v>
      </c>
      <c r="C11" s="422">
        <f>MMF_TABULKA!P11</f>
        <v>2426.4250000000002</v>
      </c>
      <c r="D11" s="422">
        <f>MMF_TABULKA!Q11</f>
        <v>2370.7820000000002</v>
      </c>
      <c r="E11" s="422">
        <f t="shared" si="0"/>
        <v>-55.643000000000029</v>
      </c>
      <c r="G11" s="416" t="s">
        <v>243</v>
      </c>
      <c r="H11" s="514">
        <f>C78</f>
        <v>1886.8000000000002</v>
      </c>
      <c r="I11" s="514">
        <f>D78</f>
        <v>1696.3290000000002</v>
      </c>
      <c r="J11" s="514">
        <f>E78</f>
        <v>-190.471</v>
      </c>
    </row>
    <row r="12" spans="1:10" x14ac:dyDescent="0.3">
      <c r="A12" s="67" t="s">
        <v>286</v>
      </c>
      <c r="B12" s="69" t="s">
        <v>581</v>
      </c>
      <c r="C12" s="422">
        <f>MMF_TABULKA!P12</f>
        <v>0</v>
      </c>
      <c r="D12" s="422">
        <f>MMF_TABULKA!Q12</f>
        <v>0</v>
      </c>
      <c r="E12" s="422">
        <f t="shared" si="0"/>
        <v>0</v>
      </c>
      <c r="G12" s="416" t="s">
        <v>636</v>
      </c>
      <c r="H12" s="514">
        <f>C52</f>
        <v>454.98899999999998</v>
      </c>
      <c r="I12" s="514">
        <f>D52</f>
        <v>465.21</v>
      </c>
      <c r="J12" s="514">
        <f>E52</f>
        <v>10.221000000000004</v>
      </c>
    </row>
    <row r="13" spans="1:10" x14ac:dyDescent="0.3">
      <c r="A13" s="70" t="s">
        <v>289</v>
      </c>
      <c r="B13" s="69" t="s">
        <v>582</v>
      </c>
      <c r="C13" s="422">
        <f>MMF_TABULKA!P13</f>
        <v>258.37900000000002</v>
      </c>
      <c r="D13" s="422">
        <f>MMF_TABULKA!Q13</f>
        <v>342.483</v>
      </c>
      <c r="E13" s="422">
        <f t="shared" si="0"/>
        <v>84.103999999999985</v>
      </c>
      <c r="G13" s="416" t="s">
        <v>641</v>
      </c>
      <c r="H13" s="514">
        <f>C62</f>
        <v>12200.647999999999</v>
      </c>
      <c r="I13" s="514">
        <f>D62</f>
        <v>12639.578</v>
      </c>
      <c r="J13" s="514">
        <f>E62</f>
        <v>438.93000000000029</v>
      </c>
    </row>
    <row r="14" spans="1:10" x14ac:dyDescent="0.3">
      <c r="A14" s="71" t="s">
        <v>36</v>
      </c>
      <c r="B14" s="66" t="s">
        <v>37</v>
      </c>
      <c r="C14" s="422">
        <f>MMF_TABULKA!P14</f>
        <v>7116.22</v>
      </c>
      <c r="D14" s="422">
        <f>MMF_TABULKA!Q14</f>
        <v>6933.7629999999999</v>
      </c>
      <c r="E14" s="422">
        <f t="shared" si="0"/>
        <v>-182.45700000000033</v>
      </c>
      <c r="G14" s="416" t="s">
        <v>637</v>
      </c>
      <c r="H14" s="514">
        <f>C59</f>
        <v>1124.79</v>
      </c>
      <c r="I14" s="514">
        <f>D59</f>
        <v>1134.982</v>
      </c>
      <c r="J14" s="514">
        <f>E59</f>
        <v>10.192000000000007</v>
      </c>
    </row>
    <row r="15" spans="1:10" x14ac:dyDescent="0.3">
      <c r="A15" s="67" t="s">
        <v>293</v>
      </c>
      <c r="B15" s="69" t="s">
        <v>583</v>
      </c>
      <c r="C15" s="422">
        <f>MMF_TABULKA!P15</f>
        <v>3426.902</v>
      </c>
      <c r="D15" s="422">
        <f>MMF_TABULKA!Q15</f>
        <v>3535.1149999999998</v>
      </c>
      <c r="E15" s="422">
        <f t="shared" si="0"/>
        <v>108.21299999999974</v>
      </c>
      <c r="G15" s="416" t="s">
        <v>245</v>
      </c>
      <c r="H15" s="514">
        <f>C77</f>
        <v>4758.5010000000002</v>
      </c>
      <c r="I15" s="514">
        <f>D77</f>
        <v>4931.4000000000005</v>
      </c>
      <c r="J15" s="514">
        <f>E77</f>
        <v>172.89900000000034</v>
      </c>
    </row>
    <row r="16" spans="1:10" x14ac:dyDescent="0.3">
      <c r="A16" s="73" t="s">
        <v>296</v>
      </c>
      <c r="B16" s="72" t="s">
        <v>584</v>
      </c>
      <c r="C16" s="422">
        <f>MMF_TABULKA!P16</f>
        <v>3307.288</v>
      </c>
      <c r="D16" s="422">
        <f>MMF_TABULKA!Q16</f>
        <v>3411.1708888418752</v>
      </c>
      <c r="E16" s="422">
        <f t="shared" si="0"/>
        <v>103.88288884187523</v>
      </c>
      <c r="G16" s="416" t="s">
        <v>244</v>
      </c>
      <c r="H16" s="514">
        <f>C48</f>
        <v>5429.8950000000004</v>
      </c>
      <c r="I16" s="514">
        <f>D48</f>
        <v>5506.1570000000002</v>
      </c>
      <c r="J16" s="514">
        <f>E48</f>
        <v>76.261999999999716</v>
      </c>
    </row>
    <row r="17" spans="1:12" x14ac:dyDescent="0.3">
      <c r="A17" s="73" t="s">
        <v>299</v>
      </c>
      <c r="B17" s="74" t="s">
        <v>585</v>
      </c>
      <c r="C17" s="422">
        <f>MMF_TABULKA!P17</f>
        <v>119.614</v>
      </c>
      <c r="D17" s="422">
        <f>MMF_TABULKA!Q17</f>
        <v>123.94411115812476</v>
      </c>
      <c r="E17" s="422">
        <f t="shared" si="0"/>
        <v>4.3301111581247511</v>
      </c>
      <c r="G17" s="416" t="s">
        <v>632</v>
      </c>
      <c r="H17" s="514">
        <f>C45</f>
        <v>8900.0930000000008</v>
      </c>
      <c r="I17" s="514">
        <f>D45</f>
        <v>8949.7150000000001</v>
      </c>
      <c r="J17" s="514">
        <f>E45</f>
        <v>49.621999999999389</v>
      </c>
    </row>
    <row r="18" spans="1:12" x14ac:dyDescent="0.3">
      <c r="A18" s="75" t="s">
        <v>302</v>
      </c>
      <c r="B18" s="69" t="s">
        <v>586</v>
      </c>
      <c r="C18" s="422">
        <f>MMF_TABULKA!P18</f>
        <v>3144.1039999999998</v>
      </c>
      <c r="D18" s="422">
        <f>MMF_TABULKA!Q18</f>
        <v>2922.672</v>
      </c>
      <c r="E18" s="422">
        <f t="shared" si="0"/>
        <v>-221.43199999999979</v>
      </c>
      <c r="G18" s="416" t="s">
        <v>485</v>
      </c>
      <c r="H18" s="514">
        <f>C86</f>
        <v>194.08</v>
      </c>
      <c r="I18" s="514">
        <f>D86</f>
        <v>281.09100000000001</v>
      </c>
      <c r="J18" s="514">
        <f>E86</f>
        <v>87.010999999999996</v>
      </c>
    </row>
    <row r="19" spans="1:12" x14ac:dyDescent="0.3">
      <c r="A19" s="76" t="s">
        <v>305</v>
      </c>
      <c r="B19" s="69" t="s">
        <v>587</v>
      </c>
      <c r="C19" s="422">
        <f>MMF_TABULKA!P19</f>
        <v>235.63900000000001</v>
      </c>
      <c r="D19" s="422">
        <f>MMF_TABULKA!Q19</f>
        <v>249.00200000000001</v>
      </c>
      <c r="E19" s="422">
        <f t="shared" si="0"/>
        <v>13.363</v>
      </c>
      <c r="G19" s="417" t="s">
        <v>486</v>
      </c>
      <c r="H19" s="515">
        <f>C82</f>
        <v>2199.0110000000004</v>
      </c>
      <c r="I19" s="515">
        <f>D82</f>
        <v>2708.1670000000004</v>
      </c>
      <c r="J19" s="515">
        <f>E82</f>
        <v>509.15599999999995</v>
      </c>
    </row>
    <row r="20" spans="1:12" x14ac:dyDescent="0.3">
      <c r="A20" s="76" t="s">
        <v>308</v>
      </c>
      <c r="B20" s="66" t="s">
        <v>306</v>
      </c>
      <c r="C20" s="422">
        <f>MMF_TABULKA!P20</f>
        <v>0</v>
      </c>
      <c r="D20" s="422">
        <f>MMF_TABULKA!Q20</f>
        <v>-0.90800000000000003</v>
      </c>
      <c r="E20" s="422">
        <f t="shared" si="0"/>
        <v>-0.90800000000000003</v>
      </c>
      <c r="G20" s="507" t="s">
        <v>471</v>
      </c>
      <c r="H20" s="514">
        <v>0</v>
      </c>
      <c r="I20" s="514">
        <v>-646.50853999999526</v>
      </c>
      <c r="J20" s="514">
        <v>-646.50853999999526</v>
      </c>
      <c r="L20" s="510"/>
    </row>
    <row r="21" spans="1:12" x14ac:dyDescent="0.3">
      <c r="A21" s="75" t="s">
        <v>289</v>
      </c>
      <c r="B21" s="69" t="s">
        <v>311</v>
      </c>
      <c r="C21" s="422">
        <f>MMF_TABULKA!P21</f>
        <v>118.465</v>
      </c>
      <c r="D21" s="422">
        <f>MMF_TABULKA!Q21</f>
        <v>36.811000000000007</v>
      </c>
      <c r="E21" s="422">
        <f t="shared" si="0"/>
        <v>-81.653999999999996</v>
      </c>
      <c r="G21" s="416" t="s">
        <v>4</v>
      </c>
      <c r="H21" s="516">
        <v>0</v>
      </c>
      <c r="I21" s="516">
        <v>-0.68713616312032588</v>
      </c>
      <c r="J21" s="516">
        <v>-0.68713616312032588</v>
      </c>
    </row>
    <row r="22" spans="1:12" ht="15" thickBot="1" x14ac:dyDescent="0.35">
      <c r="A22" s="77" t="s">
        <v>313</v>
      </c>
      <c r="B22" s="66" t="s">
        <v>39</v>
      </c>
      <c r="C22" s="422">
        <f>MMF_TABULKA!P22</f>
        <v>0</v>
      </c>
      <c r="D22" s="422">
        <f>MMF_TABULKA!Q22</f>
        <v>0</v>
      </c>
      <c r="E22" s="422">
        <f t="shared" si="0"/>
        <v>0</v>
      </c>
      <c r="G22" s="508" t="s">
        <v>90</v>
      </c>
      <c r="H22" s="517">
        <v>96890.353000000003</v>
      </c>
      <c r="I22" s="517">
        <v>94087.398495250469</v>
      </c>
      <c r="J22" s="517">
        <v>-2802.954504749534</v>
      </c>
    </row>
    <row r="23" spans="1:12" x14ac:dyDescent="0.3">
      <c r="A23" s="78" t="s">
        <v>40</v>
      </c>
      <c r="B23" s="80" t="s">
        <v>41</v>
      </c>
      <c r="C23" s="421">
        <f>MMF_TABULKA!P23</f>
        <v>14053.315000000001</v>
      </c>
      <c r="D23" s="421">
        <f>MMF_TABULKA!Q23</f>
        <v>14232.634000000002</v>
      </c>
      <c r="E23" s="421">
        <f t="shared" si="0"/>
        <v>179.31900000000132</v>
      </c>
    </row>
    <row r="24" spans="1:12" x14ac:dyDescent="0.3">
      <c r="A24" s="64" t="s">
        <v>316</v>
      </c>
      <c r="B24" s="69" t="s">
        <v>588</v>
      </c>
      <c r="C24" s="422">
        <f>MMF_TABULKA!P24</f>
        <v>13879.348</v>
      </c>
      <c r="D24" s="422">
        <f>MMF_TABULKA!Q24</f>
        <v>14058.667000000001</v>
      </c>
      <c r="E24" s="422">
        <f t="shared" si="0"/>
        <v>179.31900000000132</v>
      </c>
    </row>
    <row r="25" spans="1:12" x14ac:dyDescent="0.3">
      <c r="A25" s="76" t="s">
        <v>319</v>
      </c>
      <c r="B25" s="69" t="s">
        <v>317</v>
      </c>
      <c r="C25" s="422">
        <f>MMF_TABULKA!P25</f>
        <v>8017.7269999999999</v>
      </c>
      <c r="D25" s="422">
        <f>MMF_TABULKA!Q25</f>
        <v>8083.128506</v>
      </c>
      <c r="E25" s="422">
        <f t="shared" si="0"/>
        <v>65.401506000000154</v>
      </c>
    </row>
    <row r="26" spans="1:12" x14ac:dyDescent="0.3">
      <c r="A26" s="76" t="s">
        <v>322</v>
      </c>
      <c r="B26" s="69" t="s">
        <v>589</v>
      </c>
      <c r="C26" s="422">
        <f>MMF_TABULKA!P26</f>
        <v>5861.6210000000001</v>
      </c>
      <c r="D26" s="422">
        <f>MMF_TABULKA!Q26</f>
        <v>5975.5384940000004</v>
      </c>
      <c r="E26" s="422">
        <f t="shared" si="0"/>
        <v>113.91749400000026</v>
      </c>
    </row>
    <row r="27" spans="1:12" x14ac:dyDescent="0.3">
      <c r="A27" s="76" t="s">
        <v>325</v>
      </c>
      <c r="B27" s="69" t="s">
        <v>329</v>
      </c>
      <c r="C27" s="422">
        <f>MMF_TABULKA!P27</f>
        <v>0</v>
      </c>
      <c r="D27" s="422" t="str">
        <f>MMF_TABULKA!Q27</f>
        <v>-</v>
      </c>
      <c r="E27" s="422"/>
    </row>
    <row r="28" spans="1:12" x14ac:dyDescent="0.3">
      <c r="A28" s="64" t="s">
        <v>328</v>
      </c>
      <c r="B28" s="69"/>
      <c r="C28" s="422">
        <f>MMF_TABULKA!P28</f>
        <v>173.96700000000001</v>
      </c>
      <c r="D28" s="422">
        <f>MMF_TABULKA!Q28</f>
        <v>173.96700000000001</v>
      </c>
      <c r="E28" s="422">
        <f t="shared" ref="E28:E59" si="1">D28-C28</f>
        <v>0</v>
      </c>
    </row>
    <row r="29" spans="1:12" x14ac:dyDescent="0.3">
      <c r="A29" s="81" t="s">
        <v>331</v>
      </c>
      <c r="B29" s="82" t="s">
        <v>590</v>
      </c>
      <c r="C29" s="421">
        <f>MMF_TABULKA!P29</f>
        <v>4182.0230000000001</v>
      </c>
      <c r="D29" s="421">
        <f>MMF_TABULKA!Q29</f>
        <v>4320.7290000000003</v>
      </c>
      <c r="E29" s="421">
        <f t="shared" si="1"/>
        <v>138.70600000000013</v>
      </c>
    </row>
    <row r="30" spans="1:12" x14ac:dyDescent="0.3">
      <c r="A30" s="77" t="s">
        <v>332</v>
      </c>
      <c r="B30" s="83" t="s">
        <v>591</v>
      </c>
      <c r="C30" s="423">
        <f>MMF_TABULKA!P30</f>
        <v>3596.7959999999998</v>
      </c>
      <c r="D30" s="423">
        <f>MMF_TABULKA!Q30</f>
        <v>3683.5190000000002</v>
      </c>
      <c r="E30" s="423">
        <f t="shared" si="1"/>
        <v>86.723000000000411</v>
      </c>
    </row>
    <row r="31" spans="1:12" x14ac:dyDescent="0.3">
      <c r="A31" s="76" t="s">
        <v>334</v>
      </c>
      <c r="B31" s="66" t="s">
        <v>210</v>
      </c>
      <c r="C31" s="423">
        <f>MMF_TABULKA!P31</f>
        <v>3457.8789999999999</v>
      </c>
      <c r="D31" s="423">
        <f>MMF_TABULKA!Q31</f>
        <v>3547.4070000000002</v>
      </c>
      <c r="E31" s="423">
        <f t="shared" si="1"/>
        <v>89.528000000000247</v>
      </c>
    </row>
    <row r="32" spans="1:12" x14ac:dyDescent="0.3">
      <c r="A32" s="76" t="s">
        <v>336</v>
      </c>
      <c r="B32" s="83" t="s">
        <v>337</v>
      </c>
      <c r="C32" s="423">
        <f>MMF_TABULKA!P32</f>
        <v>138.917</v>
      </c>
      <c r="D32" s="423">
        <f>MMF_TABULKA!Q32</f>
        <v>136.11199999999999</v>
      </c>
      <c r="E32" s="423">
        <f t="shared" si="1"/>
        <v>-2.8050000000000068</v>
      </c>
    </row>
    <row r="33" spans="1:7" x14ac:dyDescent="0.3">
      <c r="A33" s="64" t="s">
        <v>339</v>
      </c>
      <c r="B33" s="66" t="s">
        <v>43</v>
      </c>
      <c r="C33" s="423">
        <f>MMF_TABULKA!P33</f>
        <v>585.22699999999998</v>
      </c>
      <c r="D33" s="423">
        <f>MMF_TABULKA!Q33</f>
        <v>637.20999999999992</v>
      </c>
      <c r="E33" s="423">
        <f t="shared" si="1"/>
        <v>51.982999999999947</v>
      </c>
    </row>
    <row r="34" spans="1:7" x14ac:dyDescent="0.3">
      <c r="A34" s="76" t="s">
        <v>342</v>
      </c>
      <c r="B34" s="66" t="s">
        <v>592</v>
      </c>
      <c r="C34" s="423">
        <f>MMF_TABULKA!P34</f>
        <v>498.49900000000002</v>
      </c>
      <c r="D34" s="423">
        <f>MMF_TABULKA!Q34</f>
        <v>480.66800000000001</v>
      </c>
      <c r="E34" s="423">
        <f t="shared" si="1"/>
        <v>-17.831000000000017</v>
      </c>
    </row>
    <row r="35" spans="1:7" x14ac:dyDescent="0.3">
      <c r="A35" s="76" t="s">
        <v>346</v>
      </c>
      <c r="B35" s="66" t="s">
        <v>593</v>
      </c>
      <c r="C35" s="423">
        <f>MMF_TABULKA!P35</f>
        <v>37.276000000000003</v>
      </c>
      <c r="D35" s="423">
        <f>MMF_TABULKA!Q35</f>
        <v>34.885000000000005</v>
      </c>
      <c r="E35" s="423">
        <f t="shared" si="1"/>
        <v>-2.3909999999999982</v>
      </c>
    </row>
    <row r="36" spans="1:7" x14ac:dyDescent="0.3">
      <c r="A36" s="78" t="s">
        <v>207</v>
      </c>
      <c r="B36" s="82" t="s">
        <v>594</v>
      </c>
      <c r="C36" s="421">
        <f>MMF_TABULKA!P36</f>
        <v>1198.7190000000001</v>
      </c>
      <c r="D36" s="421">
        <f>MMF_TABULKA!Q36</f>
        <v>1571.7549999999997</v>
      </c>
      <c r="E36" s="421">
        <f t="shared" si="1"/>
        <v>373.0359999999996</v>
      </c>
    </row>
    <row r="37" spans="1:7" x14ac:dyDescent="0.3">
      <c r="A37" s="85" t="s">
        <v>351</v>
      </c>
      <c r="B37" s="87" t="s">
        <v>595</v>
      </c>
      <c r="C37" s="423">
        <f>MMF_TABULKA!P37</f>
        <v>298.27499999999998</v>
      </c>
      <c r="D37" s="423">
        <f>MMF_TABULKA!Q37</f>
        <v>939.63199999999995</v>
      </c>
      <c r="E37" s="423">
        <f t="shared" si="1"/>
        <v>641.35699999999997</v>
      </c>
    </row>
    <row r="38" spans="1:7" x14ac:dyDescent="0.3">
      <c r="A38" s="77" t="s">
        <v>354</v>
      </c>
      <c r="B38" s="83" t="s">
        <v>355</v>
      </c>
      <c r="C38" s="423">
        <f>MMF_TABULKA!P38</f>
        <v>0</v>
      </c>
      <c r="D38" s="423">
        <f>MMF_TABULKA!Q38</f>
        <v>0</v>
      </c>
      <c r="E38" s="423">
        <f t="shared" si="1"/>
        <v>0</v>
      </c>
    </row>
    <row r="39" spans="1:7" x14ac:dyDescent="0.3">
      <c r="A39" s="64" t="s">
        <v>254</v>
      </c>
      <c r="B39" s="66" t="s">
        <v>596</v>
      </c>
      <c r="C39" s="423">
        <f>MMF_TABULKA!P39</f>
        <v>1092.1320000000001</v>
      </c>
      <c r="D39" s="423">
        <f>MMF_TABULKA!Q39</f>
        <v>1441.0229999999997</v>
      </c>
      <c r="E39" s="423">
        <f t="shared" si="1"/>
        <v>348.89099999999962</v>
      </c>
    </row>
    <row r="40" spans="1:7" x14ac:dyDescent="0.3">
      <c r="A40" s="88" t="s">
        <v>55</v>
      </c>
      <c r="B40" s="66" t="s">
        <v>597</v>
      </c>
      <c r="C40" s="423">
        <f>MMF_TABULKA!P40</f>
        <v>106.587</v>
      </c>
      <c r="D40" s="423">
        <f>MMF_TABULKA!Q40</f>
        <v>130.73199999999986</v>
      </c>
      <c r="E40" s="423">
        <f t="shared" si="1"/>
        <v>24.144999999999854</v>
      </c>
      <c r="G40" s="412"/>
    </row>
    <row r="41" spans="1:7" x14ac:dyDescent="0.3">
      <c r="A41" s="92" t="s">
        <v>361</v>
      </c>
      <c r="B41" s="63"/>
      <c r="C41" s="425">
        <f>MMF_TABULKA!P41</f>
        <v>0</v>
      </c>
      <c r="D41" s="425">
        <f>MMF_TABULKA!Q41</f>
        <v>0</v>
      </c>
      <c r="E41" s="425">
        <f t="shared" si="1"/>
        <v>0</v>
      </c>
      <c r="G41" s="412"/>
    </row>
    <row r="42" spans="1:7" x14ac:dyDescent="0.3">
      <c r="A42" s="55" t="s">
        <v>44</v>
      </c>
      <c r="B42" s="56" t="s">
        <v>30</v>
      </c>
      <c r="C42" s="424">
        <f>MMF_TABULKA!P42</f>
        <v>37216.335000000006</v>
      </c>
      <c r="D42" s="424">
        <f>MMF_TABULKA!Q42</f>
        <v>38380.156999999999</v>
      </c>
      <c r="E42" s="424">
        <f t="shared" si="1"/>
        <v>1163.8219999999928</v>
      </c>
      <c r="G42" s="412"/>
    </row>
    <row r="43" spans="1:7" x14ac:dyDescent="0.3">
      <c r="A43" s="57" t="s">
        <v>4</v>
      </c>
      <c r="B43" s="90"/>
      <c r="C43" s="60">
        <f>MMF_TABULKA!P43</f>
        <v>0.38410774496817041</v>
      </c>
      <c r="D43" s="60">
        <f>MMF_TABULKA!Q43</f>
        <v>0.40792027002359332</v>
      </c>
      <c r="E43" s="60">
        <f t="shared" si="1"/>
        <v>2.3812525055422917E-2</v>
      </c>
      <c r="G43" s="412"/>
    </row>
    <row r="44" spans="1:7" x14ac:dyDescent="0.3">
      <c r="A44" s="92" t="s">
        <v>362</v>
      </c>
      <c r="B44" s="63" t="s">
        <v>598</v>
      </c>
      <c r="C44" s="421">
        <f>MMF_TABULKA!P44</f>
        <v>34823.244000000006</v>
      </c>
      <c r="D44" s="421">
        <f>MMF_TABULKA!Q44</f>
        <v>35390.898999999998</v>
      </c>
      <c r="E44" s="421">
        <f t="shared" si="1"/>
        <v>567.65499999999156</v>
      </c>
      <c r="G44" s="412"/>
    </row>
    <row r="45" spans="1:7" x14ac:dyDescent="0.3">
      <c r="A45" s="93" t="s">
        <v>45</v>
      </c>
      <c r="B45" s="66" t="s">
        <v>46</v>
      </c>
      <c r="C45" s="423">
        <f>MMF_TABULKA!P45</f>
        <v>8900.0930000000008</v>
      </c>
      <c r="D45" s="423">
        <f>MMF_TABULKA!Q45</f>
        <v>8949.7150000000001</v>
      </c>
      <c r="E45" s="423">
        <f t="shared" si="1"/>
        <v>49.621999999999389</v>
      </c>
      <c r="G45" s="412"/>
    </row>
    <row r="46" spans="1:7" x14ac:dyDescent="0.3">
      <c r="A46" s="76" t="s">
        <v>252</v>
      </c>
      <c r="B46" s="66" t="s">
        <v>599</v>
      </c>
      <c r="C46" s="422">
        <f>MMF_TABULKA!P46</f>
        <v>6498.8530000000001</v>
      </c>
      <c r="D46" s="422">
        <f>MMF_TABULKA!Q46</f>
        <v>6519.7820000000002</v>
      </c>
      <c r="E46" s="422">
        <f t="shared" si="1"/>
        <v>20.929000000000087</v>
      </c>
      <c r="G46" s="412"/>
    </row>
    <row r="47" spans="1:7" x14ac:dyDescent="0.3">
      <c r="A47" s="76" t="s">
        <v>253</v>
      </c>
      <c r="B47" s="66" t="s">
        <v>600</v>
      </c>
      <c r="C47" s="422">
        <f>MMF_TABULKA!P47</f>
        <v>2401.2400000000007</v>
      </c>
      <c r="D47" s="422">
        <f>MMF_TABULKA!Q47</f>
        <v>2429.933</v>
      </c>
      <c r="E47" s="422">
        <f t="shared" si="1"/>
        <v>28.692999999999302</v>
      </c>
      <c r="G47" s="412"/>
    </row>
    <row r="48" spans="1:7" x14ac:dyDescent="0.3">
      <c r="A48" s="93" t="s">
        <v>47</v>
      </c>
      <c r="B48" s="66" t="s">
        <v>48</v>
      </c>
      <c r="C48" s="423">
        <f>MMF_TABULKA!P48</f>
        <v>5429.8950000000004</v>
      </c>
      <c r="D48" s="423">
        <f>MMF_TABULKA!Q48</f>
        <v>5506.1570000000002</v>
      </c>
      <c r="E48" s="423">
        <f t="shared" si="1"/>
        <v>76.261999999999716</v>
      </c>
      <c r="G48" s="412"/>
    </row>
    <row r="49" spans="1:5" x14ac:dyDescent="0.3">
      <c r="A49" s="85" t="s">
        <v>257</v>
      </c>
      <c r="B49" s="83" t="s">
        <v>601</v>
      </c>
      <c r="C49" s="422">
        <f>MMF_TABULKA!P49</f>
        <v>67.528000000000006</v>
      </c>
      <c r="D49" s="422">
        <f>MMF_TABULKA!Q49</f>
        <v>67.528000000000006</v>
      </c>
      <c r="E49" s="422">
        <f t="shared" si="1"/>
        <v>0</v>
      </c>
    </row>
    <row r="50" spans="1:5" x14ac:dyDescent="0.3">
      <c r="A50" s="95" t="s">
        <v>372</v>
      </c>
      <c r="B50" s="66" t="s">
        <v>373</v>
      </c>
      <c r="C50" s="423">
        <f>MMF_TABULKA!P50</f>
        <v>67.528000000000006</v>
      </c>
      <c r="D50" s="423">
        <f>MMF_TABULKA!Q50</f>
        <v>67.528000000000006</v>
      </c>
      <c r="E50" s="423">
        <f t="shared" si="1"/>
        <v>0</v>
      </c>
    </row>
    <row r="51" spans="1:5" x14ac:dyDescent="0.3">
      <c r="A51" s="95" t="s">
        <v>375</v>
      </c>
      <c r="B51" s="66" t="s">
        <v>37</v>
      </c>
      <c r="C51" s="423">
        <f>MMF_TABULKA!P51</f>
        <v>0</v>
      </c>
      <c r="D51" s="423">
        <f>MMF_TABULKA!Q51</f>
        <v>0</v>
      </c>
      <c r="E51" s="423">
        <f t="shared" si="1"/>
        <v>0</v>
      </c>
    </row>
    <row r="52" spans="1:5" x14ac:dyDescent="0.3">
      <c r="A52" s="85" t="s">
        <v>49</v>
      </c>
      <c r="B52" s="83" t="s">
        <v>602</v>
      </c>
      <c r="C52" s="423">
        <f>MMF_TABULKA!P52</f>
        <v>454.98899999999998</v>
      </c>
      <c r="D52" s="423">
        <f>MMF_TABULKA!Q52</f>
        <v>465.21</v>
      </c>
      <c r="E52" s="423">
        <f t="shared" si="1"/>
        <v>10.221000000000004</v>
      </c>
    </row>
    <row r="53" spans="1:5" x14ac:dyDescent="0.3">
      <c r="A53" s="76" t="s">
        <v>378</v>
      </c>
      <c r="B53" s="66" t="s">
        <v>603</v>
      </c>
      <c r="C53" s="423">
        <f>MMF_TABULKA!P53</f>
        <v>159.285</v>
      </c>
      <c r="D53" s="423">
        <f>MMF_TABULKA!Q53</f>
        <v>152.45400000000001</v>
      </c>
      <c r="E53" s="423">
        <f t="shared" si="1"/>
        <v>-6.8309999999999889</v>
      </c>
    </row>
    <row r="54" spans="1:5" x14ac:dyDescent="0.3">
      <c r="A54" s="76" t="s">
        <v>381</v>
      </c>
      <c r="B54" s="66" t="s">
        <v>604</v>
      </c>
      <c r="C54" s="423">
        <f>MMF_TABULKA!P54</f>
        <v>178.64099999999999</v>
      </c>
      <c r="D54" s="423">
        <f>MMF_TABULKA!Q54</f>
        <v>194.34099999999998</v>
      </c>
      <c r="E54" s="423">
        <f t="shared" si="1"/>
        <v>15.699999999999989</v>
      </c>
    </row>
    <row r="55" spans="1:5" x14ac:dyDescent="0.3">
      <c r="A55" s="73" t="s">
        <v>384</v>
      </c>
      <c r="B55" s="66" t="s">
        <v>605</v>
      </c>
      <c r="C55" s="422">
        <f>MMF_TABULKA!P55</f>
        <v>8.5410000000000004</v>
      </c>
      <c r="D55" s="422">
        <f>MMF_TABULKA!Q55</f>
        <v>8.4410000000000007</v>
      </c>
      <c r="E55" s="422">
        <f t="shared" si="1"/>
        <v>-9.9999999999999645E-2</v>
      </c>
    </row>
    <row r="56" spans="1:5" x14ac:dyDescent="0.3">
      <c r="A56" s="73" t="s">
        <v>387</v>
      </c>
      <c r="B56" s="66" t="s">
        <v>606</v>
      </c>
      <c r="C56" s="423">
        <f>MMF_TABULKA!P56</f>
        <v>164.1</v>
      </c>
      <c r="D56" s="423">
        <f>MMF_TABULKA!Q56</f>
        <v>179.9</v>
      </c>
      <c r="E56" s="423">
        <f t="shared" si="1"/>
        <v>15.800000000000011</v>
      </c>
    </row>
    <row r="57" spans="1:5" x14ac:dyDescent="0.3">
      <c r="A57" s="76" t="s">
        <v>390</v>
      </c>
      <c r="B57" s="66" t="s">
        <v>607</v>
      </c>
      <c r="C57" s="423">
        <f>MMF_TABULKA!P57</f>
        <v>117.06299999999996</v>
      </c>
      <c r="D57" s="423">
        <f>MMF_TABULKA!Q57</f>
        <v>118.41499999999999</v>
      </c>
      <c r="E57" s="423">
        <f t="shared" si="1"/>
        <v>1.3520000000000323</v>
      </c>
    </row>
    <row r="58" spans="1:5" x14ac:dyDescent="0.3">
      <c r="A58" s="93" t="s">
        <v>392</v>
      </c>
      <c r="B58" s="66" t="s">
        <v>608</v>
      </c>
      <c r="C58" s="423">
        <f>MMF_TABULKA!P58</f>
        <v>1124.79</v>
      </c>
      <c r="D58" s="423">
        <f>MMF_TABULKA!Q58</f>
        <v>1134.982</v>
      </c>
      <c r="E58" s="423">
        <f t="shared" si="1"/>
        <v>10.192000000000007</v>
      </c>
    </row>
    <row r="59" spans="1:5" x14ac:dyDescent="0.3">
      <c r="A59" s="95" t="s">
        <v>50</v>
      </c>
      <c r="B59" s="66" t="s">
        <v>51</v>
      </c>
      <c r="C59" s="423">
        <f>MMF_TABULKA!P59</f>
        <v>1124.79</v>
      </c>
      <c r="D59" s="423">
        <f>MMF_TABULKA!Q59</f>
        <v>1134.982</v>
      </c>
      <c r="E59" s="423">
        <f t="shared" si="1"/>
        <v>10.192000000000007</v>
      </c>
    </row>
    <row r="60" spans="1:5" x14ac:dyDescent="0.3">
      <c r="A60" s="95" t="s">
        <v>393</v>
      </c>
      <c r="B60" s="83" t="s">
        <v>609</v>
      </c>
      <c r="C60" s="422">
        <f>MMF_TABULKA!P60</f>
        <v>0</v>
      </c>
      <c r="D60" s="422">
        <f>MMF_TABULKA!Q60</f>
        <v>0</v>
      </c>
      <c r="E60" s="422">
        <f t="shared" ref="E60:E91" si="2">D60-C60</f>
        <v>0</v>
      </c>
    </row>
    <row r="61" spans="1:5" x14ac:dyDescent="0.3">
      <c r="A61" s="93" t="s">
        <v>52</v>
      </c>
      <c r="B61" s="66" t="s">
        <v>610</v>
      </c>
      <c r="C61" s="423">
        <f>MMF_TABULKA!P61</f>
        <v>16959.148999999998</v>
      </c>
      <c r="D61" s="423">
        <f>MMF_TABULKA!Q61</f>
        <v>17570.977999999999</v>
      </c>
      <c r="E61" s="423">
        <f t="shared" si="2"/>
        <v>611.82900000000154</v>
      </c>
    </row>
    <row r="62" spans="1:5" x14ac:dyDescent="0.3">
      <c r="A62" s="76" t="s">
        <v>399</v>
      </c>
      <c r="B62" s="66" t="s">
        <v>611</v>
      </c>
      <c r="C62" s="423">
        <f>MMF_TABULKA!P62</f>
        <v>12200.647999999999</v>
      </c>
      <c r="D62" s="423">
        <f>MMF_TABULKA!Q62</f>
        <v>12639.578</v>
      </c>
      <c r="E62" s="423">
        <f t="shared" si="2"/>
        <v>438.93000000000029</v>
      </c>
    </row>
    <row r="63" spans="1:5" x14ac:dyDescent="0.3">
      <c r="A63" s="96" t="s">
        <v>402</v>
      </c>
      <c r="B63" s="83" t="s">
        <v>612</v>
      </c>
      <c r="C63" s="423">
        <f>MMF_TABULKA!P63</f>
        <v>51.896000000000001</v>
      </c>
      <c r="D63" s="423">
        <f>MMF_TABULKA!Q63</f>
        <v>62.431000000000012</v>
      </c>
      <c r="E63" s="423">
        <f t="shared" si="2"/>
        <v>10.535000000000011</v>
      </c>
    </row>
    <row r="64" spans="1:5" x14ac:dyDescent="0.3">
      <c r="A64" s="96" t="s">
        <v>405</v>
      </c>
      <c r="B64" s="83" t="s">
        <v>613</v>
      </c>
      <c r="C64" s="423">
        <f>MMF_TABULKA!P64</f>
        <v>697.47799999999995</v>
      </c>
      <c r="D64" s="423">
        <f>MMF_TABULKA!Q64</f>
        <v>771.51099999999997</v>
      </c>
      <c r="E64" s="423">
        <f t="shared" si="2"/>
        <v>74.033000000000015</v>
      </c>
    </row>
    <row r="65" spans="1:5" x14ac:dyDescent="0.3">
      <c r="A65" s="96" t="s">
        <v>408</v>
      </c>
      <c r="B65" s="66" t="s">
        <v>614</v>
      </c>
      <c r="C65" s="423">
        <f>MMF_TABULKA!P65</f>
        <v>7735.0169999999998</v>
      </c>
      <c r="D65" s="423">
        <f>MMF_TABULKA!Q65</f>
        <v>7752.8040000000001</v>
      </c>
      <c r="E65" s="423">
        <f t="shared" si="2"/>
        <v>17.787000000000262</v>
      </c>
    </row>
    <row r="66" spans="1:5" x14ac:dyDescent="0.3">
      <c r="A66" s="96" t="s">
        <v>412</v>
      </c>
      <c r="B66" s="83" t="s">
        <v>615</v>
      </c>
      <c r="C66" s="423">
        <f>MMF_TABULKA!P66</f>
        <v>165.24799999999999</v>
      </c>
      <c r="D66" s="423">
        <f>MMF_TABULKA!Q66</f>
        <v>201.91800000000001</v>
      </c>
      <c r="E66" s="423">
        <f t="shared" si="2"/>
        <v>36.670000000000016</v>
      </c>
    </row>
    <row r="67" spans="1:5" x14ac:dyDescent="0.3">
      <c r="A67" s="96" t="s">
        <v>415</v>
      </c>
      <c r="B67" s="83" t="s">
        <v>616</v>
      </c>
      <c r="C67" s="423">
        <f>MMF_TABULKA!P67</f>
        <v>1457.03</v>
      </c>
      <c r="D67" s="423">
        <f>MMF_TABULKA!Q67</f>
        <v>1541.8519999999999</v>
      </c>
      <c r="E67" s="423">
        <f t="shared" si="2"/>
        <v>84.821999999999889</v>
      </c>
    </row>
    <row r="68" spans="1:5" x14ac:dyDescent="0.3">
      <c r="A68" s="73" t="s">
        <v>418</v>
      </c>
      <c r="B68" s="83" t="s">
        <v>617</v>
      </c>
      <c r="C68" s="423">
        <f>MMF_TABULKA!P68</f>
        <v>320.75200000000001</v>
      </c>
      <c r="D68" s="423">
        <f>MMF_TABULKA!Q68</f>
        <v>322.512</v>
      </c>
      <c r="E68" s="423">
        <f t="shared" si="2"/>
        <v>1.7599999999999909</v>
      </c>
    </row>
    <row r="69" spans="1:5" x14ac:dyDescent="0.3">
      <c r="A69" s="73" t="s">
        <v>421</v>
      </c>
      <c r="B69" s="83" t="s">
        <v>618</v>
      </c>
      <c r="C69" s="423">
        <f>MMF_TABULKA!P69</f>
        <v>48.814</v>
      </c>
      <c r="D69" s="423">
        <f>MMF_TABULKA!Q69</f>
        <v>45.78</v>
      </c>
      <c r="E69" s="423">
        <f t="shared" si="2"/>
        <v>-3.0339999999999989</v>
      </c>
    </row>
    <row r="70" spans="1:5" x14ac:dyDescent="0.3">
      <c r="A70" s="73" t="s">
        <v>424</v>
      </c>
      <c r="B70" s="83" t="s">
        <v>619</v>
      </c>
      <c r="C70" s="423">
        <f>MMF_TABULKA!P70</f>
        <v>382.06200000000001</v>
      </c>
      <c r="D70" s="423">
        <f>MMF_TABULKA!Q70</f>
        <v>376.34100000000001</v>
      </c>
      <c r="E70" s="423">
        <f t="shared" si="2"/>
        <v>-5.7210000000000036</v>
      </c>
    </row>
    <row r="71" spans="1:5" x14ac:dyDescent="0.3">
      <c r="A71" s="73" t="s">
        <v>427</v>
      </c>
      <c r="B71" s="83" t="s">
        <v>620</v>
      </c>
      <c r="C71" s="423">
        <f>MMF_TABULKA!P71</f>
        <v>145.27000000000001</v>
      </c>
      <c r="D71" s="423">
        <f>MMF_TABULKA!Q71</f>
        <v>117.05100000000002</v>
      </c>
      <c r="E71" s="423">
        <f t="shared" si="2"/>
        <v>-28.218999999999994</v>
      </c>
    </row>
    <row r="72" spans="1:5" x14ac:dyDescent="0.3">
      <c r="A72" s="73" t="s">
        <v>430</v>
      </c>
      <c r="B72" s="83" t="s">
        <v>621</v>
      </c>
      <c r="C72" s="423">
        <f>MMF_TABULKA!P72</f>
        <v>376.13499999999999</v>
      </c>
      <c r="D72" s="423">
        <f>MMF_TABULKA!Q72</f>
        <v>379.11</v>
      </c>
      <c r="E72" s="423">
        <f t="shared" si="2"/>
        <v>2.9750000000000227</v>
      </c>
    </row>
    <row r="73" spans="1:5" x14ac:dyDescent="0.3">
      <c r="A73" s="73" t="s">
        <v>116</v>
      </c>
      <c r="B73" s="83" t="s">
        <v>352</v>
      </c>
      <c r="C73" s="423">
        <f>MMF_TABULKA!P73</f>
        <v>183.99700000000007</v>
      </c>
      <c r="D73" s="423">
        <f>MMF_TABULKA!Q73</f>
        <v>301.05799999999977</v>
      </c>
      <c r="E73" s="423">
        <f t="shared" si="2"/>
        <v>117.06099999999969</v>
      </c>
    </row>
    <row r="74" spans="1:5" x14ac:dyDescent="0.3">
      <c r="A74" s="96" t="s">
        <v>434</v>
      </c>
      <c r="B74" s="83" t="s">
        <v>622</v>
      </c>
      <c r="C74" s="423">
        <f>MMF_TABULKA!P74</f>
        <v>1406.134</v>
      </c>
      <c r="D74" s="423">
        <f>MMF_TABULKA!Q74</f>
        <v>1570.998</v>
      </c>
      <c r="E74" s="423">
        <f t="shared" si="2"/>
        <v>164.86400000000003</v>
      </c>
    </row>
    <row r="75" spans="1:5" x14ac:dyDescent="0.3">
      <c r="A75" s="97" t="s">
        <v>437</v>
      </c>
      <c r="B75" s="83" t="s">
        <v>623</v>
      </c>
      <c r="C75" s="423">
        <f>MMF_TABULKA!P75</f>
        <v>259.54899999999998</v>
      </c>
      <c r="D75" s="423">
        <f>MMF_TABULKA!Q75</f>
        <v>281.983</v>
      </c>
      <c r="E75" s="423">
        <f t="shared" si="2"/>
        <v>22.434000000000026</v>
      </c>
    </row>
    <row r="76" spans="1:5" x14ac:dyDescent="0.3">
      <c r="A76" s="97" t="s">
        <v>440</v>
      </c>
      <c r="B76" s="83" t="s">
        <v>624</v>
      </c>
      <c r="C76" s="423">
        <f>MMF_TABULKA!P76</f>
        <v>1015</v>
      </c>
      <c r="D76" s="423">
        <f>MMF_TABULKA!Q76</f>
        <v>1172.2180000000001</v>
      </c>
      <c r="E76" s="423">
        <f t="shared" si="2"/>
        <v>157.21800000000007</v>
      </c>
    </row>
    <row r="77" spans="1:5" x14ac:dyDescent="0.3">
      <c r="A77" s="75" t="s">
        <v>443</v>
      </c>
      <c r="B77" s="83" t="s">
        <v>625</v>
      </c>
      <c r="C77" s="422">
        <f>MMF_TABULKA!P77</f>
        <v>4758.5010000000002</v>
      </c>
      <c r="D77" s="422">
        <f>MMF_TABULKA!Q77</f>
        <v>4931.4000000000005</v>
      </c>
      <c r="E77" s="422">
        <f t="shared" si="2"/>
        <v>172.89900000000034</v>
      </c>
    </row>
    <row r="78" spans="1:5" x14ac:dyDescent="0.3">
      <c r="A78" s="93" t="s">
        <v>254</v>
      </c>
      <c r="B78" s="98" t="s">
        <v>626</v>
      </c>
      <c r="C78" s="422">
        <f>MMF_TABULKA!P78</f>
        <v>1886.8000000000002</v>
      </c>
      <c r="D78" s="422">
        <f>MMF_TABULKA!Q78</f>
        <v>1696.3290000000002</v>
      </c>
      <c r="E78" s="422">
        <f t="shared" si="2"/>
        <v>-190.471</v>
      </c>
    </row>
    <row r="79" spans="1:5" x14ac:dyDescent="0.3">
      <c r="A79" s="76" t="s">
        <v>447</v>
      </c>
      <c r="B79" s="83" t="s">
        <v>627</v>
      </c>
      <c r="C79" s="422">
        <f>MMF_TABULKA!P79</f>
        <v>839.66800000000001</v>
      </c>
      <c r="D79" s="422">
        <f>MMF_TABULKA!Q79</f>
        <v>780</v>
      </c>
      <c r="E79" s="422">
        <f t="shared" si="2"/>
        <v>-59.668000000000006</v>
      </c>
    </row>
    <row r="80" spans="1:5" x14ac:dyDescent="0.3">
      <c r="A80" s="76" t="s">
        <v>450</v>
      </c>
      <c r="B80" s="83" t="s">
        <v>628</v>
      </c>
      <c r="C80" s="422">
        <f>MMF_TABULKA!P80</f>
        <v>71.960999999999999</v>
      </c>
      <c r="D80" s="422">
        <f>MMF_TABULKA!Q80</f>
        <v>73.991</v>
      </c>
      <c r="E80" s="422">
        <f t="shared" si="2"/>
        <v>2.0300000000000011</v>
      </c>
    </row>
    <row r="81" spans="1:5" x14ac:dyDescent="0.3">
      <c r="A81" s="92" t="s">
        <v>452</v>
      </c>
      <c r="B81" s="63" t="s">
        <v>629</v>
      </c>
      <c r="C81" s="425">
        <f>MMF_TABULKA!P81</f>
        <v>2393.0910000000003</v>
      </c>
      <c r="D81" s="425">
        <f>MMF_TABULKA!Q81</f>
        <v>2989.2580000000003</v>
      </c>
      <c r="E81" s="425">
        <f t="shared" si="2"/>
        <v>596.16699999999992</v>
      </c>
    </row>
    <row r="82" spans="1:5" x14ac:dyDescent="0.3">
      <c r="A82" s="77" t="s">
        <v>453</v>
      </c>
      <c r="B82" s="83" t="s">
        <v>221</v>
      </c>
      <c r="C82" s="422">
        <f>MMF_TABULKA!P82</f>
        <v>2199.0110000000004</v>
      </c>
      <c r="D82" s="422">
        <f>MMF_TABULKA!Q82</f>
        <v>2708.1670000000004</v>
      </c>
      <c r="E82" s="422">
        <f t="shared" si="2"/>
        <v>509.15599999999995</v>
      </c>
    </row>
    <row r="83" spans="1:5" x14ac:dyDescent="0.3">
      <c r="A83" s="76" t="s">
        <v>457</v>
      </c>
      <c r="B83" s="66" t="s">
        <v>54</v>
      </c>
      <c r="C83" s="422">
        <f>MMF_TABULKA!P83</f>
        <v>2214.806</v>
      </c>
      <c r="D83" s="422">
        <f>MMF_TABULKA!Q83</f>
        <v>2725.5410000000002</v>
      </c>
      <c r="E83" s="422">
        <f t="shared" si="2"/>
        <v>510.73500000000013</v>
      </c>
    </row>
    <row r="84" spans="1:5" x14ac:dyDescent="0.3">
      <c r="A84" s="76" t="s">
        <v>460</v>
      </c>
      <c r="B84" s="66" t="s">
        <v>630</v>
      </c>
      <c r="C84" s="423">
        <f>MMF_TABULKA!P84</f>
        <v>27.856000000000002</v>
      </c>
      <c r="D84" s="423">
        <f>MMF_TABULKA!Q84</f>
        <v>27.856000000000002</v>
      </c>
      <c r="E84" s="423">
        <f t="shared" si="2"/>
        <v>0</v>
      </c>
    </row>
    <row r="85" spans="1:5" x14ac:dyDescent="0.3">
      <c r="A85" s="76" t="s">
        <v>464</v>
      </c>
      <c r="B85" s="66" t="s">
        <v>631</v>
      </c>
      <c r="C85" s="423">
        <f>MMF_TABULKA!P85</f>
        <v>-43.651000000000003</v>
      </c>
      <c r="D85" s="423">
        <f>MMF_TABULKA!Q85</f>
        <v>-45.230000000000004</v>
      </c>
      <c r="E85" s="423">
        <f t="shared" si="2"/>
        <v>-1.5790000000000006</v>
      </c>
    </row>
    <row r="86" spans="1:5" x14ac:dyDescent="0.3">
      <c r="A86" s="77" t="s">
        <v>55</v>
      </c>
      <c r="B86" s="83" t="s">
        <v>56</v>
      </c>
      <c r="C86" s="423">
        <f>MMF_TABULKA!P86</f>
        <v>194.08</v>
      </c>
      <c r="D86" s="423">
        <f>MMF_TABULKA!Q86</f>
        <v>281.09100000000001</v>
      </c>
      <c r="E86" s="423">
        <f t="shared" si="2"/>
        <v>87.010999999999996</v>
      </c>
    </row>
    <row r="87" spans="1:5" x14ac:dyDescent="0.3">
      <c r="A87" s="76" t="s">
        <v>468</v>
      </c>
      <c r="B87" s="100" t="s">
        <v>469</v>
      </c>
      <c r="C87" s="426">
        <f>MMF_TABULKA!P87</f>
        <v>194.08</v>
      </c>
      <c r="D87" s="426">
        <f>MMF_TABULKA!Q87</f>
        <v>281.09100000000001</v>
      </c>
      <c r="E87" s="426">
        <f t="shared" si="2"/>
        <v>87.010999999999996</v>
      </c>
    </row>
    <row r="88" spans="1:5" x14ac:dyDescent="0.3">
      <c r="A88" s="92" t="s">
        <v>642</v>
      </c>
      <c r="B88" s="63" t="s">
        <v>80</v>
      </c>
      <c r="C88" s="425">
        <f>MMF_TABULKA!P88</f>
        <v>0</v>
      </c>
      <c r="D88" s="425">
        <f>MMF_TABULKA!Q88</f>
        <v>0</v>
      </c>
      <c r="E88" s="425">
        <f t="shared" si="2"/>
        <v>0</v>
      </c>
    </row>
    <row r="89" spans="1:5" x14ac:dyDescent="0.3">
      <c r="A89" s="55" t="s">
        <v>471</v>
      </c>
      <c r="B89" s="102"/>
      <c r="C89" s="294">
        <f>MMF_TABULKA!P89</f>
        <v>0</v>
      </c>
      <c r="D89" s="294">
        <f>MMF_TABULKA!Q89</f>
        <v>-639.79353999999876</v>
      </c>
      <c r="E89" s="294">
        <f t="shared" si="2"/>
        <v>-639.79353999999876</v>
      </c>
    </row>
    <row r="90" spans="1:5" x14ac:dyDescent="0.3">
      <c r="A90" s="104" t="s">
        <v>4</v>
      </c>
      <c r="B90" s="106" t="s">
        <v>1</v>
      </c>
      <c r="C90" s="107">
        <f>MMF_TABULKA!P90</f>
        <v>0</v>
      </c>
      <c r="D90" s="107">
        <f>MMF_TABULKA!Q90</f>
        <v>-6.799991818588709E-3</v>
      </c>
      <c r="E90" s="107">
        <f t="shared" si="2"/>
        <v>-6.799991818588709E-3</v>
      </c>
    </row>
    <row r="91" spans="1:5" x14ac:dyDescent="0.3">
      <c r="A91" s="109" t="s">
        <v>90</v>
      </c>
      <c r="B91" s="111" t="s">
        <v>10</v>
      </c>
      <c r="C91" s="427">
        <f>MMF_TABULKA!P91</f>
        <v>96890.353000000003</v>
      </c>
      <c r="D91" s="334">
        <f>MMF_TABULKA!Q91</f>
        <v>94087.398495250469</v>
      </c>
      <c r="E91" s="334">
        <f t="shared" si="2"/>
        <v>-2802.954504749534</v>
      </c>
    </row>
    <row r="92" spans="1:5" x14ac:dyDescent="0.3">
      <c r="A92" s="287"/>
      <c r="B92" s="6"/>
    </row>
    <row r="93" spans="1:5" x14ac:dyDescent="0.3">
      <c r="A93" s="287"/>
      <c r="B93" s="6"/>
      <c r="C93" s="333"/>
      <c r="D93" s="333"/>
      <c r="E93" s="333"/>
    </row>
    <row r="94" spans="1:5" x14ac:dyDescent="0.3">
      <c r="A94" s="287"/>
      <c r="B94" s="6"/>
      <c r="C94" s="6"/>
      <c r="D94" s="6"/>
      <c r="E94" s="6"/>
    </row>
    <row r="95" spans="1:5" x14ac:dyDescent="0.3">
      <c r="B95" s="6"/>
    </row>
    <row r="96" spans="1:5" x14ac:dyDescent="0.3">
      <c r="B96" s="6"/>
    </row>
    <row r="97" spans="2:5" x14ac:dyDescent="0.3">
      <c r="B97" s="6"/>
    </row>
    <row r="98" spans="2:5" x14ac:dyDescent="0.3">
      <c r="B98" s="6"/>
    </row>
    <row r="99" spans="2:5" x14ac:dyDescent="0.3">
      <c r="B99" s="6"/>
      <c r="C99" s="6"/>
      <c r="D99" s="6"/>
      <c r="E99" s="6"/>
    </row>
    <row r="100" spans="2:5" x14ac:dyDescent="0.3">
      <c r="C100" s="272"/>
      <c r="D100" s="272"/>
      <c r="E100" s="272"/>
    </row>
    <row r="101" spans="2:5" x14ac:dyDescent="0.3">
      <c r="C101" s="272"/>
      <c r="D101" s="272"/>
      <c r="E101" s="272"/>
    </row>
    <row r="103" spans="2:5" x14ac:dyDescent="0.3">
      <c r="C103" s="274"/>
      <c r="D103" s="274"/>
      <c r="E103" s="274"/>
    </row>
  </sheetData>
  <mergeCells count="1">
    <mergeCell ref="B4:B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2:AN27"/>
  <sheetViews>
    <sheetView showGridLines="0" zoomScaleNormal="100" workbookViewId="0">
      <selection activeCell="F31" sqref="F31"/>
    </sheetView>
  </sheetViews>
  <sheetFormatPr defaultColWidth="9.109375" defaultRowHeight="13.8" x14ac:dyDescent="0.3"/>
  <cols>
    <col min="1" max="1" width="12.5546875" style="6" customWidth="1"/>
    <col min="2" max="3" width="28.109375" style="6" customWidth="1"/>
    <col min="4" max="21" width="5.33203125" style="6" customWidth="1"/>
    <col min="22" max="22" width="4.44140625" style="6" bestFit="1" customWidth="1"/>
    <col min="23" max="23" width="17.88671875" style="6" customWidth="1"/>
    <col min="24" max="16384" width="9.109375" style="6"/>
  </cols>
  <sheetData>
    <row r="2" spans="2:40" ht="15.75" customHeight="1" x14ac:dyDescent="0.3">
      <c r="B2" s="203" t="s">
        <v>526</v>
      </c>
      <c r="C2" s="203"/>
      <c r="D2" s="203"/>
      <c r="E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W2" s="890"/>
      <c r="X2" s="890"/>
      <c r="Y2" s="890"/>
      <c r="Z2" s="890"/>
      <c r="AA2" s="890"/>
      <c r="AB2" s="890"/>
      <c r="AC2" s="890"/>
      <c r="AD2" s="890"/>
      <c r="AE2" s="890"/>
      <c r="AF2" s="890"/>
      <c r="AG2" s="890"/>
      <c r="AH2" s="890"/>
      <c r="AI2" s="890"/>
      <c r="AJ2" s="890"/>
      <c r="AK2" s="890"/>
      <c r="AL2" s="890"/>
      <c r="AM2" s="203"/>
      <c r="AN2" s="203"/>
    </row>
    <row r="3" spans="2:40" x14ac:dyDescent="0.3">
      <c r="B3" s="203" t="s">
        <v>1278</v>
      </c>
    </row>
    <row r="21" spans="2:40" x14ac:dyDescent="0.3">
      <c r="B21" s="727" t="s">
        <v>176</v>
      </c>
      <c r="C21" s="727" t="s">
        <v>1010</v>
      </c>
    </row>
    <row r="23" spans="2:40" ht="15.75" customHeight="1" thickBot="1" x14ac:dyDescent="0.35">
      <c r="B23" s="784" t="s">
        <v>917</v>
      </c>
      <c r="C23" s="784" t="s">
        <v>1277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326"/>
      <c r="W23" s="890"/>
      <c r="X23" s="890"/>
      <c r="Y23" s="890"/>
      <c r="Z23" s="890"/>
      <c r="AA23" s="890"/>
      <c r="AB23" s="890"/>
      <c r="AC23" s="890"/>
      <c r="AD23" s="890"/>
      <c r="AE23" s="890"/>
      <c r="AF23" s="890"/>
      <c r="AG23" s="890"/>
      <c r="AH23" s="890"/>
      <c r="AI23" s="890"/>
      <c r="AJ23" s="890"/>
      <c r="AK23" s="890"/>
      <c r="AL23" s="890"/>
      <c r="AM23" s="203"/>
      <c r="AN23" s="203"/>
    </row>
    <row r="24" spans="2:40" x14ac:dyDescent="0.3">
      <c r="B24" s="204"/>
      <c r="C24" s="204"/>
      <c r="D24" s="205">
        <v>2000</v>
      </c>
      <c r="E24" s="205">
        <v>2001</v>
      </c>
      <c r="F24" s="205">
        <v>2002</v>
      </c>
      <c r="G24" s="205">
        <v>2003</v>
      </c>
      <c r="H24" s="205">
        <v>2004</v>
      </c>
      <c r="I24" s="205">
        <v>2005</v>
      </c>
      <c r="J24" s="205">
        <v>2006</v>
      </c>
      <c r="K24" s="205">
        <v>2007</v>
      </c>
      <c r="L24" s="205">
        <v>2008</v>
      </c>
      <c r="M24" s="205">
        <v>2009</v>
      </c>
      <c r="N24" s="205">
        <v>2010</v>
      </c>
      <c r="O24" s="205">
        <v>2011</v>
      </c>
      <c r="P24" s="205">
        <v>2012</v>
      </c>
      <c r="Q24" s="205">
        <v>2013</v>
      </c>
      <c r="R24" s="205">
        <v>2014</v>
      </c>
      <c r="S24" s="205">
        <v>2015</v>
      </c>
      <c r="T24" s="205">
        <v>2016</v>
      </c>
      <c r="U24" s="205">
        <v>2017</v>
      </c>
      <c r="V24" s="205">
        <v>2018</v>
      </c>
      <c r="W24" s="122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</row>
    <row r="25" spans="2:40" x14ac:dyDescent="0.3">
      <c r="B25" s="21" t="s">
        <v>525</v>
      </c>
      <c r="C25" s="782" t="s">
        <v>1275</v>
      </c>
      <c r="D25" s="322">
        <v>20.5</v>
      </c>
      <c r="E25" s="322">
        <v>18</v>
      </c>
      <c r="F25" s="322">
        <v>20.3</v>
      </c>
      <c r="G25" s="322">
        <v>15.5</v>
      </c>
      <c r="H25" s="322">
        <v>23.3</v>
      </c>
      <c r="I25" s="322">
        <v>21.3</v>
      </c>
      <c r="J25" s="322">
        <v>26.4</v>
      </c>
      <c r="K25" s="322">
        <v>31.3</v>
      </c>
      <c r="L25" s="322">
        <v>31.1</v>
      </c>
      <c r="M25" s="322">
        <v>34.700000000000003</v>
      </c>
      <c r="N25" s="322">
        <v>34.799999999999997</v>
      </c>
      <c r="O25" s="322">
        <v>36.1</v>
      </c>
      <c r="P25" s="322">
        <v>40.299999999999997</v>
      </c>
      <c r="Q25" s="322">
        <v>36.4</v>
      </c>
      <c r="R25" s="322">
        <v>32</v>
      </c>
      <c r="S25" s="322">
        <v>31.1</v>
      </c>
      <c r="T25" s="322">
        <v>28.9</v>
      </c>
      <c r="U25" s="322">
        <v>27</v>
      </c>
      <c r="V25" s="322">
        <v>26.9</v>
      </c>
      <c r="W25" s="122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122"/>
    </row>
    <row r="26" spans="2:40" ht="14.4" thickBot="1" x14ac:dyDescent="0.35">
      <c r="B26" s="723" t="s">
        <v>524</v>
      </c>
      <c r="C26" s="783" t="s">
        <v>1276</v>
      </c>
      <c r="D26" s="724"/>
      <c r="E26" s="724"/>
      <c r="F26" s="724"/>
      <c r="G26" s="724"/>
      <c r="H26" s="724"/>
      <c r="I26" s="724"/>
      <c r="J26" s="724"/>
      <c r="K26" s="724"/>
      <c r="L26" s="724"/>
      <c r="M26" s="724"/>
      <c r="N26" s="724"/>
      <c r="O26" s="724"/>
      <c r="P26" s="725">
        <v>37.799999999999997</v>
      </c>
      <c r="Q26" s="725">
        <v>33.4</v>
      </c>
      <c r="R26" s="725">
        <v>30.5</v>
      </c>
      <c r="S26" s="725">
        <v>29.4</v>
      </c>
      <c r="T26" s="725">
        <v>25.671969281404277</v>
      </c>
      <c r="U26" s="725">
        <v>23.2</v>
      </c>
      <c r="V26" s="725"/>
      <c r="W26" s="122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122"/>
    </row>
    <row r="27" spans="2:40" x14ac:dyDescent="0.3">
      <c r="W27" s="122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122"/>
    </row>
  </sheetData>
  <mergeCells count="2">
    <mergeCell ref="W2:AL2"/>
    <mergeCell ref="W23:AL23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B2:AB31"/>
  <sheetViews>
    <sheetView showGridLines="0" topLeftCell="A13" zoomScaleNormal="100" workbookViewId="0">
      <selection activeCell="Q31" sqref="Q31"/>
    </sheetView>
  </sheetViews>
  <sheetFormatPr defaultColWidth="9.109375" defaultRowHeight="13.8" x14ac:dyDescent="0.3"/>
  <cols>
    <col min="1" max="9" width="9.109375" style="179"/>
    <col min="10" max="11" width="20.44140625" style="179" customWidth="1"/>
    <col min="12" max="13" width="9.109375" style="179" hidden="1" customWidth="1"/>
    <col min="14" max="17" width="10.6640625" style="179" bestFit="1" customWidth="1"/>
    <col min="18" max="22" width="9.109375" style="179"/>
    <col min="23" max="23" width="9.44140625" style="179" bestFit="1" customWidth="1"/>
    <col min="24" max="27" width="6" style="179" customWidth="1"/>
    <col min="28" max="16384" width="9.109375" style="179"/>
  </cols>
  <sheetData>
    <row r="2" spans="2:28" x14ac:dyDescent="0.3">
      <c r="B2" s="6"/>
    </row>
    <row r="3" spans="2:28" x14ac:dyDescent="0.3">
      <c r="B3" s="6"/>
    </row>
    <row r="4" spans="2:28" ht="14.4" thickBot="1" x14ac:dyDescent="0.35">
      <c r="B4" s="49" t="s">
        <v>914</v>
      </c>
      <c r="J4" s="181" t="s">
        <v>176</v>
      </c>
      <c r="K4" s="181" t="s">
        <v>1010</v>
      </c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6" spans="2:28" x14ac:dyDescent="0.3">
      <c r="J6" s="208" t="s">
        <v>916</v>
      </c>
      <c r="K6" s="208" t="s">
        <v>1279</v>
      </c>
      <c r="L6" s="209"/>
      <c r="M6" s="210" t="s">
        <v>168</v>
      </c>
      <c r="N6" s="211"/>
      <c r="O6" s="211"/>
      <c r="P6" s="211"/>
      <c r="Q6" s="211"/>
      <c r="R6" s="211"/>
      <c r="S6" s="211"/>
      <c r="T6" s="211"/>
      <c r="U6" s="211"/>
    </row>
    <row r="8" spans="2:28" x14ac:dyDescent="0.3">
      <c r="J8" s="212" t="s">
        <v>131</v>
      </c>
      <c r="K8" s="212" t="s">
        <v>131</v>
      </c>
      <c r="L8" s="296">
        <v>2006</v>
      </c>
      <c r="M8" s="296" t="s">
        <v>132</v>
      </c>
      <c r="N8" s="296" t="s">
        <v>133</v>
      </c>
      <c r="O8" s="296" t="s">
        <v>134</v>
      </c>
      <c r="P8" s="296" t="s">
        <v>135</v>
      </c>
      <c r="Q8" s="296" t="s">
        <v>136</v>
      </c>
      <c r="R8" s="296" t="s">
        <v>137</v>
      </c>
      <c r="S8" s="296" t="s">
        <v>138</v>
      </c>
      <c r="T8" s="296" t="s">
        <v>139</v>
      </c>
      <c r="U8" s="296" t="s">
        <v>140</v>
      </c>
      <c r="V8" s="296" t="s">
        <v>215</v>
      </c>
      <c r="W8" s="296" t="s">
        <v>216</v>
      </c>
      <c r="X8" s="296" t="s">
        <v>217</v>
      </c>
      <c r="Y8" s="296" t="s">
        <v>218</v>
      </c>
      <c r="Z8" s="296" t="s">
        <v>219</v>
      </c>
      <c r="AA8" s="296">
        <v>2021</v>
      </c>
      <c r="AB8" s="296">
        <v>2022</v>
      </c>
    </row>
    <row r="9" spans="2:28" x14ac:dyDescent="0.3">
      <c r="J9" s="209" t="s">
        <v>725</v>
      </c>
      <c r="K9" s="209" t="s">
        <v>1280</v>
      </c>
      <c r="L9" s="297">
        <v>46.6</v>
      </c>
      <c r="M9" s="298">
        <v>50.7</v>
      </c>
      <c r="N9" s="298">
        <v>46.6</v>
      </c>
      <c r="O9" s="298">
        <v>50.7</v>
      </c>
      <c r="P9" s="298">
        <v>50.6</v>
      </c>
      <c r="Q9" s="298">
        <v>49.2</v>
      </c>
      <c r="R9" s="298">
        <v>49.7</v>
      </c>
      <c r="S9" s="298">
        <v>49.8</v>
      </c>
      <c r="T9" s="298">
        <v>49.1</v>
      </c>
      <c r="U9" s="298">
        <v>48.3</v>
      </c>
      <c r="V9" s="298">
        <v>47.5</v>
      </c>
      <c r="W9" s="298">
        <v>47</v>
      </c>
      <c r="X9" s="298">
        <v>46.8</v>
      </c>
      <c r="Y9" s="298">
        <v>46.957678600000001</v>
      </c>
      <c r="Z9" s="298">
        <v>46.753266799999999</v>
      </c>
      <c r="AA9" s="298"/>
      <c r="AB9" s="579"/>
    </row>
    <row r="10" spans="2:28" x14ac:dyDescent="0.3">
      <c r="J10" s="209" t="s">
        <v>142</v>
      </c>
      <c r="K10" s="209" t="s">
        <v>142</v>
      </c>
      <c r="L10" s="300">
        <v>40.6</v>
      </c>
      <c r="M10" s="298">
        <v>44.2</v>
      </c>
      <c r="N10" s="298">
        <v>40.6</v>
      </c>
      <c r="O10" s="298">
        <v>44.2</v>
      </c>
      <c r="P10" s="298">
        <v>43.5</v>
      </c>
      <c r="Q10" s="298">
        <v>43</v>
      </c>
      <c r="R10" s="298">
        <v>44.5</v>
      </c>
      <c r="S10" s="298">
        <v>42.6</v>
      </c>
      <c r="T10" s="298">
        <v>42.4</v>
      </c>
      <c r="U10" s="298">
        <v>41.7</v>
      </c>
      <c r="V10" s="298">
        <v>39.5</v>
      </c>
      <c r="W10" s="298">
        <v>38.9</v>
      </c>
      <c r="X10" s="298">
        <v>40.6</v>
      </c>
      <c r="Y10" s="298">
        <v>41.667104500000001</v>
      </c>
      <c r="Z10" s="298">
        <v>41.9050692</v>
      </c>
      <c r="AA10" s="298"/>
      <c r="AB10" s="579"/>
    </row>
    <row r="11" spans="2:28" x14ac:dyDescent="0.3">
      <c r="J11" s="209" t="s">
        <v>164</v>
      </c>
      <c r="K11" s="209" t="s">
        <v>164</v>
      </c>
      <c r="L11" s="300">
        <v>48.7</v>
      </c>
      <c r="M11" s="298">
        <v>50.4</v>
      </c>
      <c r="N11" s="298">
        <v>48.7</v>
      </c>
      <c r="O11" s="298">
        <v>50.4</v>
      </c>
      <c r="P11" s="298">
        <v>49.3</v>
      </c>
      <c r="Q11" s="298">
        <v>49.5</v>
      </c>
      <c r="R11" s="298">
        <v>48.5</v>
      </c>
      <c r="S11" s="298">
        <v>49.4</v>
      </c>
      <c r="T11" s="298">
        <v>49.5</v>
      </c>
      <c r="U11" s="298">
        <v>50.1</v>
      </c>
      <c r="V11" s="298">
        <v>46.8</v>
      </c>
      <c r="W11" s="298">
        <v>46.9</v>
      </c>
      <c r="X11" s="298">
        <v>46.5</v>
      </c>
      <c r="Y11" s="298">
        <v>46.439416299999998</v>
      </c>
      <c r="Z11" s="298">
        <v>45.602711200000002</v>
      </c>
      <c r="AA11" s="298"/>
      <c r="AB11" s="579"/>
    </row>
    <row r="12" spans="2:28" x14ac:dyDescent="0.3">
      <c r="J12" s="209" t="s">
        <v>163</v>
      </c>
      <c r="K12" s="209" t="s">
        <v>163</v>
      </c>
      <c r="L12" s="300">
        <v>44.3</v>
      </c>
      <c r="M12" s="298">
        <v>45</v>
      </c>
      <c r="N12" s="298">
        <v>44.3</v>
      </c>
      <c r="O12" s="298">
        <v>45</v>
      </c>
      <c r="P12" s="298">
        <v>45.8</v>
      </c>
      <c r="Q12" s="298">
        <v>43.9</v>
      </c>
      <c r="R12" s="298">
        <v>42.9</v>
      </c>
      <c r="S12" s="298">
        <v>42.6</v>
      </c>
      <c r="T12" s="298">
        <v>42.4</v>
      </c>
      <c r="U12" s="298">
        <v>41.7</v>
      </c>
      <c r="V12" s="298">
        <v>41.1</v>
      </c>
      <c r="W12" s="298">
        <v>41.2</v>
      </c>
      <c r="X12" s="298">
        <v>41.5</v>
      </c>
      <c r="Y12" s="298">
        <v>42.636094100000001</v>
      </c>
      <c r="Z12" s="298">
        <v>42.605465700000003</v>
      </c>
      <c r="AA12" s="298"/>
      <c r="AB12" s="579"/>
    </row>
    <row r="13" spans="2:28" x14ac:dyDescent="0.3">
      <c r="J13" s="209" t="s">
        <v>165</v>
      </c>
      <c r="K13" s="209" t="s">
        <v>165</v>
      </c>
      <c r="L13" s="300">
        <v>36.883029661206599</v>
      </c>
      <c r="M13" s="298">
        <v>44.03452135242091</v>
      </c>
      <c r="N13" s="298">
        <v>36.883029661206599</v>
      </c>
      <c r="O13" s="298">
        <v>44.03452135242091</v>
      </c>
      <c r="P13" s="298">
        <v>41.825832401714806</v>
      </c>
      <c r="Q13" s="298">
        <v>40.480334402092097</v>
      </c>
      <c r="R13" s="298">
        <v>40.198618139377658</v>
      </c>
      <c r="S13" s="298">
        <v>41.337657283799054</v>
      </c>
      <c r="T13" s="298">
        <v>41.942340795440039</v>
      </c>
      <c r="U13" s="298">
        <v>44.739981462469849</v>
      </c>
      <c r="V13" s="298">
        <v>41.546452946695787</v>
      </c>
      <c r="W13" s="298">
        <v>40.35484220009927</v>
      </c>
      <c r="X13" s="298">
        <v>40.844416501512946</v>
      </c>
      <c r="Y13" s="298">
        <v>40.792027002359326</v>
      </c>
      <c r="Z13" s="298">
        <v>40.131832747628124</v>
      </c>
      <c r="AA13" s="298">
        <v>39.645589034933238</v>
      </c>
      <c r="AB13" s="579">
        <v>39.750262940882621</v>
      </c>
    </row>
    <row r="14" spans="2:28" x14ac:dyDescent="0.3">
      <c r="J14" s="209" t="s">
        <v>726</v>
      </c>
      <c r="K14" s="209" t="s">
        <v>1282</v>
      </c>
      <c r="L14" s="300">
        <v>36.883029661206599</v>
      </c>
      <c r="M14" s="298">
        <v>44.03452135242091</v>
      </c>
      <c r="N14" s="298">
        <v>36.883029661206599</v>
      </c>
      <c r="O14" s="298">
        <v>44.03452135242091</v>
      </c>
      <c r="P14" s="298">
        <v>41.825832401714806</v>
      </c>
      <c r="Q14" s="298">
        <v>40.480334402092097</v>
      </c>
      <c r="R14" s="298">
        <v>40.198618139377658</v>
      </c>
      <c r="S14" s="298">
        <v>41.337657283799054</v>
      </c>
      <c r="T14" s="298">
        <v>41.942340795440039</v>
      </c>
      <c r="U14" s="298">
        <v>44.739981462469849</v>
      </c>
      <c r="V14" s="298">
        <v>41.546452946695787</v>
      </c>
      <c r="W14" s="298">
        <v>40.35484220009927</v>
      </c>
      <c r="X14" s="298">
        <v>40.844416501512946</v>
      </c>
      <c r="Y14" s="298">
        <v>40.792027002359326</v>
      </c>
      <c r="Z14" s="298">
        <v>40.131832747628124</v>
      </c>
      <c r="AA14" s="298">
        <v>40.019635486125573</v>
      </c>
      <c r="AB14" s="579">
        <v>40.325852525448553</v>
      </c>
    </row>
    <row r="15" spans="2:28" x14ac:dyDescent="0.3">
      <c r="J15" s="209" t="s">
        <v>141</v>
      </c>
      <c r="K15" s="209" t="s">
        <v>141</v>
      </c>
      <c r="L15" s="297">
        <v>44.533333333333339</v>
      </c>
      <c r="M15" s="297">
        <v>46.533333333333331</v>
      </c>
      <c r="N15" s="298">
        <v>44.533333333333339</v>
      </c>
      <c r="O15" s="298">
        <v>46.533333333333331</v>
      </c>
      <c r="P15" s="298">
        <v>46.199999999999996</v>
      </c>
      <c r="Q15" s="298">
        <v>45.466666666666669</v>
      </c>
      <c r="R15" s="298">
        <v>45.300000000000004</v>
      </c>
      <c r="S15" s="298">
        <v>44.866666666666667</v>
      </c>
      <c r="T15" s="298">
        <v>44.766666666666673</v>
      </c>
      <c r="U15" s="298">
        <v>44.5</v>
      </c>
      <c r="V15" s="298">
        <v>42.466666666666669</v>
      </c>
      <c r="W15" s="298">
        <v>42.333333333333336</v>
      </c>
      <c r="X15" s="298">
        <v>42.866666666666667</v>
      </c>
      <c r="Y15" s="298">
        <v>43.580871633333338</v>
      </c>
      <c r="Z15" s="298">
        <v>43.37108203333333</v>
      </c>
      <c r="AA15" s="298"/>
      <c r="AB15" s="579"/>
    </row>
    <row r="16" spans="2:28" x14ac:dyDescent="0.3">
      <c r="J16" s="209" t="s">
        <v>169</v>
      </c>
      <c r="K16" s="209" t="s">
        <v>169</v>
      </c>
      <c r="L16" s="297">
        <f>L9</f>
        <v>46.6</v>
      </c>
      <c r="M16" s="297">
        <f>M9</f>
        <v>50.7</v>
      </c>
      <c r="N16" s="297">
        <v>46.6</v>
      </c>
      <c r="O16" s="297">
        <v>50.7</v>
      </c>
      <c r="P16" s="297">
        <v>50.6</v>
      </c>
      <c r="Q16" s="297">
        <v>49.2</v>
      </c>
      <c r="R16" s="297">
        <v>49.8</v>
      </c>
      <c r="S16" s="297">
        <v>49.8</v>
      </c>
      <c r="T16" s="297">
        <v>49.2</v>
      </c>
      <c r="U16" s="297">
        <v>48.3</v>
      </c>
      <c r="V16" s="297">
        <v>47.6</v>
      </c>
      <c r="W16" s="297">
        <v>47.1</v>
      </c>
      <c r="X16" s="297"/>
      <c r="Y16" s="297"/>
      <c r="Z16" s="297"/>
      <c r="AA16" s="297"/>
    </row>
    <row r="17" spans="2:28" x14ac:dyDescent="0.3">
      <c r="J17" s="213"/>
      <c r="K17" s="213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</row>
    <row r="18" spans="2:28" x14ac:dyDescent="0.3">
      <c r="J18" s="208" t="s">
        <v>917</v>
      </c>
      <c r="K18" s="208" t="s">
        <v>1277</v>
      </c>
      <c r="L18" s="209"/>
      <c r="M18" s="210" t="s">
        <v>84</v>
      </c>
      <c r="N18" s="214"/>
      <c r="O18" s="214"/>
      <c r="P18" s="214"/>
      <c r="Q18" s="214"/>
      <c r="R18" s="214"/>
      <c r="S18" s="214"/>
      <c r="T18" s="214"/>
      <c r="U18" s="214"/>
      <c r="V18" s="214"/>
      <c r="W18" s="213"/>
      <c r="X18" s="213"/>
      <c r="Y18" s="213"/>
      <c r="Z18" s="213"/>
    </row>
    <row r="19" spans="2:28" x14ac:dyDescent="0.3">
      <c r="B19" s="49" t="s">
        <v>915</v>
      </c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2:28" x14ac:dyDescent="0.3">
      <c r="J20" s="212" t="s">
        <v>131</v>
      </c>
      <c r="K20" s="212" t="s">
        <v>131</v>
      </c>
      <c r="L20" s="296" t="s">
        <v>167</v>
      </c>
      <c r="M20" s="296" t="s">
        <v>132</v>
      </c>
      <c r="N20" s="296" t="s">
        <v>133</v>
      </c>
      <c r="O20" s="296" t="s">
        <v>134</v>
      </c>
      <c r="P20" s="296" t="s">
        <v>135</v>
      </c>
      <c r="Q20" s="296" t="s">
        <v>136</v>
      </c>
      <c r="R20" s="296" t="s">
        <v>137</v>
      </c>
      <c r="S20" s="296" t="s">
        <v>138</v>
      </c>
      <c r="T20" s="296" t="s">
        <v>139</v>
      </c>
      <c r="U20" s="296" t="s">
        <v>140</v>
      </c>
      <c r="V20" s="296" t="s">
        <v>215</v>
      </c>
      <c r="W20" s="296" t="s">
        <v>216</v>
      </c>
      <c r="X20" s="296" t="s">
        <v>217</v>
      </c>
      <c r="Y20" s="296" t="s">
        <v>218</v>
      </c>
      <c r="Z20" s="296" t="s">
        <v>219</v>
      </c>
      <c r="AA20" s="296" t="s">
        <v>527</v>
      </c>
      <c r="AB20" s="296" t="s">
        <v>724</v>
      </c>
    </row>
    <row r="21" spans="2:28" x14ac:dyDescent="0.3">
      <c r="J21" s="209" t="s">
        <v>166</v>
      </c>
      <c r="K21" s="209" t="s">
        <v>166</v>
      </c>
      <c r="L21" s="298">
        <v>3.2</v>
      </c>
      <c r="M21" s="298">
        <v>3.2</v>
      </c>
      <c r="N21" s="298">
        <v>3.3</v>
      </c>
      <c r="O21" s="298">
        <v>3.6</v>
      </c>
      <c r="P21" s="298">
        <v>3.4</v>
      </c>
      <c r="Q21" s="298">
        <v>3.1</v>
      </c>
      <c r="R21" s="298">
        <v>2.9</v>
      </c>
      <c r="S21" s="298">
        <v>2.8</v>
      </c>
      <c r="T21" s="298">
        <v>2.7</v>
      </c>
      <c r="U21" s="298">
        <v>2.7</v>
      </c>
      <c r="V21" s="299">
        <v>2.6</v>
      </c>
      <c r="W21" s="297">
        <v>2.6</v>
      </c>
      <c r="X21" s="297">
        <v>2.7</v>
      </c>
      <c r="Y21" s="297">
        <v>2.7561765999999999</v>
      </c>
      <c r="Z21" s="297">
        <v>2.7947956</v>
      </c>
      <c r="AA21" s="319"/>
      <c r="AB21" s="319"/>
    </row>
    <row r="22" spans="2:28" x14ac:dyDescent="0.3">
      <c r="J22" s="209" t="s">
        <v>142</v>
      </c>
      <c r="K22" s="209" t="s">
        <v>142</v>
      </c>
      <c r="L22" s="298">
        <v>4.9000000000000004</v>
      </c>
      <c r="M22" s="298">
        <v>4.5999999999999996</v>
      </c>
      <c r="N22" s="298">
        <v>5.3</v>
      </c>
      <c r="O22" s="298">
        <v>6</v>
      </c>
      <c r="P22" s="298">
        <v>5.0999999999999996</v>
      </c>
      <c r="Q22" s="298">
        <v>4.5</v>
      </c>
      <c r="R22" s="298">
        <v>4.2</v>
      </c>
      <c r="S22" s="298">
        <v>3.7</v>
      </c>
      <c r="T22" s="298">
        <v>4.0999999999999996</v>
      </c>
      <c r="U22" s="298">
        <v>5.0999999999999996</v>
      </c>
      <c r="V22" s="299">
        <v>3.3</v>
      </c>
      <c r="W22" s="297">
        <v>3.4</v>
      </c>
      <c r="X22" s="297">
        <v>4.0999999999999996</v>
      </c>
      <c r="Y22" s="297">
        <v>4.2071994000000004</v>
      </c>
      <c r="Z22" s="297">
        <v>4.2814443000000004</v>
      </c>
      <c r="AA22" s="319"/>
      <c r="AB22" s="319"/>
    </row>
    <row r="23" spans="2:28" x14ac:dyDescent="0.3">
      <c r="J23" s="209" t="s">
        <v>164</v>
      </c>
      <c r="K23" s="209" t="s">
        <v>164</v>
      </c>
      <c r="L23" s="298">
        <v>5.2</v>
      </c>
      <c r="M23" s="298">
        <v>4.3</v>
      </c>
      <c r="N23" s="298">
        <v>3.2</v>
      </c>
      <c r="O23" s="298">
        <v>3.4</v>
      </c>
      <c r="P23" s="298">
        <v>3.7</v>
      </c>
      <c r="Q23" s="298">
        <v>3.3</v>
      </c>
      <c r="R23" s="298">
        <v>3.7</v>
      </c>
      <c r="S23" s="298">
        <v>4.4000000000000004</v>
      </c>
      <c r="T23" s="298">
        <v>5.3</v>
      </c>
      <c r="U23" s="298">
        <v>6.6</v>
      </c>
      <c r="V23" s="299">
        <v>3.1</v>
      </c>
      <c r="W23" s="297">
        <v>4.5999999999999996</v>
      </c>
      <c r="X23" s="297">
        <v>5.8</v>
      </c>
      <c r="Y23" s="297">
        <v>6.7255583999999997</v>
      </c>
      <c r="Z23" s="297">
        <v>6.2284544999999998</v>
      </c>
      <c r="AA23" s="319"/>
      <c r="AB23" s="319"/>
    </row>
    <row r="24" spans="2:28" x14ac:dyDescent="0.3">
      <c r="B24" s="209"/>
      <c r="C24" s="209"/>
      <c r="D24" s="209"/>
      <c r="J24" s="209" t="s">
        <v>163</v>
      </c>
      <c r="K24" s="209" t="s">
        <v>163</v>
      </c>
      <c r="L24" s="298">
        <v>4</v>
      </c>
      <c r="M24" s="298">
        <v>4.5</v>
      </c>
      <c r="N24" s="298">
        <v>4.8</v>
      </c>
      <c r="O24" s="298">
        <v>5</v>
      </c>
      <c r="P24" s="298">
        <v>5.6</v>
      </c>
      <c r="Q24" s="298">
        <v>5.9</v>
      </c>
      <c r="R24" s="298">
        <v>4.7</v>
      </c>
      <c r="S24" s="298">
        <v>4.0999999999999996</v>
      </c>
      <c r="T24" s="298">
        <v>4.7</v>
      </c>
      <c r="U24" s="298">
        <v>4.5</v>
      </c>
      <c r="V24" s="299">
        <v>3.3</v>
      </c>
      <c r="W24" s="297">
        <v>3.8</v>
      </c>
      <c r="X24" s="297">
        <v>4.7</v>
      </c>
      <c r="Y24" s="297">
        <v>4.7478255999999996</v>
      </c>
      <c r="Z24" s="297">
        <v>4.6146661</v>
      </c>
      <c r="AA24" s="319"/>
      <c r="AB24" s="319"/>
    </row>
    <row r="25" spans="2:28" x14ac:dyDescent="0.3">
      <c r="B25" s="209"/>
      <c r="C25" s="209"/>
      <c r="D25" s="209"/>
      <c r="J25" s="209" t="s">
        <v>165</v>
      </c>
      <c r="K25" s="209" t="s">
        <v>165</v>
      </c>
      <c r="L25" s="298">
        <v>3.8</v>
      </c>
      <c r="M25" s="298">
        <v>3.2</v>
      </c>
      <c r="N25" s="298">
        <v>3.3643767812042404</v>
      </c>
      <c r="O25" s="298">
        <v>3.8800840352037715</v>
      </c>
      <c r="P25" s="298">
        <v>3.5849342672173878</v>
      </c>
      <c r="Q25" s="298">
        <v>3.779796630138796</v>
      </c>
      <c r="R25" s="298">
        <v>3.3147581790179603</v>
      </c>
      <c r="S25" s="298">
        <v>3.3166365957726089</v>
      </c>
      <c r="T25" s="298">
        <v>3.9648233704176117</v>
      </c>
      <c r="U25" s="298">
        <v>6.2070672659881314</v>
      </c>
      <c r="V25" s="297">
        <v>3.2078269976254092</v>
      </c>
      <c r="W25" s="297">
        <v>3.1933999554290882</v>
      </c>
      <c r="X25" s="297">
        <v>3.5868697393912212</v>
      </c>
      <c r="Y25" s="297">
        <v>2.8783525140582014</v>
      </c>
      <c r="Z25" s="297">
        <v>1.895234297421728</v>
      </c>
      <c r="AA25" s="319">
        <v>2.0883857063563416</v>
      </c>
      <c r="AB25" s="319">
        <v>3.1629609242129839</v>
      </c>
    </row>
    <row r="26" spans="2:28" x14ac:dyDescent="0.3">
      <c r="J26" s="209" t="s">
        <v>141</v>
      </c>
      <c r="K26" s="209" t="s">
        <v>141</v>
      </c>
      <c r="L26" s="298">
        <f>AVERAGE(L22:L24)</f>
        <v>4.7</v>
      </c>
      <c r="M26" s="298">
        <f t="shared" ref="M26" si="0">AVERAGE(M22:M24)</f>
        <v>4.4666666666666659</v>
      </c>
      <c r="N26" s="298">
        <v>4.4333333333333336</v>
      </c>
      <c r="O26" s="298">
        <v>4.8</v>
      </c>
      <c r="P26" s="298">
        <v>4.8</v>
      </c>
      <c r="Q26" s="298">
        <v>4.5666666666666664</v>
      </c>
      <c r="R26" s="298">
        <v>4.2</v>
      </c>
      <c r="S26" s="298">
        <v>4.0666666666666673</v>
      </c>
      <c r="T26" s="298">
        <v>4.6999999999999993</v>
      </c>
      <c r="U26" s="298">
        <v>5.3999999999999995</v>
      </c>
      <c r="V26" s="298">
        <v>3.2333333333333329</v>
      </c>
      <c r="W26" s="297">
        <v>3.9333333333333336</v>
      </c>
      <c r="X26" s="297">
        <v>4.8666666666666663</v>
      </c>
      <c r="Y26" s="297">
        <v>5.2268611333333332</v>
      </c>
      <c r="Z26" s="297">
        <v>5.0415216333333328</v>
      </c>
      <c r="AA26" s="319"/>
      <c r="AB26" s="319"/>
    </row>
    <row r="27" spans="2:28" x14ac:dyDescent="0.3"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2:28" x14ac:dyDescent="0.3"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31" spans="2:28" x14ac:dyDescent="0.3">
      <c r="J31" s="49" t="s">
        <v>1281</v>
      </c>
      <c r="Q31" s="49" t="s">
        <v>1283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B2:AH55"/>
  <sheetViews>
    <sheetView showGridLines="0" zoomScaleNormal="100" workbookViewId="0"/>
  </sheetViews>
  <sheetFormatPr defaultColWidth="9.109375" defaultRowHeight="13.8" x14ac:dyDescent="0.3"/>
  <cols>
    <col min="1" max="1" width="9.109375" style="215"/>
    <col min="2" max="3" width="37.44140625" style="215" customWidth="1"/>
    <col min="4" max="4" width="9.109375" style="215"/>
    <col min="5" max="5" width="11.44140625" style="215" customWidth="1"/>
    <col min="6" max="6" width="13.33203125" style="215" bestFit="1" customWidth="1"/>
    <col min="7" max="7" width="13.33203125" style="215" customWidth="1"/>
    <col min="8" max="8" width="12.6640625" style="215" bestFit="1" customWidth="1"/>
    <col min="9" max="19" width="9.109375" style="215"/>
    <col min="20" max="20" width="29.44140625" style="216" customWidth="1"/>
    <col min="21" max="21" width="11.44140625" style="216" customWidth="1"/>
    <col min="22" max="22" width="12.33203125" style="216" customWidth="1"/>
    <col min="23" max="23" width="11.88671875" style="216" customWidth="1"/>
    <col min="24" max="24" width="12.44140625" style="216" customWidth="1"/>
    <col min="25" max="25" width="12.88671875" style="216" customWidth="1"/>
    <col min="26" max="26" width="5.33203125" style="216" customWidth="1"/>
    <col min="27" max="32" width="9.88671875" style="216" customWidth="1"/>
    <col min="33" max="33" width="14.109375" style="215" bestFit="1" customWidth="1"/>
    <col min="34" max="34" width="11.44140625" style="215" bestFit="1" customWidth="1"/>
    <col min="35" max="35" width="17.33203125" style="215" customWidth="1"/>
    <col min="36" max="36" width="13.44140625" style="215" customWidth="1"/>
    <col min="37" max="16384" width="9.109375" style="215"/>
  </cols>
  <sheetData>
    <row r="2" spans="2:33" x14ac:dyDescent="0.3">
      <c r="B2" s="6"/>
      <c r="C2" s="6"/>
    </row>
    <row r="3" spans="2:33" ht="16.5" customHeight="1" x14ac:dyDescent="0.3">
      <c r="B3" s="6"/>
      <c r="C3" s="6"/>
    </row>
    <row r="4" spans="2:33" ht="16.5" customHeight="1" x14ac:dyDescent="0.3">
      <c r="B4" s="49"/>
      <c r="C4" s="49"/>
      <c r="T4" s="549"/>
    </row>
    <row r="5" spans="2:33" ht="16.5" customHeight="1" x14ac:dyDescent="0.3">
      <c r="B5" s="611" t="s">
        <v>979</v>
      </c>
      <c r="T5" s="237"/>
      <c r="U5" s="235"/>
      <c r="V5" s="236"/>
      <c r="W5" s="236"/>
      <c r="X5" s="236"/>
      <c r="Y5" s="236"/>
      <c r="AA5" s="236"/>
      <c r="AB5" s="236"/>
      <c r="AC5" s="236"/>
      <c r="AD5" s="550"/>
      <c r="AE5" s="550"/>
      <c r="AF5" s="310"/>
    </row>
    <row r="6" spans="2:33" ht="16.5" customHeight="1" thickBot="1" x14ac:dyDescent="0.35">
      <c r="B6" s="754" t="s">
        <v>1296</v>
      </c>
      <c r="C6" s="754"/>
      <c r="D6" s="217"/>
      <c r="E6" s="218"/>
      <c r="F6" s="323"/>
      <c r="G6" s="218"/>
      <c r="H6" s="218"/>
      <c r="I6" s="218"/>
      <c r="J6" s="218"/>
      <c r="K6" s="218"/>
      <c r="L6" s="218"/>
      <c r="T6" s="238"/>
      <c r="U6" s="235"/>
      <c r="V6" s="236"/>
      <c r="W6" s="236"/>
      <c r="X6" s="236"/>
      <c r="Y6" s="236"/>
      <c r="Z6" s="230"/>
      <c r="AA6" s="236"/>
      <c r="AB6" s="236"/>
      <c r="AC6" s="236"/>
      <c r="AG6" s="6"/>
    </row>
    <row r="7" spans="2:33" s="565" customFormat="1" ht="33" customHeight="1" thickBot="1" x14ac:dyDescent="0.35">
      <c r="B7" s="561" t="s">
        <v>18</v>
      </c>
      <c r="C7" s="561"/>
      <c r="D7" s="219" t="s">
        <v>184</v>
      </c>
      <c r="E7" s="560" t="s">
        <v>718</v>
      </c>
      <c r="F7" s="552" t="s">
        <v>719</v>
      </c>
      <c r="G7" s="552" t="s">
        <v>720</v>
      </c>
      <c r="H7" s="562" t="s">
        <v>721</v>
      </c>
      <c r="I7" s="563" t="s">
        <v>716</v>
      </c>
      <c r="J7" s="553" t="s">
        <v>717</v>
      </c>
      <c r="K7" s="564"/>
      <c r="T7" s="220"/>
      <c r="U7" s="566"/>
      <c r="V7" s="566"/>
      <c r="W7" s="567"/>
      <c r="X7" s="566"/>
      <c r="Y7" s="568"/>
      <c r="Z7" s="566"/>
      <c r="AA7" s="566"/>
      <c r="AB7" s="566"/>
      <c r="AC7" s="566"/>
      <c r="AD7" s="566"/>
      <c r="AE7" s="566"/>
      <c r="AF7" s="566"/>
      <c r="AG7" s="569"/>
    </row>
    <row r="8" spans="2:33" ht="16.5" customHeight="1" thickBot="1" x14ac:dyDescent="0.35">
      <c r="B8" s="221"/>
      <c r="C8" s="221"/>
      <c r="D8" s="222"/>
      <c r="E8" s="554" t="s">
        <v>0</v>
      </c>
      <c r="F8" s="546" t="s">
        <v>0</v>
      </c>
      <c r="G8" s="546" t="s">
        <v>0</v>
      </c>
      <c r="H8" s="555" t="s">
        <v>0</v>
      </c>
      <c r="I8" s="555" t="s">
        <v>0</v>
      </c>
      <c r="J8" s="546" t="s">
        <v>0</v>
      </c>
      <c r="K8" s="234"/>
      <c r="AA8" s="231"/>
      <c r="AB8" s="231"/>
      <c r="AC8" s="231"/>
      <c r="AD8" s="231"/>
      <c r="AG8" s="6"/>
    </row>
    <row r="9" spans="2:33" ht="16.5" customHeight="1" x14ac:dyDescent="0.3">
      <c r="B9" s="223" t="s">
        <v>19</v>
      </c>
      <c r="C9" s="223" t="s">
        <v>1284</v>
      </c>
      <c r="D9" s="224">
        <v>1</v>
      </c>
      <c r="E9" s="556">
        <v>5.6</v>
      </c>
      <c r="F9" s="541">
        <v>5.0999999999999996</v>
      </c>
      <c r="G9" s="541">
        <v>5.0999999999999996</v>
      </c>
      <c r="H9" s="557">
        <v>4.8</v>
      </c>
      <c r="I9" s="557">
        <v>5.4</v>
      </c>
      <c r="J9" s="541">
        <v>6.1</v>
      </c>
      <c r="K9" s="234"/>
      <c r="T9" s="225"/>
      <c r="AA9" s="231"/>
      <c r="AB9" s="231"/>
      <c r="AC9" s="231"/>
      <c r="AD9" s="231"/>
      <c r="AG9" s="6"/>
    </row>
    <row r="10" spans="2:33" ht="16.5" customHeight="1" x14ac:dyDescent="0.3">
      <c r="B10" s="223" t="s">
        <v>20</v>
      </c>
      <c r="C10" s="223" t="s">
        <v>1285</v>
      </c>
      <c r="D10" s="224">
        <v>2</v>
      </c>
      <c r="E10" s="556">
        <v>1</v>
      </c>
      <c r="F10" s="541">
        <v>1.1000000000000001</v>
      </c>
      <c r="G10" s="541">
        <v>1.4</v>
      </c>
      <c r="H10" s="557">
        <v>2.2000000000000002</v>
      </c>
      <c r="I10" s="557">
        <v>1.2</v>
      </c>
      <c r="J10" s="541">
        <v>1.2</v>
      </c>
      <c r="K10" s="234"/>
      <c r="T10" s="239"/>
      <c r="U10" s="239"/>
      <c r="V10" s="892"/>
      <c r="W10" s="892"/>
      <c r="X10" s="892"/>
      <c r="Y10" s="892"/>
      <c r="AA10" s="231"/>
      <c r="AB10" s="231"/>
      <c r="AC10" s="231"/>
      <c r="AD10" s="231"/>
      <c r="AG10" s="6"/>
    </row>
    <row r="11" spans="2:33" ht="16.5" customHeight="1" x14ac:dyDescent="0.3">
      <c r="B11" s="223" t="s">
        <v>21</v>
      </c>
      <c r="C11" s="223" t="s">
        <v>1286</v>
      </c>
      <c r="D11" s="224">
        <v>3</v>
      </c>
      <c r="E11" s="556">
        <v>2.1</v>
      </c>
      <c r="F11" s="541">
        <v>2.2000000000000002</v>
      </c>
      <c r="G11" s="541">
        <v>2.1</v>
      </c>
      <c r="H11" s="557">
        <v>2</v>
      </c>
      <c r="I11" s="557">
        <v>2.1</v>
      </c>
      <c r="J11" s="541">
        <v>1.7</v>
      </c>
      <c r="K11" s="234"/>
      <c r="T11" s="239"/>
      <c r="U11" s="239"/>
      <c r="Y11" s="240"/>
      <c r="AG11" s="6"/>
    </row>
    <row r="12" spans="2:33" ht="16.5" customHeight="1" x14ac:dyDescent="0.3">
      <c r="B12" s="223" t="s">
        <v>22</v>
      </c>
      <c r="C12" s="223" t="s">
        <v>1287</v>
      </c>
      <c r="D12" s="224">
        <v>4</v>
      </c>
      <c r="E12" s="556">
        <v>4.0999999999999996</v>
      </c>
      <c r="F12" s="541">
        <v>3.5</v>
      </c>
      <c r="G12" s="541">
        <v>3.4</v>
      </c>
      <c r="H12" s="557">
        <v>3.7</v>
      </c>
      <c r="I12" s="557">
        <v>5.8</v>
      </c>
      <c r="J12" s="541">
        <v>4.2</v>
      </c>
      <c r="K12" s="234"/>
      <c r="T12" s="240"/>
      <c r="U12" s="239"/>
      <c r="V12" s="241"/>
      <c r="W12" s="242"/>
      <c r="X12" s="243"/>
      <c r="Y12" s="243"/>
      <c r="AG12" s="6"/>
    </row>
    <row r="13" spans="2:33" ht="16.5" customHeight="1" x14ac:dyDescent="0.3">
      <c r="B13" s="223" t="s">
        <v>23</v>
      </c>
      <c r="C13" s="223" t="s">
        <v>1288</v>
      </c>
      <c r="D13" s="224">
        <v>5</v>
      </c>
      <c r="E13" s="556">
        <v>0.7</v>
      </c>
      <c r="F13" s="541">
        <v>0.7</v>
      </c>
      <c r="G13" s="541">
        <v>0.7</v>
      </c>
      <c r="H13" s="557">
        <v>0.7</v>
      </c>
      <c r="I13" s="557">
        <v>0.5</v>
      </c>
      <c r="J13" s="541">
        <v>0.8</v>
      </c>
      <c r="K13" s="234"/>
      <c r="T13" s="240"/>
      <c r="U13" s="239"/>
      <c r="V13" s="241"/>
      <c r="W13" s="242"/>
      <c r="X13" s="243"/>
      <c r="Y13" s="243"/>
      <c r="AG13" s="6"/>
    </row>
    <row r="14" spans="2:33" ht="16.5" customHeight="1" x14ac:dyDescent="0.3">
      <c r="B14" s="223" t="s">
        <v>24</v>
      </c>
      <c r="C14" s="223" t="s">
        <v>1289</v>
      </c>
      <c r="D14" s="224">
        <v>6</v>
      </c>
      <c r="E14" s="556">
        <v>0.5</v>
      </c>
      <c r="F14" s="541">
        <v>0.4</v>
      </c>
      <c r="G14" s="541">
        <v>0.4</v>
      </c>
      <c r="H14" s="557">
        <v>0.4</v>
      </c>
      <c r="I14" s="557">
        <v>0.7</v>
      </c>
      <c r="J14" s="541">
        <v>0.6</v>
      </c>
      <c r="K14" s="234"/>
      <c r="T14" s="240"/>
      <c r="U14" s="239"/>
      <c r="V14" s="241"/>
      <c r="W14" s="242"/>
      <c r="X14" s="243"/>
      <c r="Y14" s="243"/>
      <c r="AG14" s="6"/>
    </row>
    <row r="15" spans="2:33" ht="16.5" customHeight="1" x14ac:dyDescent="0.3">
      <c r="B15" s="223" t="s">
        <v>25</v>
      </c>
      <c r="C15" s="223" t="s">
        <v>1290</v>
      </c>
      <c r="D15" s="224">
        <v>7</v>
      </c>
      <c r="E15" s="556">
        <v>7.1</v>
      </c>
      <c r="F15" s="541">
        <v>7.6</v>
      </c>
      <c r="G15" s="541">
        <v>7.6</v>
      </c>
      <c r="H15" s="557">
        <v>7.5</v>
      </c>
      <c r="I15" s="557">
        <v>5.7</v>
      </c>
      <c r="J15" s="541">
        <v>7.1</v>
      </c>
      <c r="K15" s="234"/>
      <c r="T15" s="240"/>
      <c r="U15" s="239"/>
      <c r="V15" s="241"/>
      <c r="W15" s="242"/>
      <c r="X15" s="243"/>
      <c r="Y15" s="243"/>
      <c r="AG15" s="6"/>
    </row>
    <row r="16" spans="2:33" ht="16.5" customHeight="1" x14ac:dyDescent="0.3">
      <c r="B16" s="223" t="s">
        <v>26</v>
      </c>
      <c r="C16" s="223" t="s">
        <v>1291</v>
      </c>
      <c r="D16" s="224">
        <v>8</v>
      </c>
      <c r="E16" s="556">
        <v>0.8</v>
      </c>
      <c r="F16" s="580">
        <v>1</v>
      </c>
      <c r="G16" s="580">
        <v>1</v>
      </c>
      <c r="H16" s="581">
        <v>1</v>
      </c>
      <c r="I16" s="581">
        <v>2</v>
      </c>
      <c r="J16" s="541">
        <v>1.1000000000000001</v>
      </c>
      <c r="K16" s="234"/>
      <c r="T16" s="240"/>
      <c r="U16" s="239"/>
      <c r="V16" s="241"/>
      <c r="W16" s="242"/>
      <c r="X16" s="243"/>
      <c r="Y16" s="243"/>
      <c r="AG16" s="6"/>
    </row>
    <row r="17" spans="2:33" ht="16.5" customHeight="1" x14ac:dyDescent="0.3">
      <c r="B17" s="223" t="s">
        <v>27</v>
      </c>
      <c r="C17" s="223" t="s">
        <v>1292</v>
      </c>
      <c r="D17" s="224">
        <v>9</v>
      </c>
      <c r="E17" s="556">
        <v>3.8</v>
      </c>
      <c r="F17" s="541">
        <v>4.3</v>
      </c>
      <c r="G17" s="541">
        <v>4.3</v>
      </c>
      <c r="H17" s="557">
        <v>4.3</v>
      </c>
      <c r="I17" s="557">
        <v>4.9000000000000004</v>
      </c>
      <c r="J17" s="541">
        <v>4.5</v>
      </c>
      <c r="K17" s="234"/>
      <c r="T17" s="240"/>
      <c r="U17" s="239"/>
      <c r="V17" s="241"/>
      <c r="W17" s="242"/>
      <c r="X17" s="243"/>
      <c r="Y17" s="243"/>
      <c r="AB17" s="231"/>
      <c r="AC17" s="231"/>
      <c r="AD17" s="231"/>
      <c r="AE17" s="231"/>
      <c r="AG17" s="6"/>
    </row>
    <row r="18" spans="2:33" ht="16.5" customHeight="1" thickBot="1" x14ac:dyDescent="0.35">
      <c r="B18" s="226" t="s">
        <v>28</v>
      </c>
      <c r="C18" s="226" t="s">
        <v>1293</v>
      </c>
      <c r="D18" s="222">
        <v>10</v>
      </c>
      <c r="E18" s="558">
        <v>14.5</v>
      </c>
      <c r="F18" s="542">
        <v>14.2</v>
      </c>
      <c r="G18" s="542">
        <v>13.9</v>
      </c>
      <c r="H18" s="559">
        <v>13.7</v>
      </c>
      <c r="I18" s="559">
        <v>14.1</v>
      </c>
      <c r="J18" s="542">
        <v>19.8</v>
      </c>
      <c r="K18" s="234"/>
      <c r="T18" s="240"/>
      <c r="U18" s="239"/>
      <c r="V18" s="241"/>
      <c r="W18" s="242"/>
      <c r="X18" s="243"/>
      <c r="Y18" s="243"/>
      <c r="AB18" s="231"/>
      <c r="AC18" s="231"/>
      <c r="AD18" s="231"/>
      <c r="AE18" s="231"/>
      <c r="AG18" s="6"/>
    </row>
    <row r="19" spans="2:33" ht="16.5" customHeight="1" thickBot="1" x14ac:dyDescent="0.35">
      <c r="B19" s="226" t="s">
        <v>715</v>
      </c>
      <c r="C19" s="226" t="s">
        <v>1295</v>
      </c>
      <c r="D19" s="576"/>
      <c r="E19" s="558"/>
      <c r="F19" s="542"/>
      <c r="G19" s="542">
        <v>-0.4</v>
      </c>
      <c r="H19" s="559">
        <v>-0.6</v>
      </c>
      <c r="I19" s="559"/>
      <c r="J19" s="542"/>
      <c r="K19" s="234"/>
      <c r="T19" s="240"/>
      <c r="U19" s="239"/>
      <c r="V19" s="241"/>
      <c r="W19" s="242"/>
      <c r="X19" s="243"/>
      <c r="Y19" s="243"/>
      <c r="AB19" s="231"/>
      <c r="AC19" s="231"/>
      <c r="AD19" s="231"/>
      <c r="AE19" s="231"/>
      <c r="AG19" s="6"/>
    </row>
    <row r="20" spans="2:33" ht="16.5" customHeight="1" thickBot="1" x14ac:dyDescent="0.35">
      <c r="B20" s="570" t="s">
        <v>29</v>
      </c>
      <c r="C20" s="570" t="s">
        <v>1147</v>
      </c>
      <c r="D20" s="571" t="s">
        <v>30</v>
      </c>
      <c r="E20" s="572">
        <v>40.200000000000003</v>
      </c>
      <c r="F20" s="546">
        <v>40.1</v>
      </c>
      <c r="G20" s="546">
        <v>39.6</v>
      </c>
      <c r="H20" s="555">
        <v>39.799999999999997</v>
      </c>
      <c r="I20" s="555">
        <v>47.2</v>
      </c>
      <c r="J20" s="577">
        <v>47</v>
      </c>
      <c r="L20" s="227"/>
      <c r="M20" s="227"/>
      <c r="T20" s="240"/>
      <c r="U20" s="239"/>
      <c r="V20" s="241"/>
      <c r="W20" s="242"/>
      <c r="X20" s="243"/>
      <c r="Y20" s="243"/>
      <c r="AB20" s="231"/>
      <c r="AC20" s="231"/>
      <c r="AD20" s="231"/>
      <c r="AE20" s="231"/>
      <c r="AG20" s="6"/>
    </row>
    <row r="21" spans="2:33" ht="16.5" customHeight="1" thickBot="1" x14ac:dyDescent="0.35">
      <c r="B21" s="573" t="s">
        <v>722</v>
      </c>
      <c r="C21" s="573" t="s">
        <v>1294</v>
      </c>
      <c r="D21" s="574" t="s">
        <v>30</v>
      </c>
      <c r="E21" s="575">
        <v>40.200000000000003</v>
      </c>
      <c r="F21" s="542">
        <v>40.1</v>
      </c>
      <c r="G21" s="578">
        <v>40</v>
      </c>
      <c r="H21" s="559">
        <v>40.299999999999997</v>
      </c>
      <c r="I21" s="559">
        <v>47.2</v>
      </c>
      <c r="J21" s="578">
        <v>47</v>
      </c>
      <c r="K21" s="228"/>
      <c r="T21" s="240"/>
      <c r="U21" s="239"/>
      <c r="V21" s="241"/>
      <c r="W21" s="242"/>
      <c r="X21" s="243"/>
      <c r="Y21" s="243"/>
      <c r="AB21" s="231"/>
      <c r="AC21" s="231"/>
      <c r="AD21" s="231"/>
      <c r="AE21" s="231"/>
    </row>
    <row r="22" spans="2:33" x14ac:dyDescent="0.3">
      <c r="B22" s="891" t="s">
        <v>723</v>
      </c>
      <c r="C22" s="891"/>
      <c r="D22" s="891"/>
      <c r="E22" s="891"/>
      <c r="F22" s="891"/>
      <c r="G22" s="891"/>
      <c r="H22" s="891"/>
      <c r="I22" s="891"/>
      <c r="J22" s="891"/>
      <c r="K22" s="228"/>
      <c r="T22" s="232"/>
      <c r="U22" s="534"/>
      <c r="V22" s="241"/>
      <c r="W22" s="242"/>
      <c r="X22" s="243"/>
      <c r="Y22" s="243"/>
      <c r="AB22" s="231"/>
      <c r="AC22" s="231"/>
      <c r="AD22" s="231"/>
      <c r="AE22" s="231"/>
    </row>
    <row r="23" spans="2:33" x14ac:dyDescent="0.3">
      <c r="B23" s="891"/>
      <c r="C23" s="891"/>
      <c r="D23" s="891"/>
      <c r="E23" s="891"/>
      <c r="F23" s="891"/>
      <c r="G23" s="891"/>
      <c r="H23" s="891"/>
      <c r="I23" s="891"/>
      <c r="J23" s="891"/>
      <c r="K23" s="228"/>
      <c r="AB23" s="231"/>
      <c r="AC23" s="231"/>
      <c r="AD23" s="231"/>
      <c r="AE23" s="231"/>
    </row>
    <row r="24" spans="2:33" x14ac:dyDescent="0.3">
      <c r="B24" s="891"/>
      <c r="C24" s="891"/>
      <c r="D24" s="891"/>
      <c r="E24" s="891"/>
      <c r="F24" s="891"/>
      <c r="G24" s="891"/>
      <c r="H24" s="891"/>
      <c r="I24" s="891"/>
      <c r="J24" s="891"/>
      <c r="T24" s="232"/>
      <c r="U24" s="233"/>
      <c r="W24" s="233"/>
      <c r="AB24" s="231"/>
      <c r="AC24" s="231"/>
      <c r="AD24" s="231"/>
      <c r="AE24" s="231"/>
    </row>
    <row r="25" spans="2:33" x14ac:dyDescent="0.3">
      <c r="B25" s="891"/>
      <c r="C25" s="891"/>
      <c r="D25" s="891"/>
      <c r="E25" s="891"/>
      <c r="F25" s="891"/>
      <c r="G25" s="891"/>
      <c r="H25" s="891"/>
      <c r="I25" s="891"/>
      <c r="J25" s="891"/>
      <c r="T25" s="549"/>
      <c r="U25" s="551"/>
      <c r="AB25" s="231"/>
      <c r="AC25" s="231"/>
      <c r="AD25" s="231"/>
      <c r="AE25" s="231"/>
    </row>
    <row r="26" spans="2:33" x14ac:dyDescent="0.3">
      <c r="B26" s="891"/>
      <c r="C26" s="891"/>
      <c r="D26" s="891"/>
      <c r="E26" s="891"/>
      <c r="F26" s="891"/>
      <c r="G26" s="891"/>
      <c r="H26" s="891"/>
      <c r="I26" s="891"/>
      <c r="J26" s="891"/>
      <c r="T26" s="244"/>
      <c r="U26" s="242"/>
      <c r="V26" s="245"/>
      <c r="AB26" s="231"/>
      <c r="AC26" s="231"/>
      <c r="AD26" s="231"/>
      <c r="AE26" s="231"/>
    </row>
    <row r="27" spans="2:33" x14ac:dyDescent="0.3">
      <c r="B27" s="891"/>
      <c r="C27" s="891"/>
      <c r="D27" s="891"/>
      <c r="E27" s="891"/>
      <c r="F27" s="891"/>
      <c r="G27" s="891"/>
      <c r="H27" s="891"/>
      <c r="I27" s="891"/>
      <c r="J27" s="891"/>
      <c r="T27" s="244"/>
      <c r="U27" s="242"/>
      <c r="V27" s="245"/>
    </row>
    <row r="28" spans="2:33" x14ac:dyDescent="0.3">
      <c r="B28" s="227" t="s">
        <v>183</v>
      </c>
      <c r="C28" s="227"/>
      <c r="T28" s="244"/>
      <c r="U28" s="242"/>
      <c r="V28" s="245"/>
    </row>
    <row r="29" spans="2:33" x14ac:dyDescent="0.3">
      <c r="T29" s="244"/>
      <c r="U29" s="242"/>
      <c r="V29" s="245"/>
    </row>
    <row r="30" spans="2:33" x14ac:dyDescent="0.3">
      <c r="T30" s="244"/>
      <c r="U30" s="242"/>
      <c r="V30" s="245"/>
    </row>
    <row r="31" spans="2:33" x14ac:dyDescent="0.3">
      <c r="T31" s="244"/>
      <c r="U31" s="242"/>
      <c r="V31" s="245"/>
    </row>
    <row r="32" spans="2:33" x14ac:dyDescent="0.3">
      <c r="T32" s="244"/>
      <c r="U32" s="242"/>
      <c r="V32" s="245"/>
    </row>
    <row r="33" spans="19:34" x14ac:dyDescent="0.3">
      <c r="T33" s="244"/>
      <c r="U33" s="242"/>
      <c r="V33" s="245"/>
    </row>
    <row r="34" spans="19:34" x14ac:dyDescent="0.3">
      <c r="T34" s="244"/>
      <c r="U34" s="242"/>
      <c r="V34" s="245"/>
    </row>
    <row r="35" spans="19:34" x14ac:dyDescent="0.3">
      <c r="T35" s="244"/>
      <c r="U35" s="242"/>
      <c r="V35" s="245"/>
    </row>
    <row r="36" spans="19:34" x14ac:dyDescent="0.3">
      <c r="T36" s="231"/>
      <c r="U36" s="231"/>
    </row>
    <row r="37" spans="19:34" x14ac:dyDescent="0.3">
      <c r="T37" s="231"/>
      <c r="U37" s="231"/>
    </row>
    <row r="38" spans="19:34" x14ac:dyDescent="0.3">
      <c r="T38" s="231"/>
      <c r="U38" s="231"/>
    </row>
    <row r="39" spans="19:34" x14ac:dyDescent="0.3">
      <c r="T39" s="231"/>
      <c r="U39" s="231"/>
    </row>
    <row r="40" spans="19:34" x14ac:dyDescent="0.3">
      <c r="T40" s="231"/>
      <c r="U40" s="231"/>
    </row>
    <row r="41" spans="19:34" x14ac:dyDescent="0.3">
      <c r="T41" s="231"/>
      <c r="U41" s="231"/>
    </row>
    <row r="45" spans="19:34" x14ac:dyDescent="0.3">
      <c r="S45" s="6"/>
      <c r="AG45" s="229"/>
      <c r="AH45" s="229"/>
    </row>
    <row r="46" spans="19:34" x14ac:dyDescent="0.3">
      <c r="S46" s="6"/>
    </row>
    <row r="47" spans="19:34" x14ac:dyDescent="0.3">
      <c r="S47" s="6"/>
    </row>
    <row r="48" spans="19:34" x14ac:dyDescent="0.3">
      <c r="S48" s="6"/>
    </row>
    <row r="49" spans="19:19" x14ac:dyDescent="0.3">
      <c r="S49" s="6"/>
    </row>
    <row r="50" spans="19:19" x14ac:dyDescent="0.3">
      <c r="S50" s="6"/>
    </row>
    <row r="51" spans="19:19" x14ac:dyDescent="0.3">
      <c r="S51" s="6"/>
    </row>
    <row r="52" spans="19:19" x14ac:dyDescent="0.3">
      <c r="S52" s="6"/>
    </row>
    <row r="53" spans="19:19" x14ac:dyDescent="0.3">
      <c r="S53" s="6"/>
    </row>
    <row r="54" spans="19:19" x14ac:dyDescent="0.3">
      <c r="S54" s="6"/>
    </row>
    <row r="55" spans="19:19" x14ac:dyDescent="0.3">
      <c r="S55" s="6"/>
    </row>
  </sheetData>
  <mergeCells count="3">
    <mergeCell ref="B22:J27"/>
    <mergeCell ref="X10:Y10"/>
    <mergeCell ref="V10:W10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B2:O41"/>
  <sheetViews>
    <sheetView showGridLines="0" zoomScaleNormal="100" workbookViewId="0">
      <selection activeCell="B23" sqref="B23:L23"/>
    </sheetView>
  </sheetViews>
  <sheetFormatPr defaultColWidth="9.109375" defaultRowHeight="15.75" customHeight="1" x14ac:dyDescent="0.3"/>
  <cols>
    <col min="1" max="1" width="9.109375" style="6"/>
    <col min="2" max="2" width="9.109375" style="6" customWidth="1"/>
    <col min="3" max="3" width="47.5546875" style="6" customWidth="1"/>
    <col min="4" max="8" width="9.109375" style="6"/>
    <col min="9" max="12" width="9.109375" style="6" customWidth="1"/>
    <col min="13" max="16384" width="9.109375" style="6"/>
  </cols>
  <sheetData>
    <row r="2" spans="2:15" ht="13.8" x14ac:dyDescent="0.3"/>
    <row r="3" spans="2:15" ht="13.8" x14ac:dyDescent="0.3"/>
    <row r="4" spans="2:15" ht="14.4" thickBot="1" x14ac:dyDescent="0.35">
      <c r="B4" s="897" t="s">
        <v>918</v>
      </c>
      <c r="C4" s="897"/>
      <c r="D4" s="897"/>
      <c r="E4" s="897"/>
      <c r="F4" s="897"/>
      <c r="G4" s="897"/>
      <c r="H4" s="897"/>
      <c r="I4" s="897"/>
      <c r="J4" s="897"/>
      <c r="K4" s="897"/>
      <c r="L4" s="897"/>
      <c r="O4" s="179"/>
    </row>
    <row r="5" spans="2:15" ht="16.5" customHeight="1" thickBot="1" x14ac:dyDescent="0.35">
      <c r="B5" s="251" t="s">
        <v>61</v>
      </c>
      <c r="C5" s="251" t="s">
        <v>7</v>
      </c>
      <c r="D5" s="252"/>
      <c r="E5" s="893" t="s">
        <v>62</v>
      </c>
      <c r="F5" s="894"/>
      <c r="G5" s="894"/>
      <c r="H5" s="895"/>
      <c r="I5" s="896" t="s">
        <v>63</v>
      </c>
      <c r="J5" s="894"/>
      <c r="K5" s="894"/>
      <c r="L5" s="894"/>
    </row>
    <row r="6" spans="2:15" ht="16.5" customHeight="1" thickBot="1" x14ac:dyDescent="0.35">
      <c r="B6" s="4"/>
      <c r="C6" s="4"/>
      <c r="D6" s="325" t="s">
        <v>64</v>
      </c>
      <c r="E6" s="324">
        <v>2019</v>
      </c>
      <c r="F6" s="325">
        <v>2020</v>
      </c>
      <c r="G6" s="325">
        <v>2021</v>
      </c>
      <c r="H6" s="254">
        <v>2022</v>
      </c>
      <c r="I6" s="112">
        <v>2019</v>
      </c>
      <c r="J6" s="112">
        <v>2020</v>
      </c>
      <c r="K6" s="112">
        <v>2021</v>
      </c>
      <c r="L6" s="112">
        <v>2022</v>
      </c>
    </row>
    <row r="7" spans="2:15" ht="16.5" customHeight="1" x14ac:dyDescent="0.3">
      <c r="B7" s="131">
        <v>1</v>
      </c>
      <c r="C7" s="24" t="s">
        <v>65</v>
      </c>
      <c r="D7" s="131" t="s">
        <v>66</v>
      </c>
      <c r="E7" s="316">
        <v>96.700664443958516</v>
      </c>
      <c r="F7" s="133">
        <v>102.68406277117309</v>
      </c>
      <c r="G7" s="133">
        <v>108.48447255667412</v>
      </c>
      <c r="H7" s="315">
        <v>113.84785241269773</v>
      </c>
      <c r="I7" s="133">
        <v>94.087398495250497</v>
      </c>
      <c r="J7" s="133">
        <v>98.04270651537955</v>
      </c>
      <c r="K7" s="133">
        <v>102.94496813766088</v>
      </c>
      <c r="L7" s="133">
        <v>108.23962363214659</v>
      </c>
    </row>
    <row r="8" spans="2:15" ht="16.5" customHeight="1" x14ac:dyDescent="0.3">
      <c r="B8" s="131">
        <v>2</v>
      </c>
      <c r="C8" s="24" t="s">
        <v>67</v>
      </c>
      <c r="D8" s="131" t="s">
        <v>10</v>
      </c>
      <c r="E8" s="316">
        <v>4.0348430234782295</v>
      </c>
      <c r="F8" s="133">
        <v>3.6951605120379538</v>
      </c>
      <c r="G8" s="133">
        <v>3.1895849439412149</v>
      </c>
      <c r="H8" s="315">
        <v>2.5035667464808453</v>
      </c>
      <c r="I8" s="133">
        <v>2.4392674584721163</v>
      </c>
      <c r="J8" s="133">
        <v>2.259557831390957</v>
      </c>
      <c r="K8" s="133">
        <v>2.7617960700955679</v>
      </c>
      <c r="L8" s="133">
        <v>2.7064739038668462</v>
      </c>
    </row>
    <row r="9" spans="2:15" ht="16.5" customHeight="1" x14ac:dyDescent="0.3">
      <c r="B9" s="131">
        <v>3</v>
      </c>
      <c r="C9" s="28" t="s">
        <v>68</v>
      </c>
      <c r="D9" s="131" t="s">
        <v>10</v>
      </c>
      <c r="E9" s="316">
        <v>3.3389404656887889</v>
      </c>
      <c r="F9" s="133">
        <v>2.8587960308185334</v>
      </c>
      <c r="G9" s="133">
        <v>2.2419282497661897</v>
      </c>
      <c r="H9" s="315">
        <v>1.6906423744359023</v>
      </c>
      <c r="I9" s="255">
        <v>1.6894542228597098</v>
      </c>
      <c r="J9" s="256">
        <v>2.1111794526583516</v>
      </c>
      <c r="K9" s="256">
        <v>2.5198432392619319</v>
      </c>
      <c r="L9" s="256">
        <v>2.0957933358433101</v>
      </c>
    </row>
    <row r="10" spans="2:15" ht="16.5" customHeight="1" x14ac:dyDescent="0.3">
      <c r="B10" s="131">
        <v>4</v>
      </c>
      <c r="C10" s="28" t="s">
        <v>69</v>
      </c>
      <c r="D10" s="131" t="s">
        <v>10</v>
      </c>
      <c r="E10" s="316">
        <v>1.750231768661159</v>
      </c>
      <c r="F10" s="133">
        <v>1.7269459203214321</v>
      </c>
      <c r="G10" s="133">
        <v>1.0159853541405806</v>
      </c>
      <c r="H10" s="315">
        <v>1.2445069083598437</v>
      </c>
      <c r="I10" s="255">
        <v>3.0969091498085133</v>
      </c>
      <c r="J10" s="256">
        <v>1.0995792832004359</v>
      </c>
      <c r="K10" s="256">
        <v>1.2627810619642466</v>
      </c>
      <c r="L10" s="256">
        <v>1.6981496373696059</v>
      </c>
    </row>
    <row r="11" spans="2:15" ht="16.5" customHeight="1" x14ac:dyDescent="0.3">
      <c r="B11" s="131">
        <v>5</v>
      </c>
      <c r="C11" s="28" t="s">
        <v>70</v>
      </c>
      <c r="D11" s="131" t="s">
        <v>10</v>
      </c>
      <c r="E11" s="316">
        <v>1.9323134853927781</v>
      </c>
      <c r="F11" s="133">
        <v>2.9321510627162484</v>
      </c>
      <c r="G11" s="133">
        <v>3.0747478056270205</v>
      </c>
      <c r="H11" s="315">
        <v>3.5561441915044067</v>
      </c>
      <c r="I11" s="255">
        <v>1.9061886091405134</v>
      </c>
      <c r="J11" s="256">
        <v>3.6269152691642326</v>
      </c>
      <c r="K11" s="256">
        <v>3.3194405465788446</v>
      </c>
      <c r="L11" s="256">
        <v>3.7821603745081145</v>
      </c>
    </row>
    <row r="12" spans="2:15" ht="16.5" customHeight="1" x14ac:dyDescent="0.3">
      <c r="B12" s="131">
        <v>6</v>
      </c>
      <c r="C12" s="28" t="s">
        <v>71</v>
      </c>
      <c r="D12" s="131" t="s">
        <v>10</v>
      </c>
      <c r="E12" s="316">
        <v>6.8665563499740623</v>
      </c>
      <c r="F12" s="133">
        <v>6.0828149837276246</v>
      </c>
      <c r="G12" s="133">
        <v>5.2050727138824193</v>
      </c>
      <c r="H12" s="315">
        <v>4.0915409212030296</v>
      </c>
      <c r="I12" s="255">
        <v>2.7857415455792012</v>
      </c>
      <c r="J12" s="256">
        <v>5.3154818982999563</v>
      </c>
      <c r="K12" s="256">
        <v>4.6149411212360381</v>
      </c>
      <c r="L12" s="256">
        <v>4.1601034448807139</v>
      </c>
    </row>
    <row r="13" spans="2:15" ht="16.5" customHeight="1" x14ac:dyDescent="0.3">
      <c r="B13" s="131">
        <v>7</v>
      </c>
      <c r="C13" s="28" t="s">
        <v>72</v>
      </c>
      <c r="D13" s="131" t="s">
        <v>10</v>
      </c>
      <c r="E13" s="316">
        <v>5.8513898884214433</v>
      </c>
      <c r="F13" s="133">
        <v>5.2795677859140744</v>
      </c>
      <c r="G13" s="133">
        <v>4.4681553903281879</v>
      </c>
      <c r="H13" s="315">
        <v>3.8263497656764622</v>
      </c>
      <c r="I13" s="255">
        <v>3.183530668957979</v>
      </c>
      <c r="J13" s="256">
        <v>4.1090703800110706</v>
      </c>
      <c r="K13" s="256">
        <v>3.8312441304994671</v>
      </c>
      <c r="L13" s="256">
        <v>3.8024767067687648</v>
      </c>
    </row>
    <row r="14" spans="2:15" ht="16.5" customHeight="1" x14ac:dyDescent="0.3">
      <c r="B14" s="131">
        <v>8</v>
      </c>
      <c r="C14" s="24" t="s">
        <v>204</v>
      </c>
      <c r="D14" s="131" t="s">
        <v>10</v>
      </c>
      <c r="E14" s="316">
        <v>1.1342928526310221</v>
      </c>
      <c r="F14" s="133">
        <v>1.095861562500706</v>
      </c>
      <c r="G14" s="133">
        <v>0.93070615873430929</v>
      </c>
      <c r="H14" s="315">
        <v>0.55226717149458548</v>
      </c>
      <c r="I14" s="255">
        <v>0.55103860292062823</v>
      </c>
      <c r="J14" s="256">
        <v>3.4995192323838964E-2</v>
      </c>
      <c r="K14" s="256">
        <v>0.22855949884010851</v>
      </c>
      <c r="L14" s="256">
        <v>0.44720360876258081</v>
      </c>
    </row>
    <row r="15" spans="2:15" ht="16.5" customHeight="1" x14ac:dyDescent="0.3">
      <c r="B15" s="131">
        <v>9</v>
      </c>
      <c r="C15" s="24" t="s">
        <v>200</v>
      </c>
      <c r="D15" s="131" t="s">
        <v>10</v>
      </c>
      <c r="E15" s="316">
        <v>6.7061143984220806</v>
      </c>
      <c r="F15" s="133">
        <v>6.2846580406654251</v>
      </c>
      <c r="G15" s="133">
        <v>5.3043478260869525</v>
      </c>
      <c r="H15" s="315">
        <v>4.4591246903385562</v>
      </c>
      <c r="I15" s="255">
        <v>7.4037512339585332</v>
      </c>
      <c r="J15" s="256">
        <v>4.6875</v>
      </c>
      <c r="K15" s="256">
        <v>5.0921861281826075</v>
      </c>
      <c r="L15" s="256">
        <v>4.7619047619047672</v>
      </c>
    </row>
    <row r="16" spans="2:15" ht="16.5" customHeight="1" x14ac:dyDescent="0.3">
      <c r="B16" s="131">
        <v>10</v>
      </c>
      <c r="C16" s="24" t="s">
        <v>73</v>
      </c>
      <c r="D16" s="131" t="s">
        <v>10</v>
      </c>
      <c r="E16" s="316">
        <v>0.5604129964852822</v>
      </c>
      <c r="F16" s="133">
        <v>0.41446835088079226</v>
      </c>
      <c r="G16" s="133">
        <v>0.22770373243086173</v>
      </c>
      <c r="H16" s="315">
        <v>0.17245508973466883</v>
      </c>
      <c r="I16" s="255">
        <v>0.62246826159828572</v>
      </c>
      <c r="J16" s="256">
        <v>5.008999380125001E-2</v>
      </c>
      <c r="K16" s="256">
        <v>4.6302868910741424E-2</v>
      </c>
      <c r="L16" s="256">
        <v>-8.6005875808781163E-2</v>
      </c>
    </row>
    <row r="17" spans="2:12" ht="16.5" customHeight="1" x14ac:dyDescent="0.3">
      <c r="B17" s="131">
        <v>11</v>
      </c>
      <c r="C17" s="28" t="s">
        <v>74</v>
      </c>
      <c r="D17" s="131" t="s">
        <v>10</v>
      </c>
      <c r="E17" s="316">
        <v>1.1496590724229261</v>
      </c>
      <c r="F17" s="133">
        <v>0.78827075740406372</v>
      </c>
      <c r="G17" s="133">
        <v>0.58460744318742375</v>
      </c>
      <c r="H17" s="315">
        <v>0.52583700833384039</v>
      </c>
      <c r="I17" s="255">
        <v>1.2265647712876415</v>
      </c>
      <c r="J17" s="256">
        <v>0.22608272222257586</v>
      </c>
      <c r="K17" s="256">
        <v>0.29606186008177549</v>
      </c>
      <c r="L17" s="256">
        <v>0.24022121976967625</v>
      </c>
    </row>
    <row r="18" spans="2:12" ht="16.5" customHeight="1" x14ac:dyDescent="0.3">
      <c r="B18" s="131">
        <v>12</v>
      </c>
      <c r="C18" s="28" t="s">
        <v>75</v>
      </c>
      <c r="D18" s="131" t="s">
        <v>10</v>
      </c>
      <c r="E18" s="316">
        <v>6.0272951957584233</v>
      </c>
      <c r="F18" s="133">
        <v>5.6448852577347362</v>
      </c>
      <c r="G18" s="133">
        <v>5.4536772943999479</v>
      </c>
      <c r="H18" s="315">
        <v>5.328506768821498</v>
      </c>
      <c r="I18" s="255">
        <v>5.7997315397281968</v>
      </c>
      <c r="J18" s="256">
        <v>5.8473549675285579</v>
      </c>
      <c r="K18" s="256">
        <v>5.7886503274996377</v>
      </c>
      <c r="L18" s="256">
        <v>5.6785345993874401</v>
      </c>
    </row>
    <row r="19" spans="2:12" ht="16.5" customHeight="1" x14ac:dyDescent="0.3">
      <c r="B19" s="131">
        <v>13</v>
      </c>
      <c r="C19" s="28" t="s">
        <v>76</v>
      </c>
      <c r="D19" s="131" t="s">
        <v>10</v>
      </c>
      <c r="E19" s="316">
        <v>4.7904570527059303</v>
      </c>
      <c r="F19" s="133">
        <v>4.5059595452965926</v>
      </c>
      <c r="G19" s="133">
        <v>4.3537100080140148</v>
      </c>
      <c r="H19" s="315">
        <v>4.2540115120485371</v>
      </c>
      <c r="I19" s="255">
        <v>4.9796098600704015</v>
      </c>
      <c r="J19" s="256">
        <v>5.0234311731706542</v>
      </c>
      <c r="K19" s="256">
        <v>4.9700875230705339</v>
      </c>
      <c r="L19" s="256">
        <v>4.8660187435233659</v>
      </c>
    </row>
    <row r="20" spans="2:12" ht="16.5" customHeight="1" x14ac:dyDescent="0.3">
      <c r="B20" s="131">
        <v>14</v>
      </c>
      <c r="C20" s="28" t="s">
        <v>77</v>
      </c>
      <c r="D20" s="131" t="s">
        <v>10</v>
      </c>
      <c r="E20" s="316">
        <v>2.6141411594529984</v>
      </c>
      <c r="F20" s="133">
        <v>2.3894692802407302</v>
      </c>
      <c r="G20" s="133">
        <v>2.3837759581174289</v>
      </c>
      <c r="H20" s="315">
        <v>2.3896291797943281</v>
      </c>
      <c r="I20" s="255">
        <v>2.522256089204955</v>
      </c>
      <c r="J20" s="256">
        <v>2.088177507731892</v>
      </c>
      <c r="K20" s="256">
        <v>2.1541128543698607</v>
      </c>
      <c r="L20" s="256">
        <v>2.3329286244516245</v>
      </c>
    </row>
    <row r="21" spans="2:12" ht="15.75" customHeight="1" thickBot="1" x14ac:dyDescent="0.35">
      <c r="B21" s="134">
        <v>15</v>
      </c>
      <c r="C21" s="253" t="s">
        <v>78</v>
      </c>
      <c r="D21" s="134" t="s">
        <v>10</v>
      </c>
      <c r="E21" s="317">
        <v>-1.9509461560521444</v>
      </c>
      <c r="F21" s="2">
        <v>-1.4644875704080791</v>
      </c>
      <c r="G21" s="2">
        <v>-1.0547547994945476</v>
      </c>
      <c r="H21" s="318">
        <v>-1.030844288117992</v>
      </c>
      <c r="I21" s="2">
        <v>-3.180147189260035</v>
      </c>
      <c r="J21" s="3">
        <v>-2.1988189692481299</v>
      </c>
      <c r="K21" s="3">
        <v>-1.4667223523418194</v>
      </c>
      <c r="L21" s="3">
        <v>-1.3439486312967657</v>
      </c>
    </row>
    <row r="22" spans="2:12" ht="15.75" customHeight="1" x14ac:dyDescent="0.3">
      <c r="B22" s="898"/>
      <c r="C22" s="898"/>
      <c r="D22" s="898"/>
      <c r="E22" s="252"/>
      <c r="J22" s="899" t="s">
        <v>3</v>
      </c>
      <c r="K22" s="899"/>
      <c r="L22" s="899"/>
    </row>
    <row r="23" spans="2:12" ht="15.75" customHeight="1" thickBot="1" x14ac:dyDescent="0.35">
      <c r="B23" s="897" t="s">
        <v>1317</v>
      </c>
      <c r="C23" s="897"/>
      <c r="D23" s="897"/>
      <c r="E23" s="897"/>
      <c r="F23" s="897"/>
      <c r="G23" s="897"/>
      <c r="H23" s="897"/>
      <c r="I23" s="897"/>
      <c r="J23" s="897"/>
      <c r="K23" s="897"/>
      <c r="L23" s="897"/>
    </row>
    <row r="24" spans="2:12" ht="15.75" customHeight="1" thickBot="1" x14ac:dyDescent="0.35">
      <c r="B24" s="251" t="s">
        <v>1297</v>
      </c>
      <c r="C24" s="251" t="s">
        <v>1298</v>
      </c>
      <c r="D24" s="785"/>
      <c r="E24" s="893" t="s">
        <v>1299</v>
      </c>
      <c r="F24" s="894"/>
      <c r="G24" s="894"/>
      <c r="H24" s="895"/>
      <c r="I24" s="896" t="s">
        <v>1300</v>
      </c>
      <c r="J24" s="894"/>
      <c r="K24" s="894"/>
      <c r="L24" s="894"/>
    </row>
    <row r="25" spans="2:12" ht="15.75" customHeight="1" thickBot="1" x14ac:dyDescent="0.35">
      <c r="B25" s="4"/>
      <c r="C25" s="4"/>
      <c r="D25" s="747" t="s">
        <v>1301</v>
      </c>
      <c r="E25" s="746">
        <f>E6</f>
        <v>2019</v>
      </c>
      <c r="F25" s="747">
        <f t="shared" ref="F25:L25" si="0">F6</f>
        <v>2020</v>
      </c>
      <c r="G25" s="747">
        <f t="shared" si="0"/>
        <v>2021</v>
      </c>
      <c r="H25" s="254">
        <f t="shared" si="0"/>
        <v>2022</v>
      </c>
      <c r="I25" s="750">
        <f t="shared" si="0"/>
        <v>2019</v>
      </c>
      <c r="J25" s="750">
        <f t="shared" si="0"/>
        <v>2020</v>
      </c>
      <c r="K25" s="750">
        <f t="shared" si="0"/>
        <v>2021</v>
      </c>
      <c r="L25" s="750">
        <f t="shared" si="0"/>
        <v>2022</v>
      </c>
    </row>
    <row r="26" spans="2:12" ht="15.75" customHeight="1" x14ac:dyDescent="0.3">
      <c r="B26" s="131">
        <v>1</v>
      </c>
      <c r="C26" s="745" t="s">
        <v>1302</v>
      </c>
      <c r="D26" s="131" t="s">
        <v>1303</v>
      </c>
      <c r="E26" s="316">
        <f t="shared" ref="E26:L26" si="1">E7</f>
        <v>96.700664443958516</v>
      </c>
      <c r="F26" s="133">
        <f t="shared" si="1"/>
        <v>102.68406277117309</v>
      </c>
      <c r="G26" s="133">
        <f t="shared" si="1"/>
        <v>108.48447255667412</v>
      </c>
      <c r="H26" s="315">
        <f t="shared" si="1"/>
        <v>113.84785241269773</v>
      </c>
      <c r="I26" s="133">
        <f t="shared" si="1"/>
        <v>94.087398495250497</v>
      </c>
      <c r="J26" s="133">
        <f t="shared" si="1"/>
        <v>98.04270651537955</v>
      </c>
      <c r="K26" s="133">
        <f t="shared" si="1"/>
        <v>102.94496813766088</v>
      </c>
      <c r="L26" s="133">
        <f t="shared" si="1"/>
        <v>108.23962363214659</v>
      </c>
    </row>
    <row r="27" spans="2:12" ht="15.75" customHeight="1" x14ac:dyDescent="0.3">
      <c r="B27" s="131">
        <v>2</v>
      </c>
      <c r="C27" s="745" t="s">
        <v>1304</v>
      </c>
      <c r="D27" s="131" t="s">
        <v>10</v>
      </c>
      <c r="E27" s="316">
        <f t="shared" ref="E27:L27" si="2">E8</f>
        <v>4.0348430234782295</v>
      </c>
      <c r="F27" s="133">
        <f t="shared" si="2"/>
        <v>3.6951605120379538</v>
      </c>
      <c r="G27" s="133">
        <f t="shared" si="2"/>
        <v>3.1895849439412149</v>
      </c>
      <c r="H27" s="315">
        <f t="shared" si="2"/>
        <v>2.5035667464808453</v>
      </c>
      <c r="I27" s="133">
        <f t="shared" si="2"/>
        <v>2.4392674584721163</v>
      </c>
      <c r="J27" s="133">
        <f t="shared" si="2"/>
        <v>2.259557831390957</v>
      </c>
      <c r="K27" s="133">
        <f t="shared" si="2"/>
        <v>2.7617960700955679</v>
      </c>
      <c r="L27" s="133">
        <f t="shared" si="2"/>
        <v>2.7064739038668462</v>
      </c>
    </row>
    <row r="28" spans="2:12" ht="15.75" customHeight="1" x14ac:dyDescent="0.3">
      <c r="B28" s="131">
        <v>3</v>
      </c>
      <c r="C28" s="745" t="s">
        <v>1305</v>
      </c>
      <c r="D28" s="131" t="s">
        <v>10</v>
      </c>
      <c r="E28" s="316">
        <f t="shared" ref="E28:L28" si="3">E9</f>
        <v>3.3389404656887889</v>
      </c>
      <c r="F28" s="133">
        <f t="shared" si="3"/>
        <v>2.8587960308185334</v>
      </c>
      <c r="G28" s="133">
        <f t="shared" si="3"/>
        <v>2.2419282497661897</v>
      </c>
      <c r="H28" s="315">
        <f t="shared" si="3"/>
        <v>1.6906423744359023</v>
      </c>
      <c r="I28" s="255">
        <f t="shared" si="3"/>
        <v>1.6894542228597098</v>
      </c>
      <c r="J28" s="256">
        <f t="shared" si="3"/>
        <v>2.1111794526583516</v>
      </c>
      <c r="K28" s="256">
        <f t="shared" si="3"/>
        <v>2.5198432392619319</v>
      </c>
      <c r="L28" s="256">
        <f t="shared" si="3"/>
        <v>2.0957933358433101</v>
      </c>
    </row>
    <row r="29" spans="2:12" ht="15.75" customHeight="1" x14ac:dyDescent="0.3">
      <c r="B29" s="131">
        <v>4</v>
      </c>
      <c r="C29" s="745" t="s">
        <v>1306</v>
      </c>
      <c r="D29" s="131" t="s">
        <v>10</v>
      </c>
      <c r="E29" s="316">
        <f t="shared" ref="E29:L29" si="4">E10</f>
        <v>1.750231768661159</v>
      </c>
      <c r="F29" s="133">
        <f t="shared" si="4"/>
        <v>1.7269459203214321</v>
      </c>
      <c r="G29" s="133">
        <f t="shared" si="4"/>
        <v>1.0159853541405806</v>
      </c>
      <c r="H29" s="315">
        <f t="shared" si="4"/>
        <v>1.2445069083598437</v>
      </c>
      <c r="I29" s="255">
        <f t="shared" si="4"/>
        <v>3.0969091498085133</v>
      </c>
      <c r="J29" s="256">
        <f t="shared" si="4"/>
        <v>1.0995792832004359</v>
      </c>
      <c r="K29" s="256">
        <f t="shared" si="4"/>
        <v>1.2627810619642466</v>
      </c>
      <c r="L29" s="256">
        <f t="shared" si="4"/>
        <v>1.6981496373696059</v>
      </c>
    </row>
    <row r="30" spans="2:12" ht="15.75" customHeight="1" x14ac:dyDescent="0.3">
      <c r="B30" s="131">
        <v>5</v>
      </c>
      <c r="C30" s="745" t="s">
        <v>84</v>
      </c>
      <c r="D30" s="131" t="s">
        <v>10</v>
      </c>
      <c r="E30" s="316">
        <f t="shared" ref="E30:L30" si="5">E11</f>
        <v>1.9323134853927781</v>
      </c>
      <c r="F30" s="133">
        <f t="shared" si="5"/>
        <v>2.9321510627162484</v>
      </c>
      <c r="G30" s="133">
        <f t="shared" si="5"/>
        <v>3.0747478056270205</v>
      </c>
      <c r="H30" s="315">
        <f t="shared" si="5"/>
        <v>3.5561441915044067</v>
      </c>
      <c r="I30" s="255">
        <f t="shared" si="5"/>
        <v>1.9061886091405134</v>
      </c>
      <c r="J30" s="256">
        <f t="shared" si="5"/>
        <v>3.6269152691642326</v>
      </c>
      <c r="K30" s="256">
        <f t="shared" si="5"/>
        <v>3.3194405465788446</v>
      </c>
      <c r="L30" s="256">
        <f t="shared" si="5"/>
        <v>3.7821603745081145</v>
      </c>
    </row>
    <row r="31" spans="2:12" ht="15.75" customHeight="1" x14ac:dyDescent="0.3">
      <c r="B31" s="131">
        <v>6</v>
      </c>
      <c r="C31" s="745" t="s">
        <v>1307</v>
      </c>
      <c r="D31" s="131" t="s">
        <v>10</v>
      </c>
      <c r="E31" s="316">
        <f t="shared" ref="E31:L31" si="6">E12</f>
        <v>6.8665563499740623</v>
      </c>
      <c r="F31" s="133">
        <f t="shared" si="6"/>
        <v>6.0828149837276246</v>
      </c>
      <c r="G31" s="133">
        <f t="shared" si="6"/>
        <v>5.2050727138824193</v>
      </c>
      <c r="H31" s="315">
        <f t="shared" si="6"/>
        <v>4.0915409212030296</v>
      </c>
      <c r="I31" s="255">
        <f t="shared" si="6"/>
        <v>2.7857415455792012</v>
      </c>
      <c r="J31" s="256">
        <f t="shared" si="6"/>
        <v>5.3154818982999563</v>
      </c>
      <c r="K31" s="256">
        <f t="shared" si="6"/>
        <v>4.6149411212360381</v>
      </c>
      <c r="L31" s="256">
        <f t="shared" si="6"/>
        <v>4.1601034448807139</v>
      </c>
    </row>
    <row r="32" spans="2:12" ht="15.75" customHeight="1" x14ac:dyDescent="0.3">
      <c r="B32" s="131">
        <v>7</v>
      </c>
      <c r="C32" s="745" t="s">
        <v>1308</v>
      </c>
      <c r="D32" s="131" t="s">
        <v>10</v>
      </c>
      <c r="E32" s="316">
        <f t="shared" ref="E32:L32" si="7">E13</f>
        <v>5.8513898884214433</v>
      </c>
      <c r="F32" s="133">
        <f t="shared" si="7"/>
        <v>5.2795677859140744</v>
      </c>
      <c r="G32" s="133">
        <f t="shared" si="7"/>
        <v>4.4681553903281879</v>
      </c>
      <c r="H32" s="315">
        <f t="shared" si="7"/>
        <v>3.8263497656764622</v>
      </c>
      <c r="I32" s="255">
        <f t="shared" si="7"/>
        <v>3.183530668957979</v>
      </c>
      <c r="J32" s="256">
        <f t="shared" si="7"/>
        <v>4.1090703800110706</v>
      </c>
      <c r="K32" s="256">
        <f t="shared" si="7"/>
        <v>3.8312441304994671</v>
      </c>
      <c r="L32" s="256">
        <f t="shared" si="7"/>
        <v>3.8024767067687648</v>
      </c>
    </row>
    <row r="33" spans="2:14" ht="15.75" customHeight="1" x14ac:dyDescent="0.3">
      <c r="B33" s="131">
        <v>8</v>
      </c>
      <c r="C33" s="745" t="s">
        <v>1309</v>
      </c>
      <c r="D33" s="131" t="s">
        <v>10</v>
      </c>
      <c r="E33" s="316">
        <f t="shared" ref="E33:L33" si="8">E14</f>
        <v>1.1342928526310221</v>
      </c>
      <c r="F33" s="133">
        <f t="shared" si="8"/>
        <v>1.095861562500706</v>
      </c>
      <c r="G33" s="133">
        <f t="shared" si="8"/>
        <v>0.93070615873430929</v>
      </c>
      <c r="H33" s="315">
        <f t="shared" si="8"/>
        <v>0.55226717149458548</v>
      </c>
      <c r="I33" s="255">
        <f t="shared" si="8"/>
        <v>0.55103860292062823</v>
      </c>
      <c r="J33" s="256">
        <f t="shared" si="8"/>
        <v>3.4995192323838964E-2</v>
      </c>
      <c r="K33" s="256">
        <f t="shared" si="8"/>
        <v>0.22855949884010851</v>
      </c>
      <c r="L33" s="256">
        <f t="shared" si="8"/>
        <v>0.44720360876258081</v>
      </c>
    </row>
    <row r="34" spans="2:14" ht="15.75" customHeight="1" x14ac:dyDescent="0.3">
      <c r="B34" s="131">
        <v>9</v>
      </c>
      <c r="C34" s="745" t="s">
        <v>1310</v>
      </c>
      <c r="D34" s="131" t="s">
        <v>10</v>
      </c>
      <c r="E34" s="316">
        <f t="shared" ref="E34:L34" si="9">E15</f>
        <v>6.7061143984220806</v>
      </c>
      <c r="F34" s="133">
        <f t="shared" si="9"/>
        <v>6.2846580406654251</v>
      </c>
      <c r="G34" s="133">
        <f t="shared" si="9"/>
        <v>5.3043478260869525</v>
      </c>
      <c r="H34" s="315">
        <f t="shared" si="9"/>
        <v>4.4591246903385562</v>
      </c>
      <c r="I34" s="255">
        <f t="shared" si="9"/>
        <v>7.4037512339585332</v>
      </c>
      <c r="J34" s="256">
        <f t="shared" si="9"/>
        <v>4.6875</v>
      </c>
      <c r="K34" s="256">
        <f t="shared" si="9"/>
        <v>5.0921861281826075</v>
      </c>
      <c r="L34" s="256">
        <f t="shared" si="9"/>
        <v>4.7619047619047672</v>
      </c>
    </row>
    <row r="35" spans="2:14" ht="15.75" customHeight="1" x14ac:dyDescent="0.3">
      <c r="B35" s="131">
        <v>10</v>
      </c>
      <c r="C35" s="745" t="s">
        <v>1311</v>
      </c>
      <c r="D35" s="131" t="s">
        <v>10</v>
      </c>
      <c r="E35" s="316">
        <f t="shared" ref="E35:L35" si="10">E16</f>
        <v>0.5604129964852822</v>
      </c>
      <c r="F35" s="133">
        <f t="shared" si="10"/>
        <v>0.41446835088079226</v>
      </c>
      <c r="G35" s="133">
        <f t="shared" si="10"/>
        <v>0.22770373243086173</v>
      </c>
      <c r="H35" s="315">
        <f t="shared" si="10"/>
        <v>0.17245508973466883</v>
      </c>
      <c r="I35" s="255">
        <f t="shared" si="10"/>
        <v>0.62246826159828572</v>
      </c>
      <c r="J35" s="256">
        <f t="shared" si="10"/>
        <v>5.008999380125001E-2</v>
      </c>
      <c r="K35" s="256">
        <f t="shared" si="10"/>
        <v>4.6302868910741424E-2</v>
      </c>
      <c r="L35" s="256">
        <f t="shared" si="10"/>
        <v>-8.6005875808781163E-2</v>
      </c>
    </row>
    <row r="36" spans="2:14" ht="15.75" customHeight="1" x14ac:dyDescent="0.3">
      <c r="B36" s="131">
        <v>11</v>
      </c>
      <c r="C36" s="758" t="s">
        <v>1312</v>
      </c>
      <c r="D36" s="131" t="s">
        <v>10</v>
      </c>
      <c r="E36" s="316">
        <f t="shared" ref="E36:L36" si="11">E17</f>
        <v>1.1496590724229261</v>
      </c>
      <c r="F36" s="133">
        <f t="shared" si="11"/>
        <v>0.78827075740406372</v>
      </c>
      <c r="G36" s="133">
        <f t="shared" si="11"/>
        <v>0.58460744318742375</v>
      </c>
      <c r="H36" s="315">
        <f t="shared" si="11"/>
        <v>0.52583700833384039</v>
      </c>
      <c r="I36" s="255">
        <f t="shared" si="11"/>
        <v>1.2265647712876415</v>
      </c>
      <c r="J36" s="256">
        <f t="shared" si="11"/>
        <v>0.22608272222257586</v>
      </c>
      <c r="K36" s="256">
        <f t="shared" si="11"/>
        <v>0.29606186008177549</v>
      </c>
      <c r="L36" s="256">
        <f t="shared" si="11"/>
        <v>0.24022121976967625</v>
      </c>
    </row>
    <row r="37" spans="2:14" ht="15.75" customHeight="1" x14ac:dyDescent="0.3">
      <c r="B37" s="131">
        <v>12</v>
      </c>
      <c r="C37" s="758" t="s">
        <v>1313</v>
      </c>
      <c r="D37" s="131" t="s">
        <v>10</v>
      </c>
      <c r="E37" s="316">
        <f t="shared" ref="E37:L37" si="12">E18</f>
        <v>6.0272951957584233</v>
      </c>
      <c r="F37" s="133">
        <f t="shared" si="12"/>
        <v>5.6448852577347362</v>
      </c>
      <c r="G37" s="133">
        <f t="shared" si="12"/>
        <v>5.4536772943999479</v>
      </c>
      <c r="H37" s="315">
        <f t="shared" si="12"/>
        <v>5.328506768821498</v>
      </c>
      <c r="I37" s="255">
        <f t="shared" si="12"/>
        <v>5.7997315397281968</v>
      </c>
      <c r="J37" s="256">
        <f t="shared" si="12"/>
        <v>5.8473549675285579</v>
      </c>
      <c r="K37" s="256">
        <f t="shared" si="12"/>
        <v>5.7886503274996377</v>
      </c>
      <c r="L37" s="256">
        <f t="shared" si="12"/>
        <v>5.6785345993874401</v>
      </c>
    </row>
    <row r="38" spans="2:14" ht="15.75" customHeight="1" x14ac:dyDescent="0.3">
      <c r="B38" s="131">
        <v>13</v>
      </c>
      <c r="C38" s="758" t="s">
        <v>1314</v>
      </c>
      <c r="D38" s="131" t="s">
        <v>10</v>
      </c>
      <c r="E38" s="316">
        <f t="shared" ref="E38:L38" si="13">E19</f>
        <v>4.7904570527059303</v>
      </c>
      <c r="F38" s="133">
        <f t="shared" si="13"/>
        <v>4.5059595452965926</v>
      </c>
      <c r="G38" s="133">
        <f t="shared" si="13"/>
        <v>4.3537100080140148</v>
      </c>
      <c r="H38" s="315">
        <f t="shared" si="13"/>
        <v>4.2540115120485371</v>
      </c>
      <c r="I38" s="255">
        <f t="shared" si="13"/>
        <v>4.9796098600704015</v>
      </c>
      <c r="J38" s="256">
        <f t="shared" si="13"/>
        <v>5.0234311731706542</v>
      </c>
      <c r="K38" s="256">
        <f t="shared" si="13"/>
        <v>4.9700875230705339</v>
      </c>
      <c r="L38" s="256">
        <f t="shared" si="13"/>
        <v>4.8660187435233659</v>
      </c>
    </row>
    <row r="39" spans="2:14" ht="15.75" customHeight="1" x14ac:dyDescent="0.3">
      <c r="B39" s="131">
        <v>14</v>
      </c>
      <c r="C39" s="758" t="s">
        <v>1315</v>
      </c>
      <c r="D39" s="131" t="s">
        <v>10</v>
      </c>
      <c r="E39" s="316">
        <f t="shared" ref="E39:L39" si="14">E20</f>
        <v>2.6141411594529984</v>
      </c>
      <c r="F39" s="133">
        <f t="shared" si="14"/>
        <v>2.3894692802407302</v>
      </c>
      <c r="G39" s="133">
        <f t="shared" si="14"/>
        <v>2.3837759581174289</v>
      </c>
      <c r="H39" s="315">
        <f t="shared" si="14"/>
        <v>2.3896291797943281</v>
      </c>
      <c r="I39" s="255">
        <f t="shared" si="14"/>
        <v>2.522256089204955</v>
      </c>
      <c r="J39" s="256">
        <f t="shared" si="14"/>
        <v>2.088177507731892</v>
      </c>
      <c r="K39" s="256">
        <f t="shared" si="14"/>
        <v>2.1541128543698607</v>
      </c>
      <c r="L39" s="256">
        <f t="shared" si="14"/>
        <v>2.3329286244516245</v>
      </c>
    </row>
    <row r="40" spans="2:14" ht="15.75" customHeight="1" thickBot="1" x14ac:dyDescent="0.35">
      <c r="B40" s="134">
        <v>15</v>
      </c>
      <c r="C40" s="253" t="s">
        <v>1316</v>
      </c>
      <c r="D40" s="134" t="s">
        <v>10</v>
      </c>
      <c r="E40" s="317">
        <f t="shared" ref="E40:L40" si="15">E21</f>
        <v>-1.9509461560521444</v>
      </c>
      <c r="F40" s="2">
        <f t="shared" si="15"/>
        <v>-1.4644875704080791</v>
      </c>
      <c r="G40" s="2">
        <f t="shared" si="15"/>
        <v>-1.0547547994945476</v>
      </c>
      <c r="H40" s="318">
        <f t="shared" si="15"/>
        <v>-1.030844288117992</v>
      </c>
      <c r="I40" s="2">
        <f t="shared" si="15"/>
        <v>-3.180147189260035</v>
      </c>
      <c r="J40" s="3">
        <f t="shared" si="15"/>
        <v>-2.1988189692481299</v>
      </c>
      <c r="K40" s="3">
        <f t="shared" si="15"/>
        <v>-1.4667223523418194</v>
      </c>
      <c r="L40" s="3">
        <f t="shared" si="15"/>
        <v>-1.3439486312967657</v>
      </c>
      <c r="M40" s="122"/>
      <c r="N40" s="122"/>
    </row>
    <row r="41" spans="2:14" ht="15.75" customHeight="1" x14ac:dyDescent="0.3">
      <c r="L41" s="786" t="s">
        <v>1318</v>
      </c>
      <c r="M41" s="787"/>
      <c r="N41" s="787"/>
    </row>
  </sheetData>
  <mergeCells count="8">
    <mergeCell ref="B4:L4"/>
    <mergeCell ref="E5:H5"/>
    <mergeCell ref="I5:L5"/>
    <mergeCell ref="E24:H24"/>
    <mergeCell ref="I24:L24"/>
    <mergeCell ref="B23:L23"/>
    <mergeCell ref="B22:D22"/>
    <mergeCell ref="J22:L2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workbookViewId="0">
      <selection activeCell="B29" sqref="B29:E29"/>
    </sheetView>
  </sheetViews>
  <sheetFormatPr defaultColWidth="9.109375" defaultRowHeight="15.75" customHeight="1" x14ac:dyDescent="0.3"/>
  <cols>
    <col min="1" max="1" width="9.109375" style="535"/>
    <col min="2" max="2" width="31.109375" style="535" bestFit="1" customWidth="1"/>
    <col min="3" max="3" width="47.5546875" style="535" customWidth="1"/>
    <col min="4" max="8" width="9.109375" style="535"/>
    <col min="9" max="12" width="9.109375" style="535" customWidth="1"/>
    <col min="13" max="16384" width="9.109375" style="535"/>
  </cols>
  <sheetData>
    <row r="2" spans="2:15" ht="13.8" x14ac:dyDescent="0.3"/>
    <row r="3" spans="2:15" ht="13.8" x14ac:dyDescent="0.3"/>
    <row r="4" spans="2:15" ht="13.8" x14ac:dyDescent="0.3"/>
    <row r="5" spans="2:15" ht="15" thickBot="1" x14ac:dyDescent="0.35">
      <c r="B5" s="897" t="s">
        <v>919</v>
      </c>
      <c r="C5" s="905"/>
      <c r="D5" s="905"/>
      <c r="E5" s="905"/>
      <c r="F5" s="611"/>
      <c r="G5" s="611"/>
      <c r="H5" s="611"/>
      <c r="I5" s="611"/>
      <c r="J5" s="611"/>
      <c r="K5" s="611"/>
      <c r="L5" s="611"/>
      <c r="O5" s="179"/>
    </row>
    <row r="6" spans="2:15" ht="15.75" customHeight="1" thickBot="1" x14ac:dyDescent="0.35">
      <c r="B6" s="610" t="s">
        <v>775</v>
      </c>
      <c r="C6" s="609"/>
      <c r="D6" s="608">
        <v>2019</v>
      </c>
      <c r="E6" s="607">
        <v>2020</v>
      </c>
      <c r="F6" s="606"/>
      <c r="G6" s="585"/>
      <c r="H6" s="585"/>
      <c r="I6" s="585"/>
      <c r="J6" s="585"/>
      <c r="K6" s="585"/>
      <c r="L6" s="585"/>
    </row>
    <row r="7" spans="2:15" ht="15.75" customHeight="1" x14ac:dyDescent="0.3">
      <c r="B7" s="906" t="s">
        <v>774</v>
      </c>
      <c r="C7" s="605" t="s">
        <v>750</v>
      </c>
      <c r="D7" s="604" t="s">
        <v>773</v>
      </c>
      <c r="E7" s="603" t="s">
        <v>772</v>
      </c>
    </row>
    <row r="8" spans="2:15" ht="15.75" customHeight="1" x14ac:dyDescent="0.3">
      <c r="B8" s="902"/>
      <c r="C8" s="605" t="s">
        <v>756</v>
      </c>
      <c r="D8" s="604" t="s">
        <v>771</v>
      </c>
      <c r="E8" s="603" t="s">
        <v>770</v>
      </c>
    </row>
    <row r="9" spans="2:15" ht="15.75" customHeight="1" thickBot="1" x14ac:dyDescent="0.35">
      <c r="B9" s="901"/>
      <c r="C9" s="602" t="s">
        <v>747</v>
      </c>
      <c r="D9" s="601">
        <v>2.4392674584721163</v>
      </c>
      <c r="E9" s="600">
        <v>2.259557831390957</v>
      </c>
    </row>
    <row r="10" spans="2:15" ht="15.75" customHeight="1" x14ac:dyDescent="0.3">
      <c r="B10" s="900" t="s">
        <v>730</v>
      </c>
      <c r="C10" s="605" t="s">
        <v>750</v>
      </c>
      <c r="D10" s="604" t="s">
        <v>769</v>
      </c>
      <c r="E10" s="603" t="s">
        <v>768</v>
      </c>
    </row>
    <row r="11" spans="2:15" ht="15.75" customHeight="1" thickBot="1" x14ac:dyDescent="0.35">
      <c r="B11" s="901"/>
      <c r="C11" s="602" t="s">
        <v>747</v>
      </c>
      <c r="D11" s="601">
        <v>1.6894542228597098</v>
      </c>
      <c r="E11" s="600">
        <v>2.1111794526583516</v>
      </c>
    </row>
    <row r="12" spans="2:15" ht="15.75" customHeight="1" x14ac:dyDescent="0.3">
      <c r="B12" s="900" t="s">
        <v>731</v>
      </c>
      <c r="C12" s="605" t="s">
        <v>750</v>
      </c>
      <c r="D12" s="604" t="s">
        <v>767</v>
      </c>
      <c r="E12" s="603" t="s">
        <v>755</v>
      </c>
    </row>
    <row r="13" spans="2:15" ht="15.75" customHeight="1" thickBot="1" x14ac:dyDescent="0.35">
      <c r="B13" s="901"/>
      <c r="C13" s="602" t="s">
        <v>747</v>
      </c>
      <c r="D13" s="601">
        <v>3.0969091498085133</v>
      </c>
      <c r="E13" s="600">
        <v>1.0995792832004359</v>
      </c>
    </row>
    <row r="14" spans="2:15" ht="15.75" customHeight="1" x14ac:dyDescent="0.3">
      <c r="B14" s="900" t="s">
        <v>766</v>
      </c>
      <c r="C14" s="605" t="s">
        <v>750</v>
      </c>
      <c r="D14" s="604" t="s">
        <v>765</v>
      </c>
      <c r="E14" s="603" t="s">
        <v>764</v>
      </c>
    </row>
    <row r="15" spans="2:15" ht="15.75" customHeight="1" thickBot="1" x14ac:dyDescent="0.35">
      <c r="B15" s="901"/>
      <c r="C15" s="602" t="s">
        <v>747</v>
      </c>
      <c r="D15" s="601">
        <v>1.9061886091405134</v>
      </c>
      <c r="E15" s="600">
        <v>3.6269152691642326</v>
      </c>
    </row>
    <row r="16" spans="2:15" ht="15.75" customHeight="1" x14ac:dyDescent="0.3">
      <c r="B16" s="900" t="s">
        <v>763</v>
      </c>
      <c r="C16" s="605" t="s">
        <v>750</v>
      </c>
      <c r="D16" s="604" t="s">
        <v>762</v>
      </c>
      <c r="E16" s="603" t="s">
        <v>761</v>
      </c>
    </row>
    <row r="17" spans="2:7" ht="15.75" customHeight="1" thickBot="1" x14ac:dyDescent="0.35">
      <c r="B17" s="901"/>
      <c r="C17" s="602" t="s">
        <v>747</v>
      </c>
      <c r="D17" s="601">
        <v>2.7857415455792012</v>
      </c>
      <c r="E17" s="600">
        <v>5.3154818982999563</v>
      </c>
    </row>
    <row r="18" spans="2:7" ht="15.75" customHeight="1" x14ac:dyDescent="0.3">
      <c r="B18" s="900" t="s">
        <v>760</v>
      </c>
      <c r="C18" s="605" t="s">
        <v>750</v>
      </c>
      <c r="D18" s="604" t="s">
        <v>759</v>
      </c>
      <c r="E18" s="603" t="s">
        <v>758</v>
      </c>
    </row>
    <row r="19" spans="2:7" ht="15.75" customHeight="1" thickBot="1" x14ac:dyDescent="0.35">
      <c r="B19" s="901"/>
      <c r="C19" s="602" t="s">
        <v>747</v>
      </c>
      <c r="D19" s="601">
        <v>3.183530668957979</v>
      </c>
      <c r="E19" s="600">
        <v>4.1090703800110706</v>
      </c>
    </row>
    <row r="20" spans="2:7" ht="15.75" customHeight="1" x14ac:dyDescent="0.3">
      <c r="B20" s="900" t="s">
        <v>757</v>
      </c>
      <c r="C20" s="605" t="s">
        <v>750</v>
      </c>
      <c r="D20" s="604" t="s">
        <v>755</v>
      </c>
      <c r="E20" s="603" t="s">
        <v>748</v>
      </c>
    </row>
    <row r="21" spans="2:7" ht="15.75" customHeight="1" x14ac:dyDescent="0.3">
      <c r="B21" s="902"/>
      <c r="C21" s="605" t="s">
        <v>756</v>
      </c>
      <c r="D21" s="604" t="s">
        <v>755</v>
      </c>
      <c r="E21" s="603" t="s">
        <v>748</v>
      </c>
    </row>
    <row r="22" spans="2:7" ht="15.75" customHeight="1" thickBot="1" x14ac:dyDescent="0.35">
      <c r="B22" s="901"/>
      <c r="C22" s="602" t="s">
        <v>747</v>
      </c>
      <c r="D22" s="601">
        <v>2.522256089204955</v>
      </c>
      <c r="E22" s="600">
        <v>2.088177507731892</v>
      </c>
    </row>
    <row r="23" spans="2:7" ht="15.75" customHeight="1" x14ac:dyDescent="0.3">
      <c r="B23" s="900" t="s">
        <v>754</v>
      </c>
      <c r="C23" s="605" t="s">
        <v>750</v>
      </c>
      <c r="D23" s="604" t="s">
        <v>753</v>
      </c>
      <c r="E23" s="603" t="s">
        <v>752</v>
      </c>
    </row>
    <row r="24" spans="2:7" ht="15.75" customHeight="1" thickBot="1" x14ac:dyDescent="0.35">
      <c r="B24" s="901"/>
      <c r="C24" s="602" t="s">
        <v>747</v>
      </c>
      <c r="D24" s="601">
        <v>1.2265647712876415</v>
      </c>
      <c r="E24" s="600">
        <v>0.22608272222257586</v>
      </c>
    </row>
    <row r="25" spans="2:7" ht="15.75" customHeight="1" x14ac:dyDescent="0.3">
      <c r="B25" s="903" t="s">
        <v>751</v>
      </c>
      <c r="C25" s="605" t="s">
        <v>750</v>
      </c>
      <c r="D25" s="604" t="s">
        <v>749</v>
      </c>
      <c r="E25" s="603" t="s">
        <v>748</v>
      </c>
    </row>
    <row r="26" spans="2:7" ht="15.75" customHeight="1" thickBot="1" x14ac:dyDescent="0.35">
      <c r="B26" s="904"/>
      <c r="C26" s="602" t="s">
        <v>747</v>
      </c>
      <c r="D26" s="601">
        <v>0.55103860292062823</v>
      </c>
      <c r="E26" s="600">
        <v>3.4995192323838964E-2</v>
      </c>
    </row>
    <row r="27" spans="2:7" ht="15.75" customHeight="1" x14ac:dyDescent="0.3">
      <c r="D27" s="899" t="s">
        <v>3</v>
      </c>
      <c r="E27" s="907"/>
      <c r="F27" s="599"/>
      <c r="G27" s="599"/>
    </row>
    <row r="29" spans="2:7" ht="15.75" customHeight="1" thickBot="1" x14ac:dyDescent="0.35">
      <c r="B29" s="897" t="s">
        <v>1321</v>
      </c>
      <c r="C29" s="905"/>
      <c r="D29" s="905"/>
      <c r="E29" s="905"/>
    </row>
    <row r="30" spans="2:7" ht="15.75" customHeight="1" thickBot="1" x14ac:dyDescent="0.35">
      <c r="B30" s="610" t="s">
        <v>1319</v>
      </c>
      <c r="C30" s="609"/>
      <c r="D30" s="608">
        <f>D6</f>
        <v>2019</v>
      </c>
      <c r="E30" s="607">
        <f>E6</f>
        <v>2020</v>
      </c>
    </row>
    <row r="31" spans="2:7" ht="15.75" customHeight="1" x14ac:dyDescent="0.3">
      <c r="B31" s="906" t="s">
        <v>1216</v>
      </c>
      <c r="C31" s="755" t="s">
        <v>1320</v>
      </c>
      <c r="D31" s="604" t="str">
        <f t="shared" ref="D31:E31" si="0">D7</f>
        <v>3,8</v>
      </c>
      <c r="E31" s="603" t="str">
        <f t="shared" si="0"/>
        <v>3,4</v>
      </c>
    </row>
    <row r="32" spans="2:7" ht="15.75" customHeight="1" x14ac:dyDescent="0.3">
      <c r="B32" s="902"/>
      <c r="C32" s="755" t="s">
        <v>1322</v>
      </c>
      <c r="D32" s="604" t="str">
        <f t="shared" ref="D32:E32" si="1">D8</f>
        <v>3,6</v>
      </c>
      <c r="E32" s="603" t="str">
        <f t="shared" si="1"/>
        <v>3,3</v>
      </c>
    </row>
    <row r="33" spans="2:5" ht="15.75" customHeight="1" thickBot="1" x14ac:dyDescent="0.35">
      <c r="B33" s="901"/>
      <c r="C33" s="788" t="s">
        <v>1323</v>
      </c>
      <c r="D33" s="601">
        <f t="shared" ref="D33:E33" si="2">D9</f>
        <v>2.4392674584721163</v>
      </c>
      <c r="E33" s="600">
        <f t="shared" si="2"/>
        <v>2.259557831390957</v>
      </c>
    </row>
    <row r="34" spans="2:5" ht="15.75" customHeight="1" x14ac:dyDescent="0.3">
      <c r="B34" s="900" t="s">
        <v>1219</v>
      </c>
      <c r="C34" s="755" t="s">
        <v>1320</v>
      </c>
      <c r="D34" s="604" t="str">
        <f t="shared" ref="D34:E34" si="3">D10</f>
        <v>3,2</v>
      </c>
      <c r="E34" s="603" t="str">
        <f t="shared" si="3"/>
        <v>2,9</v>
      </c>
    </row>
    <row r="35" spans="2:5" ht="15.75" customHeight="1" thickBot="1" x14ac:dyDescent="0.35">
      <c r="B35" s="901"/>
      <c r="C35" s="788" t="s">
        <v>1323</v>
      </c>
      <c r="D35" s="601">
        <f t="shared" ref="D35:E35" si="4">D11</f>
        <v>1.6894542228597098</v>
      </c>
      <c r="E35" s="600">
        <f t="shared" si="4"/>
        <v>2.1111794526583516</v>
      </c>
    </row>
    <row r="36" spans="2:5" ht="15.75" customHeight="1" x14ac:dyDescent="0.3">
      <c r="B36" s="900" t="s">
        <v>1218</v>
      </c>
      <c r="C36" s="755" t="s">
        <v>1320</v>
      </c>
      <c r="D36" s="604" t="str">
        <f t="shared" ref="D36:E36" si="5">D12</f>
        <v>2,5</v>
      </c>
      <c r="E36" s="603" t="str">
        <f t="shared" si="5"/>
        <v>2,4</v>
      </c>
    </row>
    <row r="37" spans="2:5" ht="15.75" customHeight="1" thickBot="1" x14ac:dyDescent="0.35">
      <c r="B37" s="901"/>
      <c r="C37" s="788" t="s">
        <v>1323</v>
      </c>
      <c r="D37" s="601">
        <f t="shared" ref="D37:E37" si="6">D13</f>
        <v>3.0969091498085133</v>
      </c>
      <c r="E37" s="600">
        <f t="shared" si="6"/>
        <v>1.0995792832004359</v>
      </c>
    </row>
    <row r="38" spans="2:5" ht="15.75" customHeight="1" x14ac:dyDescent="0.3">
      <c r="B38" s="900" t="s">
        <v>1324</v>
      </c>
      <c r="C38" s="755" t="s">
        <v>1320</v>
      </c>
      <c r="D38" s="604" t="str">
        <f t="shared" ref="D38:E38" si="7">D14</f>
        <v>2,6</v>
      </c>
      <c r="E38" s="603" t="str">
        <f t="shared" si="7"/>
        <v>2,8</v>
      </c>
    </row>
    <row r="39" spans="2:5" ht="15.75" customHeight="1" thickBot="1" x14ac:dyDescent="0.35">
      <c r="B39" s="901"/>
      <c r="C39" s="788" t="s">
        <v>1323</v>
      </c>
      <c r="D39" s="601">
        <f t="shared" ref="D39:E39" si="8">D15</f>
        <v>1.9061886091405134</v>
      </c>
      <c r="E39" s="600">
        <f t="shared" si="8"/>
        <v>3.6269152691642326</v>
      </c>
    </row>
    <row r="40" spans="2:5" ht="15.75" customHeight="1" x14ac:dyDescent="0.3">
      <c r="B40" s="900" t="s">
        <v>1307</v>
      </c>
      <c r="C40" s="755" t="s">
        <v>1320</v>
      </c>
      <c r="D40" s="604" t="str">
        <f t="shared" ref="D40:E40" si="9">D16</f>
        <v>6,1</v>
      </c>
      <c r="E40" s="603" t="str">
        <f t="shared" si="9"/>
        <v>5,5</v>
      </c>
    </row>
    <row r="41" spans="2:5" ht="15.75" customHeight="1" thickBot="1" x14ac:dyDescent="0.35">
      <c r="B41" s="901"/>
      <c r="C41" s="788" t="s">
        <v>1323</v>
      </c>
      <c r="D41" s="601">
        <f t="shared" ref="D41:E41" si="10">D17</f>
        <v>2.7857415455792012</v>
      </c>
      <c r="E41" s="600">
        <f t="shared" si="10"/>
        <v>5.3154818982999563</v>
      </c>
    </row>
    <row r="42" spans="2:5" ht="15.75" customHeight="1" x14ac:dyDescent="0.3">
      <c r="B42" s="900" t="s">
        <v>1325</v>
      </c>
      <c r="C42" s="755" t="s">
        <v>1320</v>
      </c>
      <c r="D42" s="604" t="str">
        <f t="shared" ref="D42:E42" si="11">D18</f>
        <v>5,2</v>
      </c>
      <c r="E42" s="603" t="str">
        <f t="shared" si="11"/>
        <v>5,0</v>
      </c>
    </row>
    <row r="43" spans="2:5" ht="15.75" customHeight="1" thickBot="1" x14ac:dyDescent="0.35">
      <c r="B43" s="901"/>
      <c r="C43" s="788" t="s">
        <v>1323</v>
      </c>
      <c r="D43" s="601">
        <f t="shared" ref="D43:E43" si="12">D19</f>
        <v>3.183530668957979</v>
      </c>
      <c r="E43" s="600">
        <f t="shared" si="12"/>
        <v>4.1090703800110706</v>
      </c>
    </row>
    <row r="44" spans="2:5" ht="15.75" customHeight="1" x14ac:dyDescent="0.3">
      <c r="B44" s="900" t="s">
        <v>1326</v>
      </c>
      <c r="C44" s="755" t="s">
        <v>1320</v>
      </c>
      <c r="D44" s="604" t="str">
        <f t="shared" ref="D44:E44" si="13">D20</f>
        <v>2,4</v>
      </c>
      <c r="E44" s="603" t="str">
        <f t="shared" si="13"/>
        <v>2,3</v>
      </c>
    </row>
    <row r="45" spans="2:5" ht="15.75" customHeight="1" x14ac:dyDescent="0.3">
      <c r="B45" s="902"/>
      <c r="C45" s="755" t="s">
        <v>1322</v>
      </c>
      <c r="D45" s="604" t="str">
        <f t="shared" ref="D45:E45" si="14">D21</f>
        <v>2,4</v>
      </c>
      <c r="E45" s="603" t="str">
        <f t="shared" si="14"/>
        <v>2,3</v>
      </c>
    </row>
    <row r="46" spans="2:5" ht="15.75" customHeight="1" thickBot="1" x14ac:dyDescent="0.35">
      <c r="B46" s="901"/>
      <c r="C46" s="788" t="s">
        <v>1323</v>
      </c>
      <c r="D46" s="601">
        <f t="shared" ref="D46:E46" si="15">D22</f>
        <v>2.522256089204955</v>
      </c>
      <c r="E46" s="600">
        <f t="shared" si="15"/>
        <v>2.088177507731892</v>
      </c>
    </row>
    <row r="47" spans="2:5" ht="15.75" customHeight="1" x14ac:dyDescent="0.3">
      <c r="B47" s="900" t="s">
        <v>1327</v>
      </c>
      <c r="C47" s="755" t="s">
        <v>1320</v>
      </c>
      <c r="D47" s="604" t="str">
        <f t="shared" ref="D47:E47" si="16">D23</f>
        <v>0,8</v>
      </c>
      <c r="E47" s="603" t="str">
        <f t="shared" si="16"/>
        <v>0,4</v>
      </c>
    </row>
    <row r="48" spans="2:5" ht="15.75" customHeight="1" thickBot="1" x14ac:dyDescent="0.35">
      <c r="B48" s="901"/>
      <c r="C48" s="788" t="s">
        <v>1323</v>
      </c>
      <c r="D48" s="601">
        <f t="shared" ref="D48:E48" si="17">D24</f>
        <v>1.2265647712876415</v>
      </c>
      <c r="E48" s="600">
        <f t="shared" si="17"/>
        <v>0.22608272222257586</v>
      </c>
    </row>
    <row r="49" spans="2:5" ht="15.75" customHeight="1" x14ac:dyDescent="0.3">
      <c r="B49" s="903" t="s">
        <v>1328</v>
      </c>
      <c r="C49" s="755" t="s">
        <v>1320</v>
      </c>
      <c r="D49" s="604" t="str">
        <f t="shared" ref="D49:E49" si="18">D25</f>
        <v>2,1</v>
      </c>
      <c r="E49" s="603" t="str">
        <f t="shared" si="18"/>
        <v>2,3</v>
      </c>
    </row>
    <row r="50" spans="2:5" ht="15.75" customHeight="1" thickBot="1" x14ac:dyDescent="0.35">
      <c r="B50" s="904"/>
      <c r="C50" s="788" t="s">
        <v>1323</v>
      </c>
      <c r="D50" s="601">
        <f t="shared" ref="D50:E50" si="19">D26</f>
        <v>0.55103860292062823</v>
      </c>
      <c r="E50" s="600">
        <f t="shared" si="19"/>
        <v>3.4995192323838964E-2</v>
      </c>
    </row>
  </sheetData>
  <mergeCells count="21">
    <mergeCell ref="B7:B9"/>
    <mergeCell ref="B23:B24"/>
    <mergeCell ref="B25:B26"/>
    <mergeCell ref="D27:E27"/>
    <mergeCell ref="B5:E5"/>
    <mergeCell ref="B10:B11"/>
    <mergeCell ref="B12:B13"/>
    <mergeCell ref="B14:B15"/>
    <mergeCell ref="B16:B17"/>
    <mergeCell ref="B18:B19"/>
    <mergeCell ref="B20:B22"/>
    <mergeCell ref="B29:E29"/>
    <mergeCell ref="B31:B33"/>
    <mergeCell ref="B34:B35"/>
    <mergeCell ref="B36:B37"/>
    <mergeCell ref="B38:B39"/>
    <mergeCell ref="B40:B41"/>
    <mergeCell ref="B42:B43"/>
    <mergeCell ref="B44:B46"/>
    <mergeCell ref="B47:B48"/>
    <mergeCell ref="B49:B5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B2:L21"/>
  <sheetViews>
    <sheetView showGridLines="0" zoomScaleNormal="100" workbookViewId="0">
      <selection activeCell="B15" sqref="B15:H15"/>
    </sheetView>
  </sheetViews>
  <sheetFormatPr defaultColWidth="9.109375" defaultRowHeight="13.8" x14ac:dyDescent="0.3"/>
  <cols>
    <col min="1" max="1" width="9.109375" style="6"/>
    <col min="2" max="2" width="50.109375" style="6" customWidth="1"/>
    <col min="3" max="3" width="6.5546875" style="6" bestFit="1" customWidth="1"/>
    <col min="4" max="4" width="11" style="6" bestFit="1" customWidth="1"/>
    <col min="5" max="5" width="7.88671875" style="6" customWidth="1"/>
    <col min="6" max="6" width="7.6640625" style="6" customWidth="1"/>
    <col min="7" max="7" width="10.6640625" style="6" bestFit="1" customWidth="1"/>
    <col min="8" max="8" width="9.5546875" style="6" customWidth="1"/>
    <col min="9" max="16384" width="9.109375" style="6"/>
  </cols>
  <sheetData>
    <row r="2" spans="2:8" x14ac:dyDescent="0.3">
      <c r="B2" s="135"/>
    </row>
    <row r="3" spans="2:8" x14ac:dyDescent="0.3">
      <c r="B3" s="135"/>
    </row>
    <row r="4" spans="2:8" ht="15.75" customHeight="1" x14ac:dyDescent="0.3">
      <c r="B4" s="908" t="s">
        <v>920</v>
      </c>
      <c r="C4" s="908"/>
      <c r="D4" s="908"/>
      <c r="E4" s="908"/>
      <c r="F4" s="908"/>
      <c r="G4" s="908"/>
      <c r="H4" s="908"/>
    </row>
    <row r="5" spans="2:8" ht="15.75" customHeight="1" x14ac:dyDescent="0.3">
      <c r="B5" s="341"/>
      <c r="C5" s="257" t="s">
        <v>31</v>
      </c>
      <c r="D5" s="536" t="s">
        <v>575</v>
      </c>
      <c r="E5" s="536" t="s">
        <v>673</v>
      </c>
      <c r="F5" s="536" t="s">
        <v>487</v>
      </c>
      <c r="G5" s="536" t="s">
        <v>488</v>
      </c>
      <c r="H5" s="536" t="s">
        <v>574</v>
      </c>
    </row>
    <row r="6" spans="2:8" ht="15.75" customHeight="1" thickBot="1" x14ac:dyDescent="0.35">
      <c r="B6" s="341"/>
      <c r="C6" s="341"/>
      <c r="D6" s="537" t="s">
        <v>0</v>
      </c>
      <c r="E6" s="537" t="s">
        <v>0</v>
      </c>
      <c r="F6" s="537" t="s">
        <v>0</v>
      </c>
      <c r="G6" s="537" t="s">
        <v>0</v>
      </c>
      <c r="H6" s="537" t="s">
        <v>0</v>
      </c>
    </row>
    <row r="7" spans="2:8" ht="15.75" customHeight="1" x14ac:dyDescent="0.3">
      <c r="B7" s="342" t="s">
        <v>79</v>
      </c>
      <c r="C7" s="343" t="s">
        <v>80</v>
      </c>
      <c r="D7" s="538"/>
      <c r="E7" s="538"/>
      <c r="F7" s="538"/>
      <c r="G7" s="538"/>
      <c r="H7" s="538"/>
    </row>
    <row r="8" spans="2:8" ht="15.75" customHeight="1" x14ac:dyDescent="0.3">
      <c r="B8" s="344" t="s">
        <v>81</v>
      </c>
      <c r="C8" s="345"/>
      <c r="D8" s="539">
        <v>-0.7</v>
      </c>
      <c r="E8" s="537">
        <v>0</v>
      </c>
      <c r="F8" s="537">
        <v>0</v>
      </c>
      <c r="G8" s="537">
        <v>0</v>
      </c>
      <c r="H8" s="537">
        <v>0</v>
      </c>
    </row>
    <row r="9" spans="2:8" ht="15.75" customHeight="1" x14ac:dyDescent="0.3">
      <c r="B9" s="344" t="s">
        <v>82</v>
      </c>
      <c r="C9" s="345"/>
      <c r="D9" s="537">
        <v>-1.06</v>
      </c>
      <c r="E9" s="537">
        <v>-0.68</v>
      </c>
      <c r="F9" s="537">
        <v>-0.49</v>
      </c>
      <c r="G9" s="537">
        <v>0</v>
      </c>
      <c r="H9" s="537">
        <v>0</v>
      </c>
    </row>
    <row r="10" spans="2:8" ht="15.75" customHeight="1" thickBot="1" x14ac:dyDescent="0.35">
      <c r="B10" s="346" t="s">
        <v>83</v>
      </c>
      <c r="C10" s="347"/>
      <c r="D10" s="494">
        <f>D9-D8</f>
        <v>-0.3600000000000001</v>
      </c>
      <c r="E10" s="494">
        <f t="shared" ref="E10:H10" si="0">E9-E8</f>
        <v>-0.68</v>
      </c>
      <c r="F10" s="494">
        <f t="shared" si="0"/>
        <v>-0.49</v>
      </c>
      <c r="G10" s="494">
        <f t="shared" si="0"/>
        <v>0</v>
      </c>
      <c r="H10" s="494">
        <f t="shared" si="0"/>
        <v>0</v>
      </c>
    </row>
    <row r="11" spans="2:8" ht="15.75" customHeight="1" x14ac:dyDescent="0.3">
      <c r="B11" s="348" t="s">
        <v>536</v>
      </c>
    </row>
    <row r="12" spans="2:8" ht="15.75" customHeight="1" x14ac:dyDescent="0.3"/>
    <row r="13" spans="2:8" ht="15.75" customHeight="1" x14ac:dyDescent="0.3"/>
    <row r="14" spans="2:8" ht="15.75" customHeight="1" x14ac:dyDescent="0.3"/>
    <row r="15" spans="2:8" x14ac:dyDescent="0.3">
      <c r="B15" s="908" t="s">
        <v>1335</v>
      </c>
      <c r="C15" s="908"/>
      <c r="D15" s="908"/>
      <c r="E15" s="908"/>
      <c r="F15" s="908"/>
      <c r="G15" s="908"/>
      <c r="H15" s="908"/>
    </row>
    <row r="16" spans="2:8" x14ac:dyDescent="0.3">
      <c r="B16" s="341"/>
      <c r="C16" s="257" t="s">
        <v>1329</v>
      </c>
      <c r="D16" s="257" t="s">
        <v>1144</v>
      </c>
      <c r="E16" s="257" t="s">
        <v>1336</v>
      </c>
      <c r="F16" s="257" t="s">
        <v>1131</v>
      </c>
      <c r="G16" s="257" t="s">
        <v>1132</v>
      </c>
      <c r="H16" s="257" t="s">
        <v>1133</v>
      </c>
    </row>
    <row r="17" spans="2:12" ht="14.4" thickBot="1" x14ac:dyDescent="0.35">
      <c r="B17" s="341"/>
      <c r="C17" s="341"/>
      <c r="D17" s="131" t="s">
        <v>1330</v>
      </c>
      <c r="E17" s="131" t="s">
        <v>1330</v>
      </c>
      <c r="F17" s="131" t="s">
        <v>1330</v>
      </c>
      <c r="G17" s="131" t="s">
        <v>1330</v>
      </c>
      <c r="H17" s="131" t="s">
        <v>1330</v>
      </c>
    </row>
    <row r="18" spans="2:12" x14ac:dyDescent="0.3">
      <c r="B18" s="342" t="s">
        <v>1331</v>
      </c>
      <c r="C18" s="343" t="s">
        <v>80</v>
      </c>
      <c r="D18" s="342"/>
      <c r="E18" s="342"/>
      <c r="F18" s="342"/>
      <c r="G18" s="342"/>
      <c r="H18" s="342"/>
    </row>
    <row r="19" spans="2:12" x14ac:dyDescent="0.3">
      <c r="B19" s="344" t="s">
        <v>1332</v>
      </c>
      <c r="C19" s="345"/>
      <c r="D19" s="789">
        <f>D8</f>
        <v>-0.7</v>
      </c>
      <c r="E19" s="789">
        <f t="shared" ref="E19:H19" si="1">E8</f>
        <v>0</v>
      </c>
      <c r="F19" s="789">
        <f t="shared" si="1"/>
        <v>0</v>
      </c>
      <c r="G19" s="789">
        <f t="shared" si="1"/>
        <v>0</v>
      </c>
      <c r="H19" s="789">
        <f t="shared" si="1"/>
        <v>0</v>
      </c>
      <c r="I19" s="144"/>
      <c r="J19" s="144"/>
      <c r="K19" s="144"/>
      <c r="L19" s="144"/>
    </row>
    <row r="20" spans="2:12" x14ac:dyDescent="0.3">
      <c r="B20" s="344" t="s">
        <v>1333</v>
      </c>
      <c r="C20" s="345"/>
      <c r="D20" s="789">
        <f t="shared" ref="D20:H21" si="2">D9</f>
        <v>-1.06</v>
      </c>
      <c r="E20" s="789">
        <f t="shared" si="2"/>
        <v>-0.68</v>
      </c>
      <c r="F20" s="789">
        <f t="shared" si="2"/>
        <v>-0.49</v>
      </c>
      <c r="G20" s="789">
        <f t="shared" si="2"/>
        <v>0</v>
      </c>
      <c r="H20" s="789">
        <f t="shared" si="2"/>
        <v>0</v>
      </c>
    </row>
    <row r="21" spans="2:12" ht="14.4" thickBot="1" x14ac:dyDescent="0.35">
      <c r="B21" s="346" t="s">
        <v>1334</v>
      </c>
      <c r="C21" s="347"/>
      <c r="D21" s="494">
        <f t="shared" si="2"/>
        <v>-0.3600000000000001</v>
      </c>
      <c r="E21" s="494">
        <f t="shared" si="2"/>
        <v>-0.68</v>
      </c>
      <c r="F21" s="494">
        <f t="shared" si="2"/>
        <v>-0.49</v>
      </c>
      <c r="G21" s="494">
        <f t="shared" si="2"/>
        <v>0</v>
      </c>
      <c r="H21" s="494">
        <f t="shared" si="2"/>
        <v>0</v>
      </c>
    </row>
  </sheetData>
  <mergeCells count="2">
    <mergeCell ref="B4:H4"/>
    <mergeCell ref="B15:H15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B3:U49"/>
  <sheetViews>
    <sheetView showGridLines="0" topLeftCell="A43" zoomScaleNormal="100" zoomScalePageLayoutView="90" workbookViewId="0">
      <selection activeCell="H61" sqref="H61"/>
    </sheetView>
  </sheetViews>
  <sheetFormatPr defaultColWidth="8.88671875" defaultRowHeight="13.8" x14ac:dyDescent="0.3"/>
  <cols>
    <col min="1" max="1" width="8.88671875" style="258"/>
    <col min="2" max="2" width="10" style="258" customWidth="1"/>
    <col min="3" max="4" width="8.109375" style="258" customWidth="1"/>
    <col min="5" max="6" width="8.33203125" style="258" customWidth="1"/>
    <col min="7" max="7" width="5" style="258" bestFit="1" customWidth="1"/>
    <col min="8" max="12" width="8" style="258" customWidth="1"/>
    <col min="13" max="13" width="9" style="258" customWidth="1"/>
    <col min="14" max="14" width="28" style="258" customWidth="1"/>
    <col min="15" max="15" width="23.5546875" style="258" customWidth="1"/>
    <col min="16" max="21" width="6.33203125" style="258" customWidth="1"/>
    <col min="22" max="16384" width="8.88671875" style="258"/>
  </cols>
  <sheetData>
    <row r="3" spans="2:21" x14ac:dyDescent="0.3">
      <c r="N3" s="408"/>
      <c r="O3" s="408"/>
    </row>
    <row r="4" spans="2:21" ht="27.75" customHeight="1" thickBot="1" x14ac:dyDescent="0.35">
      <c r="B4" s="909" t="s">
        <v>921</v>
      </c>
      <c r="C4" s="909"/>
      <c r="D4" s="909"/>
      <c r="E4" s="909"/>
      <c r="F4" s="909"/>
      <c r="G4" s="909"/>
      <c r="H4" s="909"/>
      <c r="N4" s="259" t="s">
        <v>196</v>
      </c>
      <c r="O4" s="259" t="s">
        <v>1010</v>
      </c>
      <c r="P4" s="260"/>
      <c r="Q4" s="260"/>
      <c r="R4" s="260"/>
      <c r="S4" s="260"/>
      <c r="T4" s="260"/>
      <c r="U4" s="260"/>
    </row>
    <row r="5" spans="2:21" x14ac:dyDescent="0.3">
      <c r="O5" s="791"/>
      <c r="P5" s="261">
        <v>2017</v>
      </c>
      <c r="Q5" s="261">
        <v>2018</v>
      </c>
      <c r="R5" s="261">
        <v>2019</v>
      </c>
      <c r="S5" s="261">
        <v>2020</v>
      </c>
      <c r="T5" s="261">
        <v>2021</v>
      </c>
      <c r="U5" s="261">
        <v>2022</v>
      </c>
    </row>
    <row r="6" spans="2:21" x14ac:dyDescent="0.3">
      <c r="N6" s="258" t="s">
        <v>573</v>
      </c>
      <c r="O6" s="791" t="s">
        <v>1346</v>
      </c>
      <c r="P6" s="262">
        <f>P20</f>
        <v>-0.8139438545060792</v>
      </c>
      <c r="Q6" s="262">
        <f t="shared" ref="Q6:S6" si="0">Q20</f>
        <v>-1.0446831241312096</v>
      </c>
      <c r="R6" s="262">
        <f>R20</f>
        <v>-0.4462209638173571</v>
      </c>
      <c r="S6" s="262">
        <f t="shared" si="0"/>
        <v>-0.43110242782119268</v>
      </c>
      <c r="T6" s="262">
        <f t="shared" ref="T6:U6" si="1">T20</f>
        <v>-0.36613172534577199</v>
      </c>
      <c r="U6" s="262">
        <f t="shared" si="1"/>
        <v>-0.21725681816170722</v>
      </c>
    </row>
    <row r="7" spans="2:21" x14ac:dyDescent="0.3">
      <c r="N7" s="258" t="s">
        <v>576</v>
      </c>
      <c r="O7" s="791" t="s">
        <v>1345</v>
      </c>
      <c r="P7" s="262">
        <f t="shared" ref="P7:S7" si="2">P14</f>
        <v>-1.0789174782868978</v>
      </c>
      <c r="Q7" s="262">
        <f t="shared" si="2"/>
        <v>-1.5493995855584819</v>
      </c>
      <c r="R7" s="262">
        <f>R14</f>
        <v>-0.89677298584209775</v>
      </c>
      <c r="S7" s="262">
        <f t="shared" si="2"/>
        <v>-0.50376653778628566</v>
      </c>
      <c r="T7" s="262">
        <f t="shared" ref="T7:U7" si="3">T14</f>
        <v>-8.9913323199984366E-2</v>
      </c>
      <c r="U7" s="262">
        <f t="shared" si="3"/>
        <v>-0.17592601845438224</v>
      </c>
    </row>
    <row r="8" spans="2:21" x14ac:dyDescent="0.3">
      <c r="N8" s="258" t="s">
        <v>189</v>
      </c>
      <c r="O8" s="791" t="s">
        <v>1337</v>
      </c>
      <c r="P8" s="262">
        <f>P7-P6</f>
        <v>-0.26497362378081857</v>
      </c>
      <c r="Q8" s="262">
        <f t="shared" ref="Q8:S8" si="4">Q7-Q6</f>
        <v>-0.50471646142727233</v>
      </c>
      <c r="R8" s="262">
        <f t="shared" si="4"/>
        <v>-0.45055202202474065</v>
      </c>
      <c r="S8" s="262">
        <f t="shared" si="4"/>
        <v>-7.2664109965092982E-2</v>
      </c>
      <c r="T8" s="262">
        <f t="shared" ref="T8:U8" si="5">T7-T6</f>
        <v>0.27621840214578763</v>
      </c>
      <c r="U8" s="262">
        <f t="shared" si="5"/>
        <v>4.1330799707324978E-2</v>
      </c>
    </row>
    <row r="9" spans="2:21" x14ac:dyDescent="0.3">
      <c r="N9" s="263" t="s">
        <v>481</v>
      </c>
      <c r="O9" s="792" t="s">
        <v>1338</v>
      </c>
      <c r="P9" s="262">
        <f t="shared" ref="P9:S9" si="6">P27</f>
        <v>-9.9681271517770356E-2</v>
      </c>
      <c r="Q9" s="262">
        <f t="shared" si="6"/>
        <v>-0.14236817473884983</v>
      </c>
      <c r="R9" s="262">
        <f t="shared" si="6"/>
        <v>0.22944715983413003</v>
      </c>
      <c r="S9" s="262">
        <f t="shared" si="6"/>
        <v>0.41733562288056697</v>
      </c>
      <c r="T9" s="262">
        <f t="shared" ref="T9:U9" si="7">T27</f>
        <v>0.27621840214578763</v>
      </c>
      <c r="U9" s="262">
        <f t="shared" si="7"/>
        <v>4.1331093743222913E-2</v>
      </c>
    </row>
    <row r="10" spans="2:21" x14ac:dyDescent="0.3">
      <c r="N10" s="263" t="s">
        <v>482</v>
      </c>
      <c r="O10" s="792" t="s">
        <v>1120</v>
      </c>
      <c r="P10" s="262">
        <f>-P29</f>
        <v>-0.16529235226304828</v>
      </c>
      <c r="Q10" s="262">
        <f t="shared" ref="Q10:S10" si="8">-Q29</f>
        <v>-0.36234828668842234</v>
      </c>
      <c r="R10" s="262">
        <f t="shared" si="8"/>
        <v>-0.67999918185887065</v>
      </c>
      <c r="S10" s="262">
        <f t="shared" si="8"/>
        <v>-0.48999973284565995</v>
      </c>
      <c r="T10" s="262">
        <f t="shared" ref="T10:U10" si="9">-T29</f>
        <v>0</v>
      </c>
      <c r="U10" s="262">
        <f t="shared" si="9"/>
        <v>-2.9403589792570325E-7</v>
      </c>
    </row>
    <row r="11" spans="2:21" ht="14.4" thickBot="1" x14ac:dyDescent="0.35">
      <c r="N11" s="263" t="s">
        <v>483</v>
      </c>
      <c r="O11" s="792" t="s">
        <v>191</v>
      </c>
      <c r="P11" s="262">
        <f t="shared" ref="P11:S11" si="10">P28</f>
        <v>0</v>
      </c>
      <c r="Q11" s="262">
        <f t="shared" si="10"/>
        <v>0</v>
      </c>
      <c r="R11" s="262">
        <f t="shared" si="10"/>
        <v>0</v>
      </c>
      <c r="S11" s="262">
        <f t="shared" si="10"/>
        <v>0</v>
      </c>
      <c r="T11" s="262">
        <f t="shared" ref="T11:U11" si="11">T28</f>
        <v>0</v>
      </c>
      <c r="U11" s="262">
        <f t="shared" si="11"/>
        <v>0</v>
      </c>
    </row>
    <row r="12" spans="2:21" ht="14.4" thickBot="1" x14ac:dyDescent="0.35">
      <c r="N12" s="790" t="s">
        <v>143</v>
      </c>
      <c r="O12" s="793" t="s">
        <v>143</v>
      </c>
      <c r="P12" s="264">
        <f>P8+P26</f>
        <v>0</v>
      </c>
      <c r="Q12" s="264">
        <f t="shared" ref="Q12:T12" si="12">Q8+Q26</f>
        <v>0</v>
      </c>
      <c r="R12" s="264">
        <f t="shared" si="12"/>
        <v>0</v>
      </c>
      <c r="S12" s="264">
        <f t="shared" si="12"/>
        <v>0</v>
      </c>
      <c r="T12" s="264">
        <f t="shared" si="12"/>
        <v>0</v>
      </c>
      <c r="U12" s="265">
        <f t="shared" ref="U12" si="13">U8+U26</f>
        <v>0</v>
      </c>
    </row>
    <row r="13" spans="2:21" x14ac:dyDescent="0.3">
      <c r="N13" s="266" t="s">
        <v>195</v>
      </c>
      <c r="O13" s="266" t="s">
        <v>195</v>
      </c>
      <c r="P13" s="262"/>
      <c r="Q13" s="262"/>
      <c r="R13" s="262"/>
      <c r="S13" s="262"/>
      <c r="T13" s="262"/>
      <c r="U13" s="262"/>
    </row>
    <row r="14" spans="2:21" x14ac:dyDescent="0.3">
      <c r="N14" s="263" t="s">
        <v>192</v>
      </c>
      <c r="O14" s="792" t="s">
        <v>1339</v>
      </c>
      <c r="P14" s="262">
        <f t="shared" ref="P14:S14" si="14">P17-P15-P16</f>
        <v>-1.0789174782868978</v>
      </c>
      <c r="Q14" s="262">
        <f t="shared" si="14"/>
        <v>-1.5493995855584819</v>
      </c>
      <c r="R14" s="262">
        <f>R17-R15-R16</f>
        <v>-0.89677298584209775</v>
      </c>
      <c r="S14" s="262">
        <f t="shared" si="14"/>
        <v>-0.50376653778628566</v>
      </c>
      <c r="T14" s="262">
        <f t="shared" ref="T14:U14" si="15">T17-T15-T16</f>
        <v>-8.9913323199984366E-2</v>
      </c>
      <c r="U14" s="262">
        <f t="shared" si="15"/>
        <v>-0.17592601845438224</v>
      </c>
    </row>
    <row r="15" spans="2:21" x14ac:dyDescent="0.3">
      <c r="N15" s="263" t="s">
        <v>142</v>
      </c>
      <c r="O15" s="792" t="s">
        <v>1338</v>
      </c>
      <c r="P15" s="262">
        <f>'Tabuľka 2 '!D7</f>
        <v>0.12644643414613574</v>
      </c>
      <c r="Q15" s="262">
        <f>'Tabuľka 2 '!E7</f>
        <v>0.48921923372297516</v>
      </c>
      <c r="R15" s="262">
        <f>'Tabuľka 2 '!F7</f>
        <v>0.21677380398322707</v>
      </c>
      <c r="S15" s="262">
        <f>'Tabuľka 2 '!G7</f>
        <v>1.3766804940625722E-2</v>
      </c>
      <c r="T15" s="262">
        <f>'Tabuľka 2 '!H7</f>
        <v>8.9913323199984366E-2</v>
      </c>
      <c r="U15" s="262">
        <f>'Tabuľka 2 '!I7</f>
        <v>0.17592601845438224</v>
      </c>
    </row>
    <row r="16" spans="2:21" x14ac:dyDescent="0.3">
      <c r="N16" s="258" t="s">
        <v>191</v>
      </c>
      <c r="O16" s="791" t="s">
        <v>191</v>
      </c>
      <c r="P16" s="262">
        <f>'Tabuľka 2 '!D8</f>
        <v>0</v>
      </c>
      <c r="Q16" s="262">
        <f>'Tabuľka 2 '!E8</f>
        <v>0</v>
      </c>
      <c r="R16" s="262">
        <f>'Tabuľka 2 '!F8</f>
        <v>0</v>
      </c>
      <c r="S16" s="262">
        <f>'Tabuľka 2 '!G8</f>
        <v>0</v>
      </c>
      <c r="T16" s="262">
        <f>'Tabuľka 2 '!H8</f>
        <v>0</v>
      </c>
      <c r="U16" s="262">
        <f>'Tabuľka 2 '!I8</f>
        <v>0</v>
      </c>
    </row>
    <row r="17" spans="2:21" x14ac:dyDescent="0.3">
      <c r="N17" s="263" t="s">
        <v>190</v>
      </c>
      <c r="O17" s="792" t="s">
        <v>1340</v>
      </c>
      <c r="P17" s="262">
        <f>'Tabuľka 2 '!D6</f>
        <v>-0.95247104414076211</v>
      </c>
      <c r="Q17" s="262">
        <f>'Tabuľka 2 '!E6</f>
        <v>-1.0601803518355066</v>
      </c>
      <c r="R17" s="262">
        <f>'Tabuľka 2 '!F6</f>
        <v>-0.67999918185887065</v>
      </c>
      <c r="S17" s="262">
        <f>'Tabuľka 2 '!G6</f>
        <v>-0.48999973284565995</v>
      </c>
      <c r="T17" s="262">
        <f>'Tabuľka 2 '!H6</f>
        <v>0</v>
      </c>
      <c r="U17" s="262">
        <f>'Tabuľka 2 '!I6</f>
        <v>0</v>
      </c>
    </row>
    <row r="18" spans="2:21" x14ac:dyDescent="0.3">
      <c r="N18" s="263"/>
      <c r="O18" s="792"/>
      <c r="P18" s="262"/>
      <c r="Q18" s="262"/>
      <c r="R18" s="262"/>
      <c r="S18" s="262"/>
      <c r="T18" s="262"/>
      <c r="U18" s="262"/>
    </row>
    <row r="19" spans="2:21" x14ac:dyDescent="0.3">
      <c r="B19" s="909" t="s">
        <v>922</v>
      </c>
      <c r="C19" s="909"/>
      <c r="D19" s="909"/>
      <c r="E19" s="909"/>
      <c r="F19" s="909"/>
      <c r="G19" s="909"/>
      <c r="H19" s="909"/>
      <c r="N19" s="431" t="s">
        <v>194</v>
      </c>
      <c r="O19" s="266" t="s">
        <v>1341</v>
      </c>
      <c r="P19" s="432"/>
      <c r="Q19" s="432"/>
      <c r="R19" s="432"/>
      <c r="S19" s="432"/>
      <c r="T19" s="432"/>
      <c r="U19" s="432"/>
    </row>
    <row r="20" spans="2:21" x14ac:dyDescent="0.3">
      <c r="N20" s="433" t="s">
        <v>192</v>
      </c>
      <c r="O20" s="792" t="s">
        <v>1339</v>
      </c>
      <c r="P20" s="432">
        <v>-0.8139438545060792</v>
      </c>
      <c r="Q20" s="432">
        <v>-1.0446831241312096</v>
      </c>
      <c r="R20" s="432">
        <v>-0.4462209638173571</v>
      </c>
      <c r="S20" s="432">
        <v>-0.43110242782119268</v>
      </c>
      <c r="T20" s="432">
        <v>-0.36613172534577199</v>
      </c>
      <c r="U20" s="432">
        <v>-0.21725681816170722</v>
      </c>
    </row>
    <row r="21" spans="2:21" x14ac:dyDescent="0.3">
      <c r="N21" s="433" t="s">
        <v>142</v>
      </c>
      <c r="O21" s="792" t="s">
        <v>1338</v>
      </c>
      <c r="P21" s="432">
        <v>2.6765162628365386E-2</v>
      </c>
      <c r="Q21" s="432">
        <v>0.34685105898412533</v>
      </c>
      <c r="R21" s="432">
        <v>0.4462209638173571</v>
      </c>
      <c r="S21" s="432">
        <v>0.43110242782119268</v>
      </c>
      <c r="T21" s="432">
        <v>0.36613172534577199</v>
      </c>
      <c r="U21" s="432">
        <v>0.21725711219760516</v>
      </c>
    </row>
    <row r="22" spans="2:21" x14ac:dyDescent="0.3">
      <c r="N22" s="434" t="s">
        <v>191</v>
      </c>
      <c r="O22" s="791" t="s">
        <v>191</v>
      </c>
      <c r="P22" s="432">
        <v>0</v>
      </c>
      <c r="Q22" s="432">
        <v>0</v>
      </c>
      <c r="R22" s="432">
        <v>0</v>
      </c>
      <c r="S22" s="432">
        <v>0</v>
      </c>
      <c r="T22" s="432">
        <v>0</v>
      </c>
      <c r="U22" s="432">
        <v>0</v>
      </c>
    </row>
    <row r="23" spans="2:21" x14ac:dyDescent="0.3">
      <c r="N23" s="433" t="s">
        <v>190</v>
      </c>
      <c r="O23" s="792" t="s">
        <v>1340</v>
      </c>
      <c r="P23" s="432">
        <v>-0.78717869187771383</v>
      </c>
      <c r="Q23" s="432">
        <v>-0.69783206514708429</v>
      </c>
      <c r="R23" s="432">
        <v>0</v>
      </c>
      <c r="S23" s="432">
        <v>0</v>
      </c>
      <c r="T23" s="432">
        <v>0</v>
      </c>
      <c r="U23" s="432">
        <v>2.9403589792570325E-7</v>
      </c>
    </row>
    <row r="24" spans="2:21" x14ac:dyDescent="0.3">
      <c r="O24" s="791"/>
      <c r="P24" s="262"/>
      <c r="Q24" s="262"/>
      <c r="R24" s="262"/>
      <c r="S24" s="262"/>
      <c r="T24" s="262"/>
      <c r="U24" s="262"/>
    </row>
    <row r="25" spans="2:21" x14ac:dyDescent="0.3">
      <c r="N25" s="266" t="s">
        <v>193</v>
      </c>
      <c r="O25" s="266" t="s">
        <v>1342</v>
      </c>
      <c r="P25" s="262"/>
      <c r="Q25" s="262"/>
      <c r="R25" s="262"/>
      <c r="S25" s="262"/>
      <c r="T25" s="262"/>
      <c r="U25" s="262"/>
    </row>
    <row r="26" spans="2:21" x14ac:dyDescent="0.3">
      <c r="N26" s="263" t="s">
        <v>192</v>
      </c>
      <c r="O26" s="792" t="s">
        <v>1339</v>
      </c>
      <c r="P26" s="262">
        <f>P20-P14</f>
        <v>0.26497362378081857</v>
      </c>
      <c r="Q26" s="262">
        <f t="shared" ref="Q26:S26" si="16">Q20-Q14</f>
        <v>0.50471646142727233</v>
      </c>
      <c r="R26" s="262">
        <f t="shared" si="16"/>
        <v>0.45055202202474065</v>
      </c>
      <c r="S26" s="262">
        <f t="shared" si="16"/>
        <v>7.2664109965092982E-2</v>
      </c>
      <c r="T26" s="262">
        <f t="shared" ref="T26:U26" si="17">T20-T14</f>
        <v>-0.27621840214578763</v>
      </c>
      <c r="U26" s="262">
        <f t="shared" si="17"/>
        <v>-4.1330799707324978E-2</v>
      </c>
    </row>
    <row r="27" spans="2:21" x14ac:dyDescent="0.3">
      <c r="N27" s="263" t="s">
        <v>142</v>
      </c>
      <c r="O27" s="792" t="s">
        <v>1338</v>
      </c>
      <c r="P27" s="262">
        <f t="shared" ref="P27:S28" si="18">P21-P15</f>
        <v>-9.9681271517770356E-2</v>
      </c>
      <c r="Q27" s="262">
        <f>Q21-Q15</f>
        <v>-0.14236817473884983</v>
      </c>
      <c r="R27" s="262">
        <f>R21-R15</f>
        <v>0.22944715983413003</v>
      </c>
      <c r="S27" s="262">
        <f t="shared" si="18"/>
        <v>0.41733562288056697</v>
      </c>
      <c r="T27" s="262">
        <f t="shared" ref="T27:U27" si="19">T21-T15</f>
        <v>0.27621840214578763</v>
      </c>
      <c r="U27" s="262">
        <f t="shared" si="19"/>
        <v>4.1331093743222913E-2</v>
      </c>
    </row>
    <row r="28" spans="2:21" x14ac:dyDescent="0.3">
      <c r="N28" s="258" t="s">
        <v>191</v>
      </c>
      <c r="O28" s="791" t="s">
        <v>191</v>
      </c>
      <c r="P28" s="262">
        <f t="shared" si="18"/>
        <v>0</v>
      </c>
      <c r="Q28" s="262">
        <f t="shared" si="18"/>
        <v>0</v>
      </c>
      <c r="R28" s="262">
        <f t="shared" si="18"/>
        <v>0</v>
      </c>
      <c r="S28" s="262">
        <f t="shared" si="18"/>
        <v>0</v>
      </c>
      <c r="T28" s="262">
        <f t="shared" ref="T28:U28" si="20">T22-T16</f>
        <v>0</v>
      </c>
      <c r="U28" s="262">
        <f t="shared" si="20"/>
        <v>0</v>
      </c>
    </row>
    <row r="29" spans="2:21" ht="17.100000000000001" customHeight="1" x14ac:dyDescent="0.3">
      <c r="N29" s="263" t="s">
        <v>190</v>
      </c>
      <c r="O29" s="792" t="s">
        <v>1340</v>
      </c>
      <c r="P29" s="262">
        <f t="shared" ref="P29:T29" si="21">P23-P17</f>
        <v>0.16529235226304828</v>
      </c>
      <c r="Q29" s="262">
        <f t="shared" si="21"/>
        <v>0.36234828668842234</v>
      </c>
      <c r="R29" s="262">
        <f t="shared" si="21"/>
        <v>0.67999918185887065</v>
      </c>
      <c r="S29" s="262">
        <f t="shared" si="21"/>
        <v>0.48999973284565995</v>
      </c>
      <c r="T29" s="262">
        <f t="shared" si="21"/>
        <v>0</v>
      </c>
      <c r="U29" s="262">
        <f t="shared" ref="U29" si="22">U23-U17</f>
        <v>2.9403589792570325E-7</v>
      </c>
    </row>
    <row r="30" spans="2:21" ht="17.100000000000001" customHeight="1" x14ac:dyDescent="0.3"/>
    <row r="31" spans="2:21" ht="17.100000000000001" customHeight="1" x14ac:dyDescent="0.3"/>
    <row r="32" spans="2:21" ht="17.100000000000001" customHeight="1" x14ac:dyDescent="0.3"/>
    <row r="33" spans="12:18" ht="17.100000000000001" customHeight="1" x14ac:dyDescent="0.3">
      <c r="L33" s="909" t="s">
        <v>1343</v>
      </c>
      <c r="M33" s="909"/>
      <c r="N33" s="909"/>
      <c r="O33" s="909"/>
      <c r="P33" s="909"/>
      <c r="Q33" s="909"/>
      <c r="R33" s="909"/>
    </row>
    <row r="34" spans="12:18" ht="17.100000000000001" customHeight="1" x14ac:dyDescent="0.3"/>
    <row r="35" spans="12:18" ht="17.100000000000001" customHeight="1" x14ac:dyDescent="0.3"/>
    <row r="36" spans="12:18" ht="17.100000000000001" customHeight="1" x14ac:dyDescent="0.3"/>
    <row r="37" spans="12:18" ht="17.100000000000001" customHeight="1" x14ac:dyDescent="0.3"/>
    <row r="38" spans="12:18" ht="17.100000000000001" customHeight="1" x14ac:dyDescent="0.3"/>
    <row r="49" spans="12:18" x14ac:dyDescent="0.3">
      <c r="L49" s="909" t="s">
        <v>1344</v>
      </c>
      <c r="M49" s="909"/>
      <c r="N49" s="909"/>
      <c r="O49" s="909"/>
      <c r="P49" s="909"/>
      <c r="Q49" s="909"/>
      <c r="R49" s="909"/>
    </row>
  </sheetData>
  <mergeCells count="4">
    <mergeCell ref="B4:H4"/>
    <mergeCell ref="B19:H19"/>
    <mergeCell ref="L33:R33"/>
    <mergeCell ref="L49:R49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5"/>
  <sheetViews>
    <sheetView showGridLines="0" zoomScaleNormal="100" workbookViewId="0">
      <selection activeCell="U21" sqref="U21"/>
    </sheetView>
  </sheetViews>
  <sheetFormatPr defaultColWidth="8.88671875" defaultRowHeight="13.8" x14ac:dyDescent="0.3"/>
  <cols>
    <col min="1" max="1" width="11.33203125" style="535" customWidth="1"/>
    <col min="2" max="12" width="8.88671875" style="535"/>
    <col min="13" max="13" width="15.6640625" style="535" customWidth="1"/>
    <col min="14" max="14" width="11" style="535" customWidth="1"/>
    <col min="15" max="20" width="7.88671875" style="535" customWidth="1"/>
    <col min="21" max="16384" width="8.88671875" style="535"/>
  </cols>
  <sheetData>
    <row r="3" spans="2:20" x14ac:dyDescent="0.3">
      <c r="C3" s="115"/>
    </row>
    <row r="4" spans="2:20" x14ac:dyDescent="0.3">
      <c r="C4" s="115"/>
      <c r="M4" s="116" t="s">
        <v>176</v>
      </c>
      <c r="N4" s="116" t="s">
        <v>1010</v>
      </c>
      <c r="O4" s="585"/>
      <c r="P4" s="585"/>
      <c r="Q4" s="585"/>
      <c r="R4" s="585"/>
      <c r="S4" s="585"/>
      <c r="T4" s="585"/>
    </row>
    <row r="5" spans="2:20" x14ac:dyDescent="0.3">
      <c r="C5" s="115"/>
    </row>
    <row r="6" spans="2:20" ht="14.4" x14ac:dyDescent="0.3">
      <c r="B6" s="856" t="s">
        <v>991</v>
      </c>
      <c r="C6" s="857"/>
      <c r="D6" s="857"/>
      <c r="E6" s="857"/>
      <c r="F6" s="857"/>
      <c r="G6" s="857"/>
      <c r="H6" s="857"/>
      <c r="I6" s="857"/>
      <c r="J6" s="857"/>
      <c r="M6" s="10" t="s">
        <v>992</v>
      </c>
      <c r="N6" s="10" t="s">
        <v>1349</v>
      </c>
    </row>
    <row r="7" spans="2:20" x14ac:dyDescent="0.3">
      <c r="B7" s="10"/>
      <c r="C7" s="115"/>
      <c r="M7" s="598"/>
      <c r="N7" s="598"/>
      <c r="O7" s="598">
        <v>2017</v>
      </c>
      <c r="P7" s="598">
        <v>2018</v>
      </c>
      <c r="Q7" s="598">
        <v>2019</v>
      </c>
      <c r="R7" s="598">
        <v>2020</v>
      </c>
      <c r="S7" s="598">
        <v>2021</v>
      </c>
      <c r="T7" s="598">
        <v>2022</v>
      </c>
    </row>
    <row r="8" spans="2:20" x14ac:dyDescent="0.3">
      <c r="B8" s="10"/>
      <c r="C8" s="115"/>
      <c r="M8" s="10" t="s">
        <v>103</v>
      </c>
      <c r="N8" s="10" t="s">
        <v>103</v>
      </c>
      <c r="O8" s="587">
        <v>5.4</v>
      </c>
      <c r="P8" s="587">
        <v>6.5993309791546784</v>
      </c>
      <c r="Q8" s="587">
        <v>5.6253270801620765</v>
      </c>
      <c r="R8" s="587">
        <v>3.6422257726018956</v>
      </c>
      <c r="S8" s="587">
        <v>3.3327225852992841</v>
      </c>
      <c r="T8" s="587">
        <v>3.8273970984181047</v>
      </c>
    </row>
    <row r="9" spans="2:20" x14ac:dyDescent="0.3">
      <c r="B9" s="10"/>
      <c r="C9" s="115"/>
      <c r="M9" s="10" t="s">
        <v>104</v>
      </c>
      <c r="N9" s="10" t="s">
        <v>104</v>
      </c>
      <c r="O9" s="587">
        <v>4.3932519567296602E-2</v>
      </c>
      <c r="P9" s="587">
        <v>2.1045154563578805E-2</v>
      </c>
      <c r="Q9" s="587">
        <v>1.2005872284566381</v>
      </c>
      <c r="R9" s="587">
        <v>2.7620455511055435</v>
      </c>
      <c r="S9" s="587">
        <v>2.2558913407298524</v>
      </c>
      <c r="T9" s="587">
        <v>1.3279313761623102</v>
      </c>
    </row>
    <row r="10" spans="2:20" x14ac:dyDescent="0.3">
      <c r="C10" s="115"/>
      <c r="M10" s="10" t="s">
        <v>106</v>
      </c>
      <c r="N10" s="10" t="s">
        <v>1347</v>
      </c>
      <c r="O10" s="587">
        <v>5.443932519567297</v>
      </c>
      <c r="P10" s="587">
        <v>6.5993309791546784</v>
      </c>
      <c r="Q10" s="587">
        <v>6.1225212488298926</v>
      </c>
      <c r="R10" s="587">
        <v>4.307000818046518</v>
      </c>
      <c r="S10" s="587">
        <v>4.8183054800664795</v>
      </c>
      <c r="T10" s="587">
        <v>4.527920601147283</v>
      </c>
    </row>
    <row r="11" spans="2:20" x14ac:dyDescent="0.3">
      <c r="C11" s="115"/>
      <c r="M11" s="10" t="s">
        <v>105</v>
      </c>
      <c r="N11" s="10" t="s">
        <v>1348</v>
      </c>
      <c r="O11" s="587">
        <v>5.4432491448034703</v>
      </c>
      <c r="P11" s="587">
        <v>6.6019686382288532</v>
      </c>
      <c r="Q11" s="587">
        <v>6.3070142930231725</v>
      </c>
      <c r="R11" s="587">
        <v>4.5665453691593125</v>
      </c>
      <c r="S11" s="587">
        <v>4.6665571432025015</v>
      </c>
      <c r="T11" s="587">
        <v>4.5187341108959096</v>
      </c>
    </row>
    <row r="12" spans="2:20" x14ac:dyDescent="0.3">
      <c r="C12" s="115"/>
      <c r="P12" s="10"/>
    </row>
    <row r="13" spans="2:20" x14ac:dyDescent="0.3">
      <c r="C13" s="115"/>
    </row>
    <row r="15" spans="2:20" x14ac:dyDescent="0.3">
      <c r="L15" s="113" t="s">
        <v>1350</v>
      </c>
    </row>
  </sheetData>
  <mergeCells count="1">
    <mergeCell ref="B6:J6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2"/>
  <sheetViews>
    <sheetView workbookViewId="0"/>
  </sheetViews>
  <sheetFormatPr defaultRowHeight="14.4" x14ac:dyDescent="0.3"/>
  <cols>
    <col min="2" max="2" width="31.33203125" customWidth="1"/>
  </cols>
  <sheetData>
    <row r="3" spans="2:11" ht="15" thickBot="1" x14ac:dyDescent="0.35">
      <c r="B3" s="910" t="s">
        <v>935</v>
      </c>
      <c r="C3" s="910"/>
      <c r="D3" s="910"/>
      <c r="E3" s="910"/>
      <c r="F3" s="910"/>
      <c r="G3" s="910"/>
      <c r="H3" s="910"/>
      <c r="I3" s="910"/>
      <c r="J3" s="910"/>
      <c r="K3" s="910"/>
    </row>
    <row r="4" spans="2:11" ht="15" thickBot="1" x14ac:dyDescent="0.35">
      <c r="B4" s="676"/>
      <c r="C4" s="555">
        <v>2018</v>
      </c>
      <c r="D4" s="911">
        <v>2019</v>
      </c>
      <c r="E4" s="912"/>
      <c r="F4" s="912">
        <v>2020</v>
      </c>
      <c r="G4" s="912"/>
      <c r="H4" s="913">
        <v>2021</v>
      </c>
      <c r="I4" s="913"/>
      <c r="J4" s="913">
        <v>2022</v>
      </c>
      <c r="K4" s="913"/>
    </row>
    <row r="5" spans="2:11" ht="15" thickBot="1" x14ac:dyDescent="0.35">
      <c r="B5" s="677" t="s">
        <v>936</v>
      </c>
      <c r="C5" s="555"/>
      <c r="D5" s="572" t="s">
        <v>937</v>
      </c>
      <c r="E5" s="572" t="s">
        <v>938</v>
      </c>
      <c r="F5" s="572" t="s">
        <v>937</v>
      </c>
      <c r="G5" s="572" t="s">
        <v>938</v>
      </c>
      <c r="H5" s="546" t="s">
        <v>937</v>
      </c>
      <c r="I5" s="546" t="s">
        <v>938</v>
      </c>
      <c r="J5" s="546" t="s">
        <v>937</v>
      </c>
      <c r="K5" s="546" t="s">
        <v>938</v>
      </c>
    </row>
    <row r="6" spans="2:11" x14ac:dyDescent="0.3">
      <c r="B6" s="674" t="s">
        <v>939</v>
      </c>
      <c r="C6" s="557">
        <v>4</v>
      </c>
      <c r="D6" s="673">
        <v>2.6</v>
      </c>
      <c r="E6" s="673">
        <v>2.4</v>
      </c>
      <c r="F6" s="673">
        <v>2.2999999999999998</v>
      </c>
      <c r="G6" s="673">
        <v>2.2999999999999998</v>
      </c>
      <c r="H6" s="673">
        <v>2.6</v>
      </c>
      <c r="I6" s="541">
        <v>2.8</v>
      </c>
      <c r="J6" s="541">
        <v>2.6</v>
      </c>
      <c r="K6" s="541">
        <v>2.7</v>
      </c>
    </row>
    <row r="7" spans="2:11" x14ac:dyDescent="0.3">
      <c r="B7" s="674" t="s">
        <v>940</v>
      </c>
      <c r="C7" s="557">
        <v>89.7</v>
      </c>
      <c r="D7" s="673">
        <v>95</v>
      </c>
      <c r="E7" s="673">
        <v>94.6</v>
      </c>
      <c r="F7" s="673">
        <v>99.4</v>
      </c>
      <c r="G7" s="673">
        <v>98.6</v>
      </c>
      <c r="H7" s="673">
        <v>103.8</v>
      </c>
      <c r="I7" s="541">
        <v>103.5</v>
      </c>
      <c r="J7" s="541">
        <v>108.6</v>
      </c>
      <c r="K7" s="541">
        <v>108.8</v>
      </c>
    </row>
    <row r="8" spans="2:11" x14ac:dyDescent="0.3">
      <c r="B8" s="678" t="s">
        <v>941</v>
      </c>
      <c r="C8" s="557">
        <v>3.9</v>
      </c>
      <c r="D8" s="673">
        <v>1.8</v>
      </c>
      <c r="E8" s="673">
        <v>1.7</v>
      </c>
      <c r="F8" s="673">
        <v>2.2000000000000002</v>
      </c>
      <c r="G8" s="673">
        <v>2.1</v>
      </c>
      <c r="H8" s="673">
        <v>2.2999999999999998</v>
      </c>
      <c r="I8" s="541">
        <v>2.5</v>
      </c>
      <c r="J8" s="541">
        <v>2.1</v>
      </c>
      <c r="K8" s="541">
        <v>2.1</v>
      </c>
    </row>
    <row r="9" spans="2:11" x14ac:dyDescent="0.3">
      <c r="B9" s="678" t="s">
        <v>942</v>
      </c>
      <c r="C9" s="557">
        <v>6.3</v>
      </c>
      <c r="D9" s="673">
        <v>4.4000000000000004</v>
      </c>
      <c r="E9" s="673">
        <v>4</v>
      </c>
      <c r="F9" s="673">
        <v>4.5</v>
      </c>
      <c r="G9" s="673">
        <v>4.2</v>
      </c>
      <c r="H9" s="673">
        <v>4.3</v>
      </c>
      <c r="I9" s="541">
        <v>4.7</v>
      </c>
      <c r="J9" s="541">
        <v>4.3</v>
      </c>
      <c r="K9" s="541">
        <v>4.5</v>
      </c>
    </row>
    <row r="10" spans="2:11" x14ac:dyDescent="0.3">
      <c r="B10" s="678" t="s">
        <v>943</v>
      </c>
      <c r="C10" s="557">
        <v>3.6</v>
      </c>
      <c r="D10" s="673">
        <v>4.5999999999999996</v>
      </c>
      <c r="E10" s="673">
        <v>4.8</v>
      </c>
      <c r="F10" s="673">
        <v>2.9</v>
      </c>
      <c r="G10" s="541">
        <v>2.5</v>
      </c>
      <c r="H10" s="673">
        <v>2.5</v>
      </c>
      <c r="I10" s="541">
        <v>2.9</v>
      </c>
      <c r="J10" s="541">
        <v>2.4</v>
      </c>
      <c r="K10" s="541">
        <v>2.4</v>
      </c>
    </row>
    <row r="11" spans="2:11" x14ac:dyDescent="0.3">
      <c r="B11" s="678" t="s">
        <v>944</v>
      </c>
      <c r="C11" s="557">
        <v>6.2</v>
      </c>
      <c r="D11" s="673">
        <v>7.4</v>
      </c>
      <c r="E11" s="673">
        <v>7.4</v>
      </c>
      <c r="F11" s="673">
        <v>5.0999999999999996</v>
      </c>
      <c r="G11" s="673">
        <v>4.7</v>
      </c>
      <c r="H11" s="673">
        <v>4.7</v>
      </c>
      <c r="I11" s="541">
        <v>5.0999999999999996</v>
      </c>
      <c r="J11" s="541">
        <v>4.5</v>
      </c>
      <c r="K11" s="541">
        <v>4.8</v>
      </c>
    </row>
    <row r="12" spans="2:11" x14ac:dyDescent="0.3">
      <c r="B12" s="678" t="s">
        <v>945</v>
      </c>
      <c r="C12" s="557">
        <v>1.9</v>
      </c>
      <c r="D12" s="673">
        <v>1.2</v>
      </c>
      <c r="E12" s="673">
        <v>1.1000000000000001</v>
      </c>
      <c r="F12" s="673">
        <v>0.6</v>
      </c>
      <c r="G12" s="673">
        <v>0.2</v>
      </c>
      <c r="H12" s="673">
        <v>0.5</v>
      </c>
      <c r="I12" s="541">
        <v>0.3</v>
      </c>
      <c r="J12" s="541">
        <v>0.3</v>
      </c>
      <c r="K12" s="541">
        <v>0.2</v>
      </c>
    </row>
    <row r="13" spans="2:11" x14ac:dyDescent="0.3">
      <c r="B13" s="678" t="s">
        <v>946</v>
      </c>
      <c r="C13" s="557">
        <v>2.5</v>
      </c>
      <c r="D13" s="673">
        <v>2.6</v>
      </c>
      <c r="E13" s="673">
        <v>2.5</v>
      </c>
      <c r="F13" s="673">
        <v>2.2999999999999998</v>
      </c>
      <c r="G13" s="673">
        <v>2.1</v>
      </c>
      <c r="H13" s="673">
        <v>2.1</v>
      </c>
      <c r="I13" s="541">
        <v>2.2000000000000002</v>
      </c>
      <c r="J13" s="541">
        <v>2.2000000000000002</v>
      </c>
      <c r="K13" s="541">
        <v>2.2999999999999998</v>
      </c>
    </row>
    <row r="14" spans="2:11" ht="15" thickBot="1" x14ac:dyDescent="0.35">
      <c r="B14" s="675" t="s">
        <v>947</v>
      </c>
      <c r="C14" s="559">
        <v>-2.5</v>
      </c>
      <c r="D14" s="575">
        <v>-2</v>
      </c>
      <c r="E14" s="575">
        <v>-3.2</v>
      </c>
      <c r="F14" s="575">
        <v>-2</v>
      </c>
      <c r="G14" s="575">
        <v>-2.2000000000000002</v>
      </c>
      <c r="H14" s="575">
        <v>-2</v>
      </c>
      <c r="I14" s="542">
        <v>-1.5</v>
      </c>
      <c r="J14" s="542">
        <v>-1.2</v>
      </c>
      <c r="K14" s="542">
        <v>-1.3</v>
      </c>
    </row>
    <row r="15" spans="2:11" x14ac:dyDescent="0.3">
      <c r="B15" s="914" t="s">
        <v>948</v>
      </c>
      <c r="C15" s="914"/>
      <c r="D15" s="914"/>
      <c r="E15" s="914"/>
      <c r="F15" s="914"/>
      <c r="G15" s="914"/>
      <c r="H15" s="914"/>
      <c r="I15" s="914"/>
      <c r="J15" s="914"/>
      <c r="K15" s="914"/>
    </row>
    <row r="17" spans="2:13" ht="15" thickBot="1" x14ac:dyDescent="0.35">
      <c r="B17" s="910" t="s">
        <v>1360</v>
      </c>
      <c r="C17" s="910"/>
      <c r="D17" s="910"/>
      <c r="E17" s="910"/>
      <c r="F17" s="910"/>
      <c r="G17" s="910"/>
      <c r="H17" s="910"/>
      <c r="I17" s="910"/>
      <c r="J17" s="910"/>
      <c r="K17" s="910"/>
    </row>
    <row r="18" spans="2:13" ht="15" thickBot="1" x14ac:dyDescent="0.35">
      <c r="B18" s="676"/>
      <c r="C18" s="555">
        <v>2018</v>
      </c>
      <c r="D18" s="911">
        <v>2019</v>
      </c>
      <c r="E18" s="912"/>
      <c r="F18" s="912">
        <v>2020</v>
      </c>
      <c r="G18" s="912"/>
      <c r="H18" s="913">
        <v>2021</v>
      </c>
      <c r="I18" s="913"/>
      <c r="J18" s="913">
        <v>2022</v>
      </c>
      <c r="K18" s="913"/>
      <c r="M18" s="745"/>
    </row>
    <row r="19" spans="2:13" ht="15" thickBot="1" x14ac:dyDescent="0.35">
      <c r="B19" s="677" t="s">
        <v>1351</v>
      </c>
      <c r="C19" s="555"/>
      <c r="D19" s="572" t="s">
        <v>1359</v>
      </c>
      <c r="E19" s="572" t="s">
        <v>1358</v>
      </c>
      <c r="F19" s="572" t="s">
        <v>1359</v>
      </c>
      <c r="G19" s="572" t="s">
        <v>1358</v>
      </c>
      <c r="H19" s="572" t="s">
        <v>1359</v>
      </c>
      <c r="I19" s="572" t="s">
        <v>1358</v>
      </c>
      <c r="J19" s="572" t="s">
        <v>1359</v>
      </c>
      <c r="K19" s="572" t="s">
        <v>1358</v>
      </c>
      <c r="M19" s="745"/>
    </row>
    <row r="20" spans="2:13" x14ac:dyDescent="0.3">
      <c r="B20" s="755" t="s">
        <v>1352</v>
      </c>
      <c r="C20" s="557">
        <v>4</v>
      </c>
      <c r="D20" s="743">
        <v>2.6</v>
      </c>
      <c r="E20" s="743">
        <v>2.4</v>
      </c>
      <c r="F20" s="743">
        <v>2.2999999999999998</v>
      </c>
      <c r="G20" s="743">
        <v>2.2999999999999998</v>
      </c>
      <c r="H20" s="743">
        <v>2.6</v>
      </c>
      <c r="I20" s="541">
        <v>2.8</v>
      </c>
      <c r="J20" s="541">
        <v>2.6</v>
      </c>
      <c r="K20" s="541">
        <v>2.7</v>
      </c>
      <c r="M20" s="745"/>
    </row>
    <row r="21" spans="2:13" x14ac:dyDescent="0.3">
      <c r="B21" s="755" t="s">
        <v>1302</v>
      </c>
      <c r="C21" s="557">
        <v>89.7</v>
      </c>
      <c r="D21" s="743">
        <v>95</v>
      </c>
      <c r="E21" s="743">
        <v>94.6</v>
      </c>
      <c r="F21" s="743">
        <v>99.4</v>
      </c>
      <c r="G21" s="743">
        <v>98.6</v>
      </c>
      <c r="H21" s="743">
        <v>103.8</v>
      </c>
      <c r="I21" s="541">
        <v>103.5</v>
      </c>
      <c r="J21" s="541">
        <v>108.6</v>
      </c>
      <c r="K21" s="541">
        <v>108.8</v>
      </c>
      <c r="M21" s="745"/>
    </row>
    <row r="22" spans="2:13" x14ac:dyDescent="0.3">
      <c r="B22" s="678" t="s">
        <v>1353</v>
      </c>
      <c r="C22" s="557">
        <v>3.9</v>
      </c>
      <c r="D22" s="743">
        <v>1.8</v>
      </c>
      <c r="E22" s="743">
        <v>1.7</v>
      </c>
      <c r="F22" s="743">
        <v>2.2000000000000002</v>
      </c>
      <c r="G22" s="743">
        <v>2.1</v>
      </c>
      <c r="H22" s="743">
        <v>2.2999999999999998</v>
      </c>
      <c r="I22" s="541">
        <v>2.5</v>
      </c>
      <c r="J22" s="541">
        <v>2.1</v>
      </c>
      <c r="K22" s="541">
        <v>2.1</v>
      </c>
      <c r="M22" s="745"/>
    </row>
    <row r="23" spans="2:13" x14ac:dyDescent="0.3">
      <c r="B23" s="678" t="s">
        <v>1353</v>
      </c>
      <c r="C23" s="557">
        <v>6.3</v>
      </c>
      <c r="D23" s="743">
        <v>4.4000000000000004</v>
      </c>
      <c r="E23" s="743">
        <v>4</v>
      </c>
      <c r="F23" s="743">
        <v>4.5</v>
      </c>
      <c r="G23" s="743">
        <v>4.2</v>
      </c>
      <c r="H23" s="743">
        <v>4.3</v>
      </c>
      <c r="I23" s="541">
        <v>4.7</v>
      </c>
      <c r="J23" s="541">
        <v>4.3</v>
      </c>
      <c r="K23" s="541">
        <v>4.5</v>
      </c>
      <c r="M23" s="745"/>
    </row>
    <row r="24" spans="2:13" x14ac:dyDescent="0.3">
      <c r="B24" s="678" t="s">
        <v>1355</v>
      </c>
      <c r="C24" s="557">
        <v>3.6</v>
      </c>
      <c r="D24" s="743">
        <v>4.5999999999999996</v>
      </c>
      <c r="E24" s="743">
        <v>4.8</v>
      </c>
      <c r="F24" s="743">
        <v>2.9</v>
      </c>
      <c r="G24" s="541">
        <v>2.5</v>
      </c>
      <c r="H24" s="743">
        <v>2.5</v>
      </c>
      <c r="I24" s="541">
        <v>2.9</v>
      </c>
      <c r="J24" s="541">
        <v>2.4</v>
      </c>
      <c r="K24" s="541">
        <v>2.4</v>
      </c>
      <c r="M24" s="745"/>
    </row>
    <row r="25" spans="2:13" x14ac:dyDescent="0.3">
      <c r="B25" s="678" t="s">
        <v>1354</v>
      </c>
      <c r="C25" s="557">
        <v>6.2</v>
      </c>
      <c r="D25" s="743">
        <v>7.4</v>
      </c>
      <c r="E25" s="743">
        <v>7.4</v>
      </c>
      <c r="F25" s="743">
        <v>5.0999999999999996</v>
      </c>
      <c r="G25" s="743">
        <v>4.7</v>
      </c>
      <c r="H25" s="743">
        <v>4.7</v>
      </c>
      <c r="I25" s="541">
        <v>5.0999999999999996</v>
      </c>
      <c r="J25" s="541">
        <v>4.5</v>
      </c>
      <c r="K25" s="541">
        <v>4.8</v>
      </c>
      <c r="M25" s="745"/>
    </row>
    <row r="26" spans="2:13" x14ac:dyDescent="0.3">
      <c r="B26" s="678" t="s">
        <v>1356</v>
      </c>
      <c r="C26" s="557">
        <v>1.9</v>
      </c>
      <c r="D26" s="743">
        <v>1.2</v>
      </c>
      <c r="E26" s="743">
        <v>1.1000000000000001</v>
      </c>
      <c r="F26" s="743">
        <v>0.6</v>
      </c>
      <c r="G26" s="743">
        <v>0.2</v>
      </c>
      <c r="H26" s="743">
        <v>0.5</v>
      </c>
      <c r="I26" s="541">
        <v>0.3</v>
      </c>
      <c r="J26" s="541">
        <v>0.3</v>
      </c>
      <c r="K26" s="541">
        <v>0.2</v>
      </c>
      <c r="M26" s="745"/>
    </row>
    <row r="27" spans="2:13" x14ac:dyDescent="0.3">
      <c r="B27" s="678" t="s">
        <v>1357</v>
      </c>
      <c r="C27" s="557">
        <v>2.5</v>
      </c>
      <c r="D27" s="743">
        <v>2.6</v>
      </c>
      <c r="E27" s="743">
        <v>2.5</v>
      </c>
      <c r="F27" s="743">
        <v>2.2999999999999998</v>
      </c>
      <c r="G27" s="743">
        <v>2.1</v>
      </c>
      <c r="H27" s="743">
        <v>2.1</v>
      </c>
      <c r="I27" s="541">
        <v>2.2000000000000002</v>
      </c>
      <c r="J27" s="541">
        <v>2.2000000000000002</v>
      </c>
      <c r="K27" s="541">
        <v>2.2999999999999998</v>
      </c>
      <c r="M27" s="745"/>
    </row>
    <row r="28" spans="2:13" ht="15" thickBot="1" x14ac:dyDescent="0.35">
      <c r="B28" s="756" t="s">
        <v>1316</v>
      </c>
      <c r="C28" s="559">
        <v>-2.5</v>
      </c>
      <c r="D28" s="575">
        <v>-2</v>
      </c>
      <c r="E28" s="575">
        <v>-3.2</v>
      </c>
      <c r="F28" s="575">
        <v>-2</v>
      </c>
      <c r="G28" s="575">
        <v>-2.2000000000000002</v>
      </c>
      <c r="H28" s="575">
        <v>-2</v>
      </c>
      <c r="I28" s="542">
        <v>-1.5</v>
      </c>
      <c r="J28" s="542">
        <v>-1.2</v>
      </c>
      <c r="K28" s="542">
        <v>-1.3</v>
      </c>
      <c r="M28" s="745"/>
    </row>
    <row r="29" spans="2:13" x14ac:dyDescent="0.3">
      <c r="M29" s="745"/>
    </row>
    <row r="30" spans="2:13" x14ac:dyDescent="0.3">
      <c r="M30" s="745"/>
    </row>
    <row r="31" spans="2:13" x14ac:dyDescent="0.3">
      <c r="M31" s="745"/>
    </row>
    <row r="32" spans="2:13" x14ac:dyDescent="0.3">
      <c r="M32" s="523"/>
    </row>
  </sheetData>
  <mergeCells count="11">
    <mergeCell ref="B15:K15"/>
    <mergeCell ref="B3:K3"/>
    <mergeCell ref="D4:E4"/>
    <mergeCell ref="F4:G4"/>
    <mergeCell ref="H4:I4"/>
    <mergeCell ref="J4:K4"/>
    <mergeCell ref="B17:K17"/>
    <mergeCell ref="D18:E18"/>
    <mergeCell ref="F18:G18"/>
    <mergeCell ref="H18:I18"/>
    <mergeCell ref="J18:K1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2:I47"/>
  <sheetViews>
    <sheetView showGridLines="0" workbookViewId="0">
      <selection activeCell="B27" sqref="B27"/>
    </sheetView>
  </sheetViews>
  <sheetFormatPr defaultColWidth="9.109375" defaultRowHeight="13.8" x14ac:dyDescent="0.3"/>
  <cols>
    <col min="1" max="1" width="9.109375" style="6"/>
    <col min="2" max="2" width="39.6640625" style="6" customWidth="1"/>
    <col min="3" max="3" width="10" style="6" bestFit="1" customWidth="1"/>
    <col min="4" max="4" width="9.109375" style="6"/>
    <col min="5" max="5" width="7.44140625" style="6" customWidth="1"/>
    <col min="6" max="8" width="9.109375" style="6"/>
    <col min="9" max="9" width="10.5546875" style="6" customWidth="1"/>
    <col min="10" max="16384" width="9.109375" style="6"/>
  </cols>
  <sheetData>
    <row r="2" spans="2:9" x14ac:dyDescent="0.3">
      <c r="B2" s="862" t="s">
        <v>993</v>
      </c>
      <c r="C2" s="862"/>
      <c r="D2" s="862"/>
      <c r="E2" s="862"/>
      <c r="F2" s="862"/>
      <c r="G2" s="862"/>
      <c r="H2" s="862"/>
    </row>
    <row r="3" spans="2:9" ht="14.4" thickBot="1" x14ac:dyDescent="0.35">
      <c r="B3" s="360"/>
      <c r="C3" s="361" t="s">
        <v>202</v>
      </c>
      <c r="D3" s="361" t="s">
        <v>475</v>
      </c>
      <c r="E3" s="361" t="s">
        <v>575</v>
      </c>
      <c r="F3" s="130" t="s">
        <v>578</v>
      </c>
      <c r="G3" s="362" t="s">
        <v>487</v>
      </c>
      <c r="H3" s="130" t="s">
        <v>488</v>
      </c>
      <c r="I3" s="130" t="s">
        <v>574</v>
      </c>
    </row>
    <row r="4" spans="2:9" ht="14.4" thickBot="1" x14ac:dyDescent="0.35">
      <c r="B4" s="362" t="s">
        <v>13</v>
      </c>
      <c r="C4" s="363">
        <v>41384.239999999998</v>
      </c>
      <c r="D4" s="363">
        <v>42159.762000000002</v>
      </c>
      <c r="E4" s="363">
        <v>43369.53</v>
      </c>
      <c r="F4" s="363">
        <v>44321.851999999999</v>
      </c>
      <c r="G4" s="363">
        <v>45095.423857103982</v>
      </c>
      <c r="H4" s="363">
        <v>45894.903535397454</v>
      </c>
      <c r="I4" s="363">
        <v>47251.613640325035</v>
      </c>
    </row>
    <row r="5" spans="2:9" x14ac:dyDescent="0.3">
      <c r="B5" s="364" t="s">
        <v>14</v>
      </c>
      <c r="C5" s="365">
        <f>C6+C7+C13+C14+C15+C16+C8</f>
        <v>775.52664967056126</v>
      </c>
      <c r="D5" s="365">
        <f t="shared" ref="D5:I5" si="0">D6+D7+D13+D14+D15+D16+D8</f>
        <v>1209.7680001570639</v>
      </c>
      <c r="E5" s="365">
        <f t="shared" si="0"/>
        <v>952.32199986842113</v>
      </c>
      <c r="F5" s="365">
        <f t="shared" si="0"/>
        <v>773.57185710398949</v>
      </c>
      <c r="G5" s="365">
        <f t="shared" si="0"/>
        <v>799.47967829346624</v>
      </c>
      <c r="H5" s="365">
        <f t="shared" si="0"/>
        <v>1356.7101049275755</v>
      </c>
      <c r="I5" s="365">
        <f t="shared" si="0"/>
        <v>1232.1297846992766</v>
      </c>
    </row>
    <row r="6" spans="2:9" x14ac:dyDescent="0.3">
      <c r="B6" s="37" t="s">
        <v>491</v>
      </c>
      <c r="C6" s="366">
        <v>980.255</v>
      </c>
      <c r="D6" s="366">
        <v>1220.1320000000001</v>
      </c>
      <c r="E6" s="366">
        <v>1182.24175909</v>
      </c>
      <c r="F6" s="366">
        <v>2133.8000000000002</v>
      </c>
      <c r="G6" s="366">
        <v>2382</v>
      </c>
      <c r="H6" s="366">
        <v>1582.4375950000001</v>
      </c>
      <c r="I6" s="366">
        <v>686.37299499999995</v>
      </c>
    </row>
    <row r="7" spans="2:9" ht="27.6" x14ac:dyDescent="0.3">
      <c r="B7" s="37" t="s">
        <v>492</v>
      </c>
      <c r="C7" s="366">
        <v>44.952678799999831</v>
      </c>
      <c r="D7" s="366">
        <v>1.2528639399993153</v>
      </c>
      <c r="E7" s="366">
        <v>-498.07294013000018</v>
      </c>
      <c r="F7" s="366">
        <v>-1369.0294452844216</v>
      </c>
      <c r="G7" s="366">
        <v>-1388.0290817820558</v>
      </c>
      <c r="H7" s="366">
        <v>-129.30516780890662</v>
      </c>
      <c r="I7" s="366">
        <v>617.37011936513841</v>
      </c>
    </row>
    <row r="8" spans="2:9" x14ac:dyDescent="0.3">
      <c r="B8" s="37" t="s">
        <v>493</v>
      </c>
      <c r="C8" s="366">
        <v>-93.267500000000013</v>
      </c>
      <c r="D8" s="366">
        <v>3.4730000000000056</v>
      </c>
      <c r="E8" s="366">
        <v>111.35</v>
      </c>
      <c r="F8" s="366">
        <v>0.63400000000003109</v>
      </c>
      <c r="G8" s="366">
        <v>-128.893</v>
      </c>
      <c r="H8" s="366">
        <v>-132.16500000000005</v>
      </c>
      <c r="I8" s="366">
        <v>-107.79400000000004</v>
      </c>
    </row>
    <row r="9" spans="2:9" x14ac:dyDescent="0.3">
      <c r="B9" s="367" t="s">
        <v>214</v>
      </c>
      <c r="C9" s="366">
        <v>31.728999999999999</v>
      </c>
      <c r="D9" s="366">
        <v>8.3650000000000002</v>
      </c>
      <c r="E9" s="366">
        <v>34.483000000000004</v>
      </c>
      <c r="F9" s="366">
        <v>-3.4500000000000028</v>
      </c>
      <c r="G9" s="366">
        <v>-40.258999999999986</v>
      </c>
      <c r="H9" s="366">
        <v>-65.301000000000002</v>
      </c>
      <c r="I9" s="366">
        <v>-65.301000000000002</v>
      </c>
    </row>
    <row r="10" spans="2:9" x14ac:dyDescent="0.3">
      <c r="B10" s="367" t="s">
        <v>15</v>
      </c>
      <c r="C10" s="366">
        <v>-40.156999999999996</v>
      </c>
      <c r="D10" s="366">
        <v>-35.988</v>
      </c>
      <c r="E10" s="366">
        <v>-37.177</v>
      </c>
      <c r="F10" s="366">
        <v>-37.177</v>
      </c>
      <c r="G10" s="366">
        <v>-37.177</v>
      </c>
      <c r="H10" s="366">
        <v>-37.177</v>
      </c>
      <c r="I10" s="366">
        <v>-37.177</v>
      </c>
    </row>
    <row r="11" spans="2:9" x14ac:dyDescent="0.3">
      <c r="B11" s="367" t="s">
        <v>115</v>
      </c>
      <c r="C11" s="366">
        <v>-23.012</v>
      </c>
      <c r="D11" s="366">
        <v>-3.9089999999999998</v>
      </c>
      <c r="E11" s="366">
        <v>-3.9409999999999998</v>
      </c>
      <c r="F11" s="366">
        <v>-4.6999999999999993</v>
      </c>
      <c r="G11" s="366">
        <v>5.3059999999999992</v>
      </c>
      <c r="H11" s="366">
        <v>4.4789999999999992</v>
      </c>
      <c r="I11" s="366">
        <v>3.7349999999999994</v>
      </c>
    </row>
    <row r="12" spans="2:9" x14ac:dyDescent="0.3">
      <c r="B12" s="367" t="s">
        <v>494</v>
      </c>
      <c r="C12" s="366">
        <v>-61.69</v>
      </c>
      <c r="D12" s="366">
        <v>50.133000000000003</v>
      </c>
      <c r="E12" s="366">
        <v>92.021000000000001</v>
      </c>
      <c r="F12" s="366">
        <v>10.90500000000003</v>
      </c>
      <c r="G12" s="366">
        <v>-72.809000000000012</v>
      </c>
      <c r="H12" s="366">
        <v>-45.198000000000022</v>
      </c>
      <c r="I12" s="366">
        <v>-20.638000000000019</v>
      </c>
    </row>
    <row r="13" spans="2:9" x14ac:dyDescent="0.3">
      <c r="B13" s="37" t="s">
        <v>577</v>
      </c>
      <c r="C13" s="366">
        <v>0</v>
      </c>
      <c r="D13" s="366">
        <v>0</v>
      </c>
      <c r="E13" s="366">
        <v>0</v>
      </c>
      <c r="F13" s="366">
        <v>0</v>
      </c>
      <c r="G13" s="366">
        <v>-5.25</v>
      </c>
      <c r="H13" s="366">
        <v>-5.25</v>
      </c>
      <c r="I13" s="366">
        <v>-5.25</v>
      </c>
    </row>
    <row r="14" spans="2:9" x14ac:dyDescent="0.3">
      <c r="B14" s="37" t="s">
        <v>495</v>
      </c>
      <c r="C14" s="366">
        <v>42.917776040000014</v>
      </c>
      <c r="D14" s="366">
        <v>68.307245850000058</v>
      </c>
      <c r="E14" s="366">
        <v>6.7151755000000009</v>
      </c>
      <c r="F14" s="366">
        <v>4.0187180500000022</v>
      </c>
      <c r="G14" s="366">
        <v>1.0522257853885888</v>
      </c>
      <c r="H14" s="366">
        <v>49.614840009570955</v>
      </c>
      <c r="I14" s="366">
        <v>54.101154999999999</v>
      </c>
    </row>
    <row r="15" spans="2:9" x14ac:dyDescent="0.3">
      <c r="B15" s="37" t="s">
        <v>496</v>
      </c>
      <c r="C15" s="366">
        <v>-61.400103450209656</v>
      </c>
      <c r="D15" s="366">
        <v>-62.006163310000005</v>
      </c>
      <c r="E15" s="366">
        <v>-6.6828267000000032</v>
      </c>
      <c r="F15" s="366">
        <v>0.819998623694837</v>
      </c>
      <c r="G15" s="366">
        <v>-59.433394000000007</v>
      </c>
      <c r="H15" s="366">
        <v>-6.148162785388589</v>
      </c>
      <c r="I15" s="366">
        <v>-12.736557594245554</v>
      </c>
    </row>
    <row r="16" spans="2:9" ht="14.4" thickBot="1" x14ac:dyDescent="0.35">
      <c r="B16" s="360" t="s">
        <v>497</v>
      </c>
      <c r="C16" s="392">
        <v>-137.93120171922908</v>
      </c>
      <c r="D16" s="392">
        <v>-21.390946322935669</v>
      </c>
      <c r="E16" s="392">
        <v>156.77083210842142</v>
      </c>
      <c r="F16" s="392">
        <v>3.3285857147162012</v>
      </c>
      <c r="G16" s="392">
        <v>-1.9670717098665591</v>
      </c>
      <c r="H16" s="392">
        <v>-2.4739994877003983</v>
      </c>
      <c r="I16" s="392">
        <v>6.6072928383951179E-2</v>
      </c>
    </row>
    <row r="17" spans="2:9" x14ac:dyDescent="0.3">
      <c r="B17" s="364" t="s">
        <v>16</v>
      </c>
      <c r="C17" s="365">
        <f>C4+C5</f>
        <v>42159.766649670557</v>
      </c>
      <c r="D17" s="365">
        <f t="shared" ref="D17:I17" si="1">D4+D5</f>
        <v>43369.530000157065</v>
      </c>
      <c r="E17" s="365">
        <f t="shared" si="1"/>
        <v>44321.851999868421</v>
      </c>
      <c r="F17" s="365">
        <f t="shared" si="1"/>
        <v>45095.42385710399</v>
      </c>
      <c r="G17" s="365">
        <f t="shared" si="1"/>
        <v>45894.903535397447</v>
      </c>
      <c r="H17" s="365">
        <f t="shared" si="1"/>
        <v>47251.613640325028</v>
      </c>
      <c r="I17" s="365">
        <f t="shared" si="1"/>
        <v>48483.74342502431</v>
      </c>
    </row>
    <row r="18" spans="2:9" ht="14.4" thickBot="1" x14ac:dyDescent="0.35">
      <c r="B18" s="368" t="s">
        <v>4</v>
      </c>
      <c r="C18" s="393">
        <v>52.02444467660262</v>
      </c>
      <c r="D18" s="393">
        <v>51.31456089831515</v>
      </c>
      <c r="E18" s="393">
        <v>49.399662582602545</v>
      </c>
      <c r="F18" s="393">
        <v>47.929291890646127</v>
      </c>
      <c r="G18" s="393">
        <v>46.811134827452072</v>
      </c>
      <c r="H18" s="393">
        <v>45.899876890669262</v>
      </c>
      <c r="I18" s="393">
        <v>44.792971185669302</v>
      </c>
    </row>
    <row r="19" spans="2:9" ht="27.6" x14ac:dyDescent="0.3">
      <c r="B19" s="364" t="s">
        <v>644</v>
      </c>
      <c r="C19" s="409">
        <v>0.25135494414723847</v>
      </c>
      <c r="D19" s="409">
        <v>0.36542158814412551</v>
      </c>
      <c r="E19" s="409">
        <v>0.4683886261841686</v>
      </c>
      <c r="F19" s="409">
        <v>0.42546875396641404</v>
      </c>
      <c r="G19" s="409">
        <v>0.88344653645241888</v>
      </c>
      <c r="H19" s="409">
        <v>0.97758264407580353</v>
      </c>
      <c r="I19" s="409">
        <v>0.4214806979309873</v>
      </c>
    </row>
    <row r="20" spans="2:9" x14ac:dyDescent="0.3">
      <c r="B20" s="37" t="s">
        <v>498</v>
      </c>
      <c r="C20" s="410">
        <v>0.12021601785690772</v>
      </c>
      <c r="D20" s="410">
        <v>0.20191119224649692</v>
      </c>
      <c r="E20" s="410">
        <v>0.26332838946247439</v>
      </c>
      <c r="F20" s="410">
        <v>1.0965621347223105</v>
      </c>
      <c r="G20" s="410">
        <v>1.9254479841352596</v>
      </c>
      <c r="H20" s="410">
        <v>2.1581907835595668</v>
      </c>
      <c r="I20" s="410">
        <v>2.0250876292870017</v>
      </c>
    </row>
    <row r="21" spans="2:9" ht="14.4" thickBot="1" x14ac:dyDescent="0.35">
      <c r="B21" s="369" t="s">
        <v>499</v>
      </c>
      <c r="C21" s="411">
        <v>0.13113892629033072</v>
      </c>
      <c r="D21" s="411">
        <v>0.16351039589762856</v>
      </c>
      <c r="E21" s="411">
        <v>0.20506023672169421</v>
      </c>
      <c r="F21" s="411">
        <v>-0.67109338075589642</v>
      </c>
      <c r="G21" s="411">
        <v>-1.0420014476828408</v>
      </c>
      <c r="H21" s="411">
        <v>-1.1806081394837633</v>
      </c>
      <c r="I21" s="411">
        <v>-1.6036069313560144</v>
      </c>
    </row>
    <row r="22" spans="2:9" ht="14.4" thickBot="1" x14ac:dyDescent="0.35">
      <c r="B22" s="367" t="s">
        <v>648</v>
      </c>
      <c r="C22" s="430">
        <v>0</v>
      </c>
      <c r="D22" s="430">
        <v>0</v>
      </c>
      <c r="E22" s="430">
        <v>0</v>
      </c>
      <c r="F22" s="430">
        <v>0</v>
      </c>
      <c r="G22" s="430">
        <v>134.15</v>
      </c>
      <c r="H22" s="430">
        <v>0</v>
      </c>
      <c r="I22" s="430">
        <v>0</v>
      </c>
    </row>
    <row r="23" spans="2:9" x14ac:dyDescent="0.3">
      <c r="B23" s="915" t="s">
        <v>17</v>
      </c>
      <c r="C23" s="916"/>
      <c r="D23" s="916"/>
      <c r="E23" s="916"/>
      <c r="F23" s="916"/>
      <c r="G23" s="916"/>
      <c r="H23" s="429"/>
    </row>
    <row r="24" spans="2:9" x14ac:dyDescent="0.3">
      <c r="B24" s="917" t="s">
        <v>643</v>
      </c>
      <c r="C24" s="917"/>
      <c r="D24" s="917"/>
      <c r="E24" s="917"/>
      <c r="F24" s="917"/>
      <c r="G24" s="917"/>
      <c r="H24" s="370"/>
    </row>
    <row r="27" spans="2:9" x14ac:dyDescent="0.3">
      <c r="B27" s="611" t="s">
        <v>1382</v>
      </c>
    </row>
    <row r="28" spans="2:9" ht="14.4" thickBot="1" x14ac:dyDescent="0.35">
      <c r="B28" s="806"/>
      <c r="C28" s="361" t="s">
        <v>1129</v>
      </c>
      <c r="D28" s="361" t="s">
        <v>1130</v>
      </c>
      <c r="E28" s="361" t="s">
        <v>1144</v>
      </c>
      <c r="F28" s="361" t="s">
        <v>1131</v>
      </c>
      <c r="G28" s="361" t="s">
        <v>1379</v>
      </c>
      <c r="H28" s="361" t="s">
        <v>1133</v>
      </c>
      <c r="I28" s="361" t="s">
        <v>1143</v>
      </c>
    </row>
    <row r="29" spans="2:9" ht="14.4" thickBot="1" x14ac:dyDescent="0.35">
      <c r="B29" s="362" t="s">
        <v>1361</v>
      </c>
      <c r="C29" s="363">
        <f>C4</f>
        <v>41384.239999999998</v>
      </c>
      <c r="D29" s="363">
        <f t="shared" ref="C29:H32" si="2">D4</f>
        <v>42159.762000000002</v>
      </c>
      <c r="E29" s="363">
        <f t="shared" si="2"/>
        <v>43369.53</v>
      </c>
      <c r="F29" s="363">
        <f t="shared" si="2"/>
        <v>44321.851999999999</v>
      </c>
      <c r="G29" s="363">
        <f t="shared" si="2"/>
        <v>45095.423857103982</v>
      </c>
      <c r="H29" s="363">
        <f t="shared" si="2"/>
        <v>45894.903535397454</v>
      </c>
      <c r="I29" s="363">
        <f t="shared" ref="I29" si="3">I4</f>
        <v>47251.613640325035</v>
      </c>
    </row>
    <row r="30" spans="2:9" ht="14.4" thickBot="1" x14ac:dyDescent="0.35">
      <c r="B30" s="794" t="s">
        <v>1362</v>
      </c>
      <c r="C30" s="795">
        <f t="shared" si="2"/>
        <v>775.52664967056126</v>
      </c>
      <c r="D30" s="795">
        <f t="shared" si="2"/>
        <v>1209.7680001570639</v>
      </c>
      <c r="E30" s="795">
        <f t="shared" si="2"/>
        <v>952.32199986842113</v>
      </c>
      <c r="F30" s="795">
        <f t="shared" si="2"/>
        <v>773.57185710398949</v>
      </c>
      <c r="G30" s="795">
        <f t="shared" si="2"/>
        <v>799.47967829346624</v>
      </c>
      <c r="H30" s="795">
        <f t="shared" si="2"/>
        <v>1356.7101049275755</v>
      </c>
      <c r="I30" s="795">
        <f t="shared" ref="I30" si="4">I5</f>
        <v>1232.1297846992766</v>
      </c>
    </row>
    <row r="31" spans="2:9" x14ac:dyDescent="0.3">
      <c r="B31" s="796" t="s">
        <v>1363</v>
      </c>
      <c r="C31" s="797">
        <f>C6</f>
        <v>980.255</v>
      </c>
      <c r="D31" s="797">
        <f t="shared" si="2"/>
        <v>1220.1320000000001</v>
      </c>
      <c r="E31" s="797">
        <f t="shared" si="2"/>
        <v>1182.24175909</v>
      </c>
      <c r="F31" s="797">
        <f t="shared" si="2"/>
        <v>2133.8000000000002</v>
      </c>
      <c r="G31" s="798">
        <f t="shared" si="2"/>
        <v>2382</v>
      </c>
      <c r="H31" s="797">
        <f t="shared" si="2"/>
        <v>1582.4375950000001</v>
      </c>
      <c r="I31" s="797">
        <f t="shared" ref="I31" si="5">I6</f>
        <v>686.37299499999995</v>
      </c>
    </row>
    <row r="32" spans="2:9" ht="27.6" x14ac:dyDescent="0.3">
      <c r="B32" s="796" t="s">
        <v>1364</v>
      </c>
      <c r="C32" s="797">
        <f t="shared" si="2"/>
        <v>44.952678799999831</v>
      </c>
      <c r="D32" s="797">
        <f t="shared" si="2"/>
        <v>1.2528639399993153</v>
      </c>
      <c r="E32" s="797">
        <f t="shared" si="2"/>
        <v>-498.07294013000018</v>
      </c>
      <c r="F32" s="797">
        <f t="shared" si="2"/>
        <v>-1369.0294452844216</v>
      </c>
      <c r="G32" s="797">
        <f t="shared" si="2"/>
        <v>-1388.0290817820558</v>
      </c>
      <c r="H32" s="797">
        <f t="shared" si="2"/>
        <v>-129.30516780890662</v>
      </c>
      <c r="I32" s="797">
        <f t="shared" ref="I32" si="6">I7</f>
        <v>617.37011936513841</v>
      </c>
    </row>
    <row r="33" spans="2:9" x14ac:dyDescent="0.3">
      <c r="B33" s="796" t="s">
        <v>1365</v>
      </c>
      <c r="C33" s="797">
        <f>C13</f>
        <v>0</v>
      </c>
      <c r="D33" s="797">
        <f t="shared" ref="D33:H35" si="7">D13</f>
        <v>0</v>
      </c>
      <c r="E33" s="797">
        <f t="shared" si="7"/>
        <v>0</v>
      </c>
      <c r="F33" s="797">
        <f t="shared" si="7"/>
        <v>0</v>
      </c>
      <c r="G33" s="797">
        <f t="shared" si="7"/>
        <v>-5.25</v>
      </c>
      <c r="H33" s="797">
        <f t="shared" si="7"/>
        <v>-5.25</v>
      </c>
      <c r="I33" s="797">
        <f t="shared" ref="I33" si="8">I13</f>
        <v>-5.25</v>
      </c>
    </row>
    <row r="34" spans="2:9" x14ac:dyDescent="0.3">
      <c r="B34" s="796" t="s">
        <v>1366</v>
      </c>
      <c r="C34" s="797">
        <f>C14</f>
        <v>42.917776040000014</v>
      </c>
      <c r="D34" s="797">
        <f t="shared" si="7"/>
        <v>68.307245850000058</v>
      </c>
      <c r="E34" s="797">
        <f t="shared" si="7"/>
        <v>6.7151755000000009</v>
      </c>
      <c r="F34" s="797">
        <f t="shared" si="7"/>
        <v>4.0187180500000022</v>
      </c>
      <c r="G34" s="797">
        <f t="shared" si="7"/>
        <v>1.0522257853885888</v>
      </c>
      <c r="H34" s="797">
        <f t="shared" si="7"/>
        <v>49.614840009570955</v>
      </c>
      <c r="I34" s="797">
        <f t="shared" ref="I34" si="9">I14</f>
        <v>54.101154999999999</v>
      </c>
    </row>
    <row r="35" spans="2:9" x14ac:dyDescent="0.3">
      <c r="B35" s="796" t="s">
        <v>1367</v>
      </c>
      <c r="C35" s="797">
        <f>C15</f>
        <v>-61.400103450209656</v>
      </c>
      <c r="D35" s="797">
        <f t="shared" si="7"/>
        <v>-62.006163310000005</v>
      </c>
      <c r="E35" s="797">
        <f t="shared" si="7"/>
        <v>-6.6828267000000032</v>
      </c>
      <c r="F35" s="797">
        <f t="shared" si="7"/>
        <v>0.819998623694837</v>
      </c>
      <c r="G35" s="797">
        <f t="shared" si="7"/>
        <v>-59.433394000000007</v>
      </c>
      <c r="H35" s="797">
        <f t="shared" si="7"/>
        <v>-6.148162785388589</v>
      </c>
      <c r="I35" s="797">
        <f t="shared" ref="I35" si="10">I15</f>
        <v>-12.736557594245554</v>
      </c>
    </row>
    <row r="36" spans="2:9" x14ac:dyDescent="0.3">
      <c r="B36" s="796" t="s">
        <v>1368</v>
      </c>
      <c r="C36" s="797">
        <f>C8</f>
        <v>-93.267500000000013</v>
      </c>
      <c r="D36" s="797">
        <f t="shared" ref="D36:H37" si="11">D8</f>
        <v>3.4730000000000056</v>
      </c>
      <c r="E36" s="797">
        <f t="shared" si="11"/>
        <v>111.35</v>
      </c>
      <c r="F36" s="797">
        <f t="shared" si="11"/>
        <v>0.63400000000003109</v>
      </c>
      <c r="G36" s="797">
        <f t="shared" si="11"/>
        <v>-128.893</v>
      </c>
      <c r="H36" s="797">
        <f t="shared" si="11"/>
        <v>-132.16500000000005</v>
      </c>
      <c r="I36" s="797">
        <f t="shared" ref="I36" si="12">I8</f>
        <v>-107.79400000000004</v>
      </c>
    </row>
    <row r="37" spans="2:9" x14ac:dyDescent="0.3">
      <c r="B37" s="799" t="s">
        <v>1369</v>
      </c>
      <c r="C37" s="797">
        <f>C9</f>
        <v>31.728999999999999</v>
      </c>
      <c r="D37" s="797">
        <f t="shared" si="11"/>
        <v>8.3650000000000002</v>
      </c>
      <c r="E37" s="797">
        <f t="shared" si="11"/>
        <v>34.483000000000004</v>
      </c>
      <c r="F37" s="797">
        <f t="shared" si="11"/>
        <v>-3.4500000000000028</v>
      </c>
      <c r="G37" s="797">
        <f t="shared" si="11"/>
        <v>-40.258999999999986</v>
      </c>
      <c r="H37" s="797">
        <f t="shared" si="11"/>
        <v>-65.301000000000002</v>
      </c>
      <c r="I37" s="797">
        <f t="shared" ref="I37" si="13">I9</f>
        <v>-65.301000000000002</v>
      </c>
    </row>
    <row r="38" spans="2:9" x14ac:dyDescent="0.3">
      <c r="B38" s="799" t="s">
        <v>1370</v>
      </c>
      <c r="C38" s="797">
        <f t="shared" ref="C38:H40" si="14">C10</f>
        <v>-40.156999999999996</v>
      </c>
      <c r="D38" s="797">
        <f t="shared" si="14"/>
        <v>-35.988</v>
      </c>
      <c r="E38" s="797">
        <f t="shared" si="14"/>
        <v>-37.177</v>
      </c>
      <c r="F38" s="797">
        <f t="shared" si="14"/>
        <v>-37.177</v>
      </c>
      <c r="G38" s="797">
        <f t="shared" si="14"/>
        <v>-37.177</v>
      </c>
      <c r="H38" s="797">
        <f t="shared" si="14"/>
        <v>-37.177</v>
      </c>
      <c r="I38" s="797">
        <f t="shared" ref="I38" si="15">I10</f>
        <v>-37.177</v>
      </c>
    </row>
    <row r="39" spans="2:9" x14ac:dyDescent="0.3">
      <c r="B39" s="799" t="s">
        <v>1371</v>
      </c>
      <c r="C39" s="797">
        <f t="shared" si="14"/>
        <v>-23.012</v>
      </c>
      <c r="D39" s="797">
        <f t="shared" si="14"/>
        <v>-3.9089999999999998</v>
      </c>
      <c r="E39" s="797">
        <f t="shared" si="14"/>
        <v>-3.9409999999999998</v>
      </c>
      <c r="F39" s="797">
        <f t="shared" si="14"/>
        <v>-4.6999999999999993</v>
      </c>
      <c r="G39" s="797">
        <f t="shared" si="14"/>
        <v>5.3059999999999992</v>
      </c>
      <c r="H39" s="797">
        <f t="shared" si="14"/>
        <v>4.4789999999999992</v>
      </c>
      <c r="I39" s="797">
        <f t="shared" ref="I39" si="16">I11</f>
        <v>3.7349999999999994</v>
      </c>
    </row>
    <row r="40" spans="2:9" x14ac:dyDescent="0.3">
      <c r="B40" s="799" t="s">
        <v>1372</v>
      </c>
      <c r="C40" s="797">
        <f t="shared" si="14"/>
        <v>-61.69</v>
      </c>
      <c r="D40" s="797">
        <f t="shared" si="14"/>
        <v>50.133000000000003</v>
      </c>
      <c r="E40" s="797">
        <f t="shared" si="14"/>
        <v>92.021000000000001</v>
      </c>
      <c r="F40" s="797">
        <f t="shared" si="14"/>
        <v>10.90500000000003</v>
      </c>
      <c r="G40" s="797">
        <f t="shared" si="14"/>
        <v>-72.809000000000012</v>
      </c>
      <c r="H40" s="797">
        <f t="shared" si="14"/>
        <v>-45.198000000000022</v>
      </c>
      <c r="I40" s="797">
        <f t="shared" ref="I40" si="17">I12</f>
        <v>-20.638000000000019</v>
      </c>
    </row>
    <row r="41" spans="2:9" ht="14.4" thickBot="1" x14ac:dyDescent="0.35">
      <c r="B41" s="796" t="s">
        <v>1373</v>
      </c>
      <c r="C41" s="797">
        <f>C16</f>
        <v>-137.93120171922908</v>
      </c>
      <c r="D41" s="797">
        <f t="shared" ref="D41:H41" si="18">D16</f>
        <v>-21.390946322935669</v>
      </c>
      <c r="E41" s="797">
        <f t="shared" si="18"/>
        <v>156.77083210842142</v>
      </c>
      <c r="F41" s="797">
        <f t="shared" si="18"/>
        <v>3.3285857147162012</v>
      </c>
      <c r="G41" s="797">
        <f t="shared" si="18"/>
        <v>-1.9670717098665591</v>
      </c>
      <c r="H41" s="797">
        <f t="shared" si="18"/>
        <v>-2.4739994877003983</v>
      </c>
      <c r="I41" s="797">
        <f t="shared" ref="I41" si="19">I16</f>
        <v>6.6072928383951179E-2</v>
      </c>
    </row>
    <row r="42" spans="2:9" x14ac:dyDescent="0.3">
      <c r="B42" s="800" t="s">
        <v>1374</v>
      </c>
      <c r="C42" s="801">
        <f t="shared" ref="C42:H42" si="20">C29+C30</f>
        <v>42159.766649670557</v>
      </c>
      <c r="D42" s="801">
        <f t="shared" si="20"/>
        <v>43369.530000157065</v>
      </c>
      <c r="E42" s="801">
        <f t="shared" si="20"/>
        <v>44321.851999868421</v>
      </c>
      <c r="F42" s="801">
        <f t="shared" si="20"/>
        <v>45095.42385710399</v>
      </c>
      <c r="G42" s="801">
        <f t="shared" si="20"/>
        <v>45894.903535397447</v>
      </c>
      <c r="H42" s="801">
        <f t="shared" si="20"/>
        <v>47251.613640325028</v>
      </c>
      <c r="I42" s="801">
        <f t="shared" ref="I42" si="21">I29+I30</f>
        <v>48483.74342502431</v>
      </c>
    </row>
    <row r="43" spans="2:9" ht="14.4" thickBot="1" x14ac:dyDescent="0.35">
      <c r="B43" s="794" t="s">
        <v>1375</v>
      </c>
      <c r="C43" s="802">
        <f>C18</f>
        <v>52.02444467660262</v>
      </c>
      <c r="D43" s="802">
        <f t="shared" ref="D43:H46" si="22">D18</f>
        <v>51.31456089831515</v>
      </c>
      <c r="E43" s="802">
        <f t="shared" si="22"/>
        <v>49.399662582602545</v>
      </c>
      <c r="F43" s="802">
        <f t="shared" si="22"/>
        <v>47.929291890646127</v>
      </c>
      <c r="G43" s="802">
        <f t="shared" si="22"/>
        <v>46.811134827452072</v>
      </c>
      <c r="H43" s="802">
        <f t="shared" si="22"/>
        <v>45.899876890669262</v>
      </c>
      <c r="I43" s="802">
        <f t="shared" ref="I43" si="23">I18</f>
        <v>44.792971185669302</v>
      </c>
    </row>
    <row r="44" spans="2:9" ht="28.2" thickBot="1" x14ac:dyDescent="0.35">
      <c r="B44" s="803" t="s">
        <v>1376</v>
      </c>
      <c r="C44" s="804">
        <f>C19</f>
        <v>0.25135494414723847</v>
      </c>
      <c r="D44" s="804">
        <f t="shared" si="22"/>
        <v>0.36542158814412551</v>
      </c>
      <c r="E44" s="804">
        <f t="shared" si="22"/>
        <v>0.4683886261841686</v>
      </c>
      <c r="F44" s="804">
        <f t="shared" si="22"/>
        <v>0.42546875396641404</v>
      </c>
      <c r="G44" s="804">
        <f t="shared" si="22"/>
        <v>0.88344653645241888</v>
      </c>
      <c r="H44" s="804">
        <f t="shared" si="22"/>
        <v>0.97758264407580353</v>
      </c>
      <c r="I44" s="804">
        <f t="shared" ref="I44" si="24">I19</f>
        <v>0.4214806979309873</v>
      </c>
    </row>
    <row r="45" spans="2:9" x14ac:dyDescent="0.3">
      <c r="B45" s="799" t="s">
        <v>1377</v>
      </c>
      <c r="C45" s="805">
        <f>C20</f>
        <v>0.12021601785690772</v>
      </c>
      <c r="D45" s="805">
        <f t="shared" si="22"/>
        <v>0.20191119224649692</v>
      </c>
      <c r="E45" s="805">
        <f t="shared" si="22"/>
        <v>0.26332838946247439</v>
      </c>
      <c r="F45" s="805">
        <f t="shared" si="22"/>
        <v>1.0965621347223105</v>
      </c>
      <c r="G45" s="805">
        <f t="shared" si="22"/>
        <v>1.9254479841352596</v>
      </c>
      <c r="H45" s="805">
        <f t="shared" si="22"/>
        <v>2.1581907835595668</v>
      </c>
      <c r="I45" s="805">
        <f t="shared" ref="I45" si="25">I20</f>
        <v>2.0250876292870017</v>
      </c>
    </row>
    <row r="46" spans="2:9" ht="14.4" thickBot="1" x14ac:dyDescent="0.35">
      <c r="B46" s="807" t="s">
        <v>1378</v>
      </c>
      <c r="C46" s="808">
        <f>C21</f>
        <v>0.13113892629033072</v>
      </c>
      <c r="D46" s="808">
        <f t="shared" si="22"/>
        <v>0.16351039589762856</v>
      </c>
      <c r="E46" s="808">
        <f t="shared" si="22"/>
        <v>0.20506023672169421</v>
      </c>
      <c r="F46" s="808">
        <f t="shared" si="22"/>
        <v>-0.67109338075589642</v>
      </c>
      <c r="G46" s="808">
        <f t="shared" si="22"/>
        <v>-1.0420014476828408</v>
      </c>
      <c r="H46" s="808">
        <f t="shared" si="22"/>
        <v>-1.1806081394837633</v>
      </c>
      <c r="I46" s="808">
        <f t="shared" ref="I46" si="26">I21</f>
        <v>-1.6036069313560144</v>
      </c>
    </row>
    <row r="47" spans="2:9" ht="13.8" customHeight="1" x14ac:dyDescent="0.3">
      <c r="B47" s="918" t="s">
        <v>1380</v>
      </c>
      <c r="C47" s="918"/>
      <c r="D47" s="918"/>
      <c r="E47" s="918"/>
      <c r="F47" s="918"/>
      <c r="H47" s="757"/>
      <c r="I47" s="757" t="s">
        <v>1381</v>
      </c>
    </row>
  </sheetData>
  <mergeCells count="4">
    <mergeCell ref="B23:G23"/>
    <mergeCell ref="B24:G24"/>
    <mergeCell ref="B2:H2"/>
    <mergeCell ref="B47:F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2:M37"/>
  <sheetViews>
    <sheetView showGridLines="0" topLeftCell="A4" zoomScaleNormal="100" workbookViewId="0">
      <selection activeCell="I36" sqref="I36"/>
    </sheetView>
  </sheetViews>
  <sheetFormatPr defaultColWidth="8.88671875" defaultRowHeight="13.8" x14ac:dyDescent="0.3"/>
  <cols>
    <col min="1" max="1" width="8.88671875" style="6"/>
    <col min="2" max="2" width="8.88671875" style="6" customWidth="1"/>
    <col min="3" max="3" width="74.33203125" style="6" bestFit="1" customWidth="1"/>
    <col min="4" max="4" width="9.44140625" style="6" customWidth="1"/>
    <col min="5" max="5" width="27.33203125" style="6" customWidth="1"/>
    <col min="6" max="6" width="26.88671875" style="6" customWidth="1"/>
    <col min="7" max="11" width="10.6640625" style="6" customWidth="1"/>
    <col min="12" max="14" width="9.44140625" style="6" bestFit="1" customWidth="1"/>
    <col min="15" max="16384" width="8.88671875" style="6"/>
  </cols>
  <sheetData>
    <row r="2" spans="2:13" ht="14.4" thickBot="1" x14ac:dyDescent="0.35">
      <c r="B2" s="48"/>
    </row>
    <row r="4" spans="2:13" x14ac:dyDescent="0.3">
      <c r="B4" s="113" t="s">
        <v>152</v>
      </c>
    </row>
    <row r="6" spans="2:13" ht="14.4" thickBot="1" x14ac:dyDescent="0.35">
      <c r="E6" s="114" t="s">
        <v>176</v>
      </c>
      <c r="F6" s="114" t="s">
        <v>1010</v>
      </c>
      <c r="G6" s="48"/>
      <c r="H6" s="48"/>
      <c r="I6" s="48"/>
      <c r="J6" s="48"/>
      <c r="K6" s="48"/>
      <c r="L6" s="48"/>
    </row>
    <row r="7" spans="2:13" x14ac:dyDescent="0.3">
      <c r="E7" s="10"/>
      <c r="F7" s="10"/>
    </row>
    <row r="8" spans="2:13" x14ac:dyDescent="0.3">
      <c r="E8" s="116" t="s">
        <v>177</v>
      </c>
      <c r="F8" s="116" t="s">
        <v>1011</v>
      </c>
    </row>
    <row r="9" spans="2:13" x14ac:dyDescent="0.3">
      <c r="E9" s="19"/>
      <c r="F9" s="19"/>
      <c r="G9" s="117">
        <v>2016</v>
      </c>
      <c r="H9" s="117">
        <v>2017</v>
      </c>
      <c r="I9" s="117">
        <v>2018</v>
      </c>
      <c r="J9" s="117">
        <v>2019</v>
      </c>
      <c r="K9" s="117">
        <v>2020</v>
      </c>
      <c r="L9" s="117">
        <v>2021</v>
      </c>
      <c r="M9" s="117">
        <v>2022</v>
      </c>
    </row>
    <row r="10" spans="2:13" x14ac:dyDescent="0.3">
      <c r="E10" s="10" t="s">
        <v>5</v>
      </c>
      <c r="F10" s="10" t="s">
        <v>1012</v>
      </c>
      <c r="G10" s="7">
        <f>'Tabuľka 2 '!C9</f>
        <v>-2.3707534714209273</v>
      </c>
      <c r="H10" s="7">
        <f>'Tabuľka 2 '!D9</f>
        <v>-1.0789174782868978</v>
      </c>
      <c r="I10" s="7">
        <f>'Tabuľka 2 '!E9</f>
        <v>-1.5493995855584819</v>
      </c>
      <c r="J10" s="7">
        <f>'Tabuľka 2 '!F9</f>
        <v>-0.89677298584209775</v>
      </c>
      <c r="K10" s="7">
        <f>'Tabuľka 2 '!G9</f>
        <v>-0.50376653778628566</v>
      </c>
      <c r="L10" s="7">
        <f>'Tabuľka 2 '!H9</f>
        <v>-8.9913323199984366E-2</v>
      </c>
      <c r="M10" s="7">
        <f>'Tabuľka 2 '!I9</f>
        <v>-0.17592601845438224</v>
      </c>
    </row>
    <row r="11" spans="2:13" x14ac:dyDescent="0.3">
      <c r="E11" s="10" t="s">
        <v>144</v>
      </c>
      <c r="F11" s="10" t="s">
        <v>1020</v>
      </c>
      <c r="G11" s="7">
        <f>'Tabuľka 2 '!C6</f>
        <v>-2.4766043259577044</v>
      </c>
      <c r="H11" s="7">
        <f>'Tabuľka 2 '!D6</f>
        <v>-0.95247104414076211</v>
      </c>
      <c r="I11" s="7">
        <f>'Tabuľka 2 '!E6</f>
        <v>-1.0601803518355066</v>
      </c>
      <c r="J11" s="7">
        <f>'Tabuľka 2 '!F6</f>
        <v>-0.67999918185887065</v>
      </c>
      <c r="K11" s="7">
        <f>'Tabuľka 2 '!G6</f>
        <v>-0.48999973284565995</v>
      </c>
      <c r="L11" s="7">
        <f>'Tabuľka 2 '!H6</f>
        <v>0</v>
      </c>
      <c r="M11" s="7">
        <f>'Tabuľka 2 '!I6</f>
        <v>0</v>
      </c>
    </row>
    <row r="12" spans="2:13" x14ac:dyDescent="0.3">
      <c r="E12" s="10" t="s">
        <v>8</v>
      </c>
      <c r="F12" s="10" t="s">
        <v>1013</v>
      </c>
      <c r="G12" s="7">
        <f>'Tabuľka 2 '!C10</f>
        <v>0.16908085477144308</v>
      </c>
      <c r="H12" s="7">
        <f>'Tabuľka 2 '!D10</f>
        <v>1.2918359931340295</v>
      </c>
      <c r="I12" s="7">
        <f>'Tabuľka 2 '!E10</f>
        <v>-0.47048210727158413</v>
      </c>
      <c r="J12" s="7">
        <f>'Tabuľka 2 '!F10</f>
        <v>0.65262659971638415</v>
      </c>
      <c r="K12" s="7">
        <f>'Tabuľka 2 '!G10</f>
        <v>0.39300644805581209</v>
      </c>
      <c r="L12" s="7">
        <f>'Tabuľka 2 '!H10</f>
        <v>0.41385321458630131</v>
      </c>
      <c r="M12" s="7">
        <f>'Tabuľka 2 '!I10</f>
        <v>-8.6012695254397878E-2</v>
      </c>
    </row>
    <row r="13" spans="2:13" x14ac:dyDescent="0.3">
      <c r="E13" s="10"/>
      <c r="F13" s="10"/>
    </row>
    <row r="14" spans="2:13" x14ac:dyDescent="0.3">
      <c r="E14" s="10"/>
      <c r="F14" s="10"/>
    </row>
    <row r="15" spans="2:13" x14ac:dyDescent="0.3">
      <c r="E15" s="10"/>
      <c r="F15" s="10"/>
    </row>
    <row r="16" spans="2:13" x14ac:dyDescent="0.3">
      <c r="E16" s="116" t="s">
        <v>178</v>
      </c>
      <c r="F16" s="116" t="s">
        <v>1014</v>
      </c>
    </row>
    <row r="17" spans="2:13" x14ac:dyDescent="0.3">
      <c r="E17" s="19"/>
      <c r="F17" s="19"/>
      <c r="G17" s="117">
        <v>2016</v>
      </c>
      <c r="H17" s="117">
        <v>2017</v>
      </c>
      <c r="I17" s="117">
        <v>2018</v>
      </c>
      <c r="J17" s="117">
        <v>2019</v>
      </c>
      <c r="K17" s="117">
        <v>2020</v>
      </c>
      <c r="L17" s="117">
        <v>2021</v>
      </c>
      <c r="M17" s="117">
        <v>2022</v>
      </c>
    </row>
    <row r="18" spans="2:13" x14ac:dyDescent="0.3">
      <c r="E18" s="10" t="s">
        <v>155</v>
      </c>
      <c r="F18" s="10" t="s">
        <v>1015</v>
      </c>
      <c r="G18" s="7">
        <f>'Graf 21'!O6</f>
        <v>52.024438938987174</v>
      </c>
      <c r="H18" s="7">
        <f>'Graf 21'!P6</f>
        <v>51.314560898129315</v>
      </c>
      <c r="I18" s="7">
        <f>'Graf 21'!Q6</f>
        <v>49.399662582749201</v>
      </c>
      <c r="J18" s="7">
        <f>'Graf 21'!R6</f>
        <v>47.92929189064612</v>
      </c>
      <c r="K18" s="7">
        <f>'Graf 21'!S6</f>
        <v>46.811134827452079</v>
      </c>
      <c r="L18" s="7">
        <f>'Graf 21'!T6</f>
        <v>45.899876890669269</v>
      </c>
      <c r="M18" s="7">
        <f>'Graf 21'!U6</f>
        <v>44.792971185669288</v>
      </c>
    </row>
    <row r="19" spans="2:13" x14ac:dyDescent="0.3">
      <c r="E19" s="10" t="s">
        <v>156</v>
      </c>
      <c r="F19" s="10" t="s">
        <v>1016</v>
      </c>
      <c r="G19" s="7">
        <f t="shared" ref="G19:K19" si="0">G18-G20</f>
        <v>48.8903191233169</v>
      </c>
      <c r="H19" s="7">
        <f t="shared" si="0"/>
        <v>48.309437971048574</v>
      </c>
      <c r="I19" s="7">
        <f t="shared" si="0"/>
        <v>46.568841483388731</v>
      </c>
      <c r="J19" s="7">
        <f t="shared" si="0"/>
        <v>45.229844424612516</v>
      </c>
      <c r="K19" s="7">
        <f t="shared" si="0"/>
        <v>44.089117056432727</v>
      </c>
      <c r="L19" s="7">
        <f t="shared" ref="L19:M19" si="1">L18-L20</f>
        <v>43.312582006109892</v>
      </c>
      <c r="M19" s="7">
        <f t="shared" si="1"/>
        <v>42.337086912114316</v>
      </c>
    </row>
    <row r="20" spans="2:13" x14ac:dyDescent="0.3">
      <c r="E20" s="10" t="s">
        <v>157</v>
      </c>
      <c r="F20" s="10" t="s">
        <v>1017</v>
      </c>
      <c r="G20" s="7">
        <f>'Graf 19'!AB7</f>
        <v>3.1341198156702714</v>
      </c>
      <c r="H20" s="7">
        <f>'Graf 19'!AC7</f>
        <v>3.0051229270807402</v>
      </c>
      <c r="I20" s="7">
        <f>'Graf 19'!AD7</f>
        <v>2.8308210993604672</v>
      </c>
      <c r="J20" s="7">
        <f>'Graf 19'!AE7</f>
        <v>2.6994474660336016</v>
      </c>
      <c r="K20" s="7">
        <f>'Graf 19'!AF7</f>
        <v>2.7220177710193494</v>
      </c>
      <c r="L20" s="7">
        <f>'Graf 19'!AG7</f>
        <v>2.5872948845593733</v>
      </c>
      <c r="M20" s="7">
        <f>'Graf 19'!AH7</f>
        <v>2.4558842735549695</v>
      </c>
    </row>
    <row r="21" spans="2:13" x14ac:dyDescent="0.3">
      <c r="E21" s="10" t="s">
        <v>158</v>
      </c>
      <c r="F21" s="10" t="s">
        <v>1018</v>
      </c>
      <c r="G21" s="7">
        <f>'Graf 21'!O7</f>
        <v>46.838254254814252</v>
      </c>
      <c r="H21" s="7">
        <f>'Graf 21'!P7</f>
        <v>45.661267812317767</v>
      </c>
      <c r="I21" s="7">
        <f>'Graf 21'!Q7</f>
        <v>43.413592059050728</v>
      </c>
      <c r="J21" s="7">
        <f>'Graf 21'!R7</f>
        <v>42.854065419211018</v>
      </c>
      <c r="K21" s="7">
        <f>'Graf 21'!S7</f>
        <v>42.199141101815563</v>
      </c>
      <c r="L21" s="7">
        <f>'Graf 21'!T7</f>
        <v>40.784798999651649</v>
      </c>
      <c r="M21" s="7">
        <f>'Graf 21'!U7</f>
        <v>38.457308519476264</v>
      </c>
    </row>
    <row r="22" spans="2:13" x14ac:dyDescent="0.3">
      <c r="E22" s="10"/>
      <c r="F22" s="10" t="s">
        <v>1019</v>
      </c>
      <c r="G22" s="118"/>
      <c r="H22" s="118"/>
      <c r="I22" s="118"/>
      <c r="J22" s="118"/>
      <c r="K22" s="118"/>
      <c r="L22" s="118"/>
      <c r="M22" s="118"/>
    </row>
    <row r="23" spans="2:13" x14ac:dyDescent="0.3">
      <c r="E23" s="10" t="s">
        <v>213</v>
      </c>
      <c r="F23" s="10" t="s">
        <v>213</v>
      </c>
      <c r="G23" s="7">
        <v>50</v>
      </c>
      <c r="H23" s="7">
        <f t="shared" ref="H23" si="2">G23</f>
        <v>50</v>
      </c>
      <c r="I23" s="7">
        <f>H23-1</f>
        <v>49</v>
      </c>
      <c r="J23" s="7">
        <f>I23-1</f>
        <v>48</v>
      </c>
      <c r="K23" s="7">
        <f>J23-1</f>
        <v>47</v>
      </c>
      <c r="L23" s="7">
        <f>K23-1</f>
        <v>46</v>
      </c>
      <c r="M23" s="7">
        <f>L23-1</f>
        <v>45</v>
      </c>
    </row>
    <row r="24" spans="2:13" x14ac:dyDescent="0.3">
      <c r="B24" s="113" t="s">
        <v>153</v>
      </c>
      <c r="E24" s="10" t="s">
        <v>171</v>
      </c>
      <c r="F24" s="10" t="s">
        <v>171</v>
      </c>
      <c r="G24" s="7">
        <v>53</v>
      </c>
      <c r="H24" s="7">
        <f t="shared" ref="H24" si="3">H23+3</f>
        <v>53</v>
      </c>
      <c r="I24" s="7">
        <f>I23+3</f>
        <v>52</v>
      </c>
      <c r="J24" s="7">
        <f>J23+3</f>
        <v>51</v>
      </c>
      <c r="K24" s="7">
        <f>K23+3</f>
        <v>50</v>
      </c>
      <c r="L24" s="7">
        <f>L23+3</f>
        <v>49</v>
      </c>
      <c r="M24" s="7">
        <f>M23+3</f>
        <v>48</v>
      </c>
    </row>
    <row r="25" spans="2:13" x14ac:dyDescent="0.3">
      <c r="E25" s="10" t="s">
        <v>172</v>
      </c>
      <c r="F25" s="10" t="s">
        <v>172</v>
      </c>
      <c r="G25" s="7">
        <v>55</v>
      </c>
      <c r="H25" s="7">
        <f t="shared" ref="H25:H26" si="4">H24+2</f>
        <v>55</v>
      </c>
      <c r="I25" s="7">
        <f>I24+2</f>
        <v>54</v>
      </c>
      <c r="J25" s="7">
        <f>J24+2</f>
        <v>53</v>
      </c>
      <c r="K25" s="7">
        <f t="shared" ref="K25:L25" si="5">K24+2</f>
        <v>52</v>
      </c>
      <c r="L25" s="7">
        <f t="shared" si="5"/>
        <v>51</v>
      </c>
      <c r="M25" s="7">
        <f t="shared" ref="M25" si="6">M24+2</f>
        <v>50</v>
      </c>
    </row>
    <row r="26" spans="2:13" x14ac:dyDescent="0.3">
      <c r="E26" s="10" t="s">
        <v>173</v>
      </c>
      <c r="F26" s="10" t="s">
        <v>173</v>
      </c>
      <c r="G26" s="7">
        <v>57</v>
      </c>
      <c r="H26" s="7">
        <f t="shared" si="4"/>
        <v>57</v>
      </c>
      <c r="I26" s="7">
        <f>I25+2</f>
        <v>56</v>
      </c>
      <c r="J26" s="7">
        <f>J25+2</f>
        <v>55</v>
      </c>
      <c r="K26" s="7">
        <f>K25+2</f>
        <v>54</v>
      </c>
      <c r="L26" s="7">
        <f>L25+2</f>
        <v>53</v>
      </c>
      <c r="M26" s="7">
        <f>M25+2</f>
        <v>52</v>
      </c>
    </row>
    <row r="32" spans="2:13" x14ac:dyDescent="0.3">
      <c r="D32" s="113" t="s">
        <v>1035</v>
      </c>
    </row>
    <row r="36" spans="7:11" x14ac:dyDescent="0.3">
      <c r="G36" s="118"/>
      <c r="H36" s="118"/>
      <c r="I36" s="118"/>
      <c r="J36" s="118"/>
      <c r="K36" s="118"/>
    </row>
    <row r="37" spans="7:11" x14ac:dyDescent="0.3">
      <c r="G37" s="118"/>
      <c r="H37" s="118"/>
      <c r="I37" s="118"/>
      <c r="J37" s="118"/>
      <c r="K37" s="118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H39"/>
  <sheetViews>
    <sheetView showGridLines="0" workbookViewId="0"/>
  </sheetViews>
  <sheetFormatPr defaultRowHeight="14.4" x14ac:dyDescent="0.3"/>
  <cols>
    <col min="1" max="1" width="64.109375" bestFit="1" customWidth="1"/>
  </cols>
  <sheetData>
    <row r="1" spans="1:8" x14ac:dyDescent="0.3">
      <c r="A1" s="6"/>
      <c r="B1" s="6"/>
      <c r="C1" s="6"/>
      <c r="D1" s="6"/>
      <c r="E1" s="6"/>
      <c r="F1" s="6"/>
    </row>
    <row r="2" spans="1:8" x14ac:dyDescent="0.3">
      <c r="A2" s="113" t="s">
        <v>548</v>
      </c>
      <c r="B2" s="6"/>
      <c r="C2" s="6"/>
      <c r="D2" s="6"/>
      <c r="E2" s="6"/>
      <c r="F2" s="6"/>
    </row>
    <row r="3" spans="1:8" x14ac:dyDescent="0.3">
      <c r="A3" s="19" t="s">
        <v>542</v>
      </c>
      <c r="B3" s="19">
        <v>2016</v>
      </c>
      <c r="C3" s="19">
        <v>2017</v>
      </c>
      <c r="D3" s="19">
        <v>2018</v>
      </c>
      <c r="E3" s="19">
        <v>2019</v>
      </c>
      <c r="F3" s="19">
        <v>2020</v>
      </c>
      <c r="G3" s="19">
        <v>2021</v>
      </c>
      <c r="H3" s="19">
        <v>2022</v>
      </c>
    </row>
    <row r="4" spans="1:8" x14ac:dyDescent="0.3">
      <c r="A4" s="6" t="s">
        <v>793</v>
      </c>
      <c r="B4" s="7">
        <v>-76.900000000000006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 x14ac:dyDescent="0.3">
      <c r="A5" s="6" t="s">
        <v>794</v>
      </c>
      <c r="B5" s="7">
        <v>12.550390918238399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 x14ac:dyDescent="0.3">
      <c r="A6" s="6" t="s">
        <v>795</v>
      </c>
      <c r="B6" s="7">
        <v>-11.290000000000003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x14ac:dyDescent="0.3">
      <c r="A7" s="6" t="s">
        <v>796</v>
      </c>
      <c r="B7" s="7">
        <v>0</v>
      </c>
      <c r="C7" s="7">
        <v>-121.34099999999999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x14ac:dyDescent="0.3">
      <c r="A8" s="6" t="s">
        <v>545</v>
      </c>
      <c r="B8" s="7">
        <v>0</v>
      </c>
      <c r="C8" s="7">
        <v>0</v>
      </c>
      <c r="D8" s="7">
        <v>-100</v>
      </c>
      <c r="E8" s="7">
        <v>0</v>
      </c>
      <c r="F8" s="7">
        <v>0</v>
      </c>
      <c r="G8" s="7">
        <v>0</v>
      </c>
      <c r="H8" s="7">
        <v>0</v>
      </c>
    </row>
    <row r="9" spans="1:8" x14ac:dyDescent="0.3">
      <c r="A9" s="6" t="s">
        <v>797</v>
      </c>
      <c r="B9" s="7">
        <v>0</v>
      </c>
      <c r="C9" s="7">
        <v>-34.26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 x14ac:dyDescent="0.3">
      <c r="A10" s="6" t="s">
        <v>798</v>
      </c>
      <c r="B10" s="7">
        <v>0</v>
      </c>
      <c r="C10" s="7">
        <v>0</v>
      </c>
      <c r="D10" s="7">
        <v>-1.7046775277467359</v>
      </c>
      <c r="E10" s="7">
        <v>-27.519764948466701</v>
      </c>
      <c r="F10" s="7">
        <v>-9.4955086433587432</v>
      </c>
      <c r="G10" s="7">
        <v>-42.211761049959961</v>
      </c>
      <c r="H10" s="7">
        <v>3.4445533200000003</v>
      </c>
    </row>
    <row r="11" spans="1:8" x14ac:dyDescent="0.3">
      <c r="A11" s="6" t="s">
        <v>799</v>
      </c>
      <c r="B11" s="7">
        <v>0</v>
      </c>
      <c r="C11" s="7">
        <v>0</v>
      </c>
      <c r="D11" s="7">
        <v>0</v>
      </c>
      <c r="E11" s="7">
        <v>-57.666410136642703</v>
      </c>
      <c r="F11" s="7">
        <v>0</v>
      </c>
      <c r="G11" s="7">
        <v>0</v>
      </c>
      <c r="H11" s="7">
        <v>0</v>
      </c>
    </row>
    <row r="12" spans="1:8" x14ac:dyDescent="0.3">
      <c r="A12" s="6" t="s">
        <v>800</v>
      </c>
      <c r="B12" s="7">
        <v>0</v>
      </c>
      <c r="C12" s="7">
        <v>0</v>
      </c>
      <c r="D12" s="7">
        <v>0</v>
      </c>
      <c r="E12" s="7">
        <v>-15.7423391136</v>
      </c>
      <c r="F12" s="7">
        <v>6.4004493168000005</v>
      </c>
      <c r="G12" s="7">
        <v>0</v>
      </c>
      <c r="H12" s="7">
        <v>0</v>
      </c>
    </row>
    <row r="13" spans="1:8" x14ac:dyDescent="0.3">
      <c r="A13" s="6" t="s">
        <v>801</v>
      </c>
      <c r="B13" s="7">
        <v>0</v>
      </c>
      <c r="C13" s="7">
        <v>0</v>
      </c>
      <c r="D13" s="7">
        <v>23.664751869999986</v>
      </c>
      <c r="E13" s="7">
        <v>28.674754289999964</v>
      </c>
      <c r="F13" s="7">
        <v>0</v>
      </c>
      <c r="G13" s="7">
        <v>0</v>
      </c>
      <c r="H13" s="7">
        <v>0</v>
      </c>
    </row>
    <row r="14" spans="1:8" x14ac:dyDescent="0.3">
      <c r="A14" s="6" t="s">
        <v>476</v>
      </c>
      <c r="B14" s="7">
        <v>0</v>
      </c>
      <c r="C14" s="7">
        <v>0</v>
      </c>
      <c r="D14" s="7">
        <v>0</v>
      </c>
      <c r="E14" s="7">
        <v>-5.3001589999999998</v>
      </c>
      <c r="F14" s="7">
        <v>-22.777840999999999</v>
      </c>
      <c r="G14" s="7">
        <v>0</v>
      </c>
      <c r="H14" s="7">
        <v>0</v>
      </c>
    </row>
    <row r="15" spans="1:8" x14ac:dyDescent="0.3">
      <c r="A15" s="6" t="s">
        <v>802</v>
      </c>
      <c r="B15" s="7">
        <v>243</v>
      </c>
      <c r="C15" s="7">
        <v>188.73500000000001</v>
      </c>
      <c r="D15" s="7">
        <v>21.855255342487247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3">
      <c r="A16" s="6" t="s">
        <v>803</v>
      </c>
      <c r="B16" s="7">
        <v>0</v>
      </c>
      <c r="C16" s="7">
        <v>0</v>
      </c>
      <c r="D16" s="7">
        <v>0</v>
      </c>
      <c r="E16" s="7">
        <v>-24.256</v>
      </c>
      <c r="F16" s="7">
        <v>0</v>
      </c>
      <c r="G16" s="7">
        <v>0</v>
      </c>
      <c r="H16" s="7">
        <v>0</v>
      </c>
    </row>
    <row r="17" spans="1:8" x14ac:dyDescent="0.3">
      <c r="A17" s="6" t="s">
        <v>804</v>
      </c>
      <c r="B17" s="7">
        <v>0</v>
      </c>
      <c r="C17" s="7">
        <v>0</v>
      </c>
      <c r="D17" s="7">
        <v>0</v>
      </c>
      <c r="E17" s="7">
        <v>0</v>
      </c>
      <c r="F17" s="7">
        <v>180</v>
      </c>
      <c r="G17" s="7">
        <v>10</v>
      </c>
      <c r="H17" s="7">
        <v>10</v>
      </c>
    </row>
    <row r="18" spans="1:8" x14ac:dyDescent="0.3">
      <c r="A18" s="6" t="s">
        <v>694</v>
      </c>
      <c r="B18" s="7">
        <v>0</v>
      </c>
      <c r="C18" s="7">
        <v>29.565999999999999</v>
      </c>
      <c r="D18" s="7">
        <v>2.9090000000000025</v>
      </c>
      <c r="E18" s="7">
        <v>35.869999999999997</v>
      </c>
      <c r="F18" s="7">
        <v>101.846</v>
      </c>
      <c r="G18" s="7">
        <v>0</v>
      </c>
      <c r="H18" s="7">
        <v>0</v>
      </c>
    </row>
    <row r="19" spans="1:8" x14ac:dyDescent="0.3">
      <c r="A19" s="6" t="s">
        <v>805</v>
      </c>
      <c r="B19" s="7">
        <v>0</v>
      </c>
      <c r="C19" s="7">
        <v>96.521032393232005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x14ac:dyDescent="0.3">
      <c r="A20" s="6" t="s">
        <v>806</v>
      </c>
      <c r="B20" s="7">
        <v>0</v>
      </c>
      <c r="C20" s="7">
        <v>70.444000000000003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x14ac:dyDescent="0.3">
      <c r="A21" s="6" t="s">
        <v>819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50.03448208092486</v>
      </c>
    </row>
    <row r="22" spans="1:8" x14ac:dyDescent="0.3">
      <c r="A22" s="6" t="s">
        <v>807</v>
      </c>
      <c r="B22" s="7">
        <v>-109.1055488071692</v>
      </c>
      <c r="C22" s="7">
        <v>21.033387110155985</v>
      </c>
      <c r="D22" s="7">
        <v>35.370102735771454</v>
      </c>
      <c r="E22" s="7">
        <v>36.817590428792002</v>
      </c>
      <c r="F22" s="7">
        <v>0</v>
      </c>
      <c r="G22" s="7">
        <v>0</v>
      </c>
      <c r="H22" s="7">
        <v>0</v>
      </c>
    </row>
    <row r="23" spans="1:8" x14ac:dyDescent="0.3">
      <c r="A23" s="6" t="s">
        <v>808</v>
      </c>
      <c r="B23" s="7">
        <v>0</v>
      </c>
      <c r="C23" s="7">
        <v>-28.109937500000001</v>
      </c>
      <c r="D23" s="7">
        <v>-32.183121323529399</v>
      </c>
      <c r="E23" s="7">
        <v>-40.891274509803928</v>
      </c>
      <c r="F23" s="7">
        <v>-42.12651573928666</v>
      </c>
      <c r="G23" s="7">
        <v>-44.324021584715808</v>
      </c>
      <c r="H23" s="7">
        <v>-47.396219981349759</v>
      </c>
    </row>
    <row r="24" spans="1:8" x14ac:dyDescent="0.3">
      <c r="A24" s="6" t="s">
        <v>809</v>
      </c>
      <c r="B24" s="7">
        <v>0</v>
      </c>
      <c r="C24" s="7">
        <v>16.259273279999999</v>
      </c>
      <c r="D24" s="7">
        <v>13.740726720000001</v>
      </c>
      <c r="E24" s="7">
        <v>43.599999999999994</v>
      </c>
      <c r="F24" s="7">
        <v>0</v>
      </c>
      <c r="G24" s="7">
        <v>0</v>
      </c>
      <c r="H24" s="7">
        <v>0</v>
      </c>
    </row>
    <row r="25" spans="1:8" x14ac:dyDescent="0.3">
      <c r="A25" s="6" t="s">
        <v>810</v>
      </c>
      <c r="B25" s="7">
        <v>0</v>
      </c>
      <c r="C25" s="7">
        <v>62.586453199638932</v>
      </c>
      <c r="D25" s="7">
        <v>0</v>
      </c>
      <c r="E25" s="7">
        <v>-39.311453199638933</v>
      </c>
      <c r="F25" s="7">
        <v>0</v>
      </c>
      <c r="G25" s="7">
        <v>-23.275000000000002</v>
      </c>
      <c r="H25" s="7">
        <v>0</v>
      </c>
    </row>
    <row r="26" spans="1:8" x14ac:dyDescent="0.3">
      <c r="A26" s="6" t="s">
        <v>811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-116.48075999999999</v>
      </c>
      <c r="H26" s="7">
        <v>0</v>
      </c>
    </row>
    <row r="27" spans="1:8" x14ac:dyDescent="0.3">
      <c r="A27" s="6" t="s">
        <v>546</v>
      </c>
      <c r="B27" s="7">
        <v>0</v>
      </c>
      <c r="C27" s="7">
        <v>0</v>
      </c>
      <c r="D27" s="7">
        <v>-15.034000000000001</v>
      </c>
      <c r="E27" s="7">
        <v>-9.1691887273937649</v>
      </c>
      <c r="F27" s="7">
        <v>-13.080730944191723</v>
      </c>
      <c r="G27" s="7">
        <v>0</v>
      </c>
      <c r="H27" s="7">
        <v>0</v>
      </c>
    </row>
    <row r="28" spans="1:8" x14ac:dyDescent="0.3">
      <c r="A28" s="6" t="s">
        <v>812</v>
      </c>
      <c r="B28" s="7">
        <v>0</v>
      </c>
      <c r="C28" s="7">
        <v>0</v>
      </c>
      <c r="D28" s="7">
        <v>0</v>
      </c>
      <c r="E28" s="7">
        <v>11.69</v>
      </c>
      <c r="F28" s="7">
        <v>2.8000000000000007</v>
      </c>
      <c r="G28" s="7">
        <v>0</v>
      </c>
      <c r="H28" s="7">
        <v>0</v>
      </c>
    </row>
    <row r="29" spans="1:8" x14ac:dyDescent="0.3">
      <c r="A29" s="6" t="s">
        <v>544</v>
      </c>
      <c r="B29" s="7">
        <v>0</v>
      </c>
      <c r="C29" s="7">
        <v>30.3</v>
      </c>
      <c r="D29" s="7">
        <v>0</v>
      </c>
      <c r="E29" s="7">
        <v>0</v>
      </c>
      <c r="F29" s="7">
        <v>32.582000000000001</v>
      </c>
      <c r="G29" s="7">
        <v>0</v>
      </c>
      <c r="H29" s="7">
        <v>0</v>
      </c>
    </row>
    <row r="30" spans="1:8" x14ac:dyDescent="0.3">
      <c r="A30" s="6" t="s">
        <v>813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-11</v>
      </c>
      <c r="H30" s="7">
        <v>0</v>
      </c>
    </row>
    <row r="31" spans="1:8" x14ac:dyDescent="0.3">
      <c r="A31" s="6" t="s">
        <v>814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36.005065040732902</v>
      </c>
      <c r="H31" s="7">
        <v>0</v>
      </c>
    </row>
    <row r="32" spans="1:8" x14ac:dyDescent="0.3">
      <c r="A32" s="6" t="s">
        <v>815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-15.027542863830909</v>
      </c>
      <c r="H32" s="7">
        <v>0</v>
      </c>
    </row>
    <row r="33" spans="1:8" x14ac:dyDescent="0.3">
      <c r="A33" s="6" t="s">
        <v>816</v>
      </c>
      <c r="B33" s="7">
        <v>0</v>
      </c>
      <c r="C33" s="7">
        <v>0</v>
      </c>
      <c r="D33" s="7">
        <v>0</v>
      </c>
      <c r="E33" s="7">
        <v>0</v>
      </c>
      <c r="F33" s="7">
        <v>-41.654178652346133</v>
      </c>
      <c r="G33" s="7">
        <v>0</v>
      </c>
      <c r="H33" s="7">
        <v>0</v>
      </c>
    </row>
    <row r="34" spans="1:8" x14ac:dyDescent="0.3">
      <c r="A34" s="6" t="s">
        <v>695</v>
      </c>
      <c r="B34" s="7">
        <v>0</v>
      </c>
      <c r="C34" s="7">
        <v>0</v>
      </c>
      <c r="D34" s="7">
        <v>0</v>
      </c>
      <c r="E34" s="7">
        <v>0</v>
      </c>
      <c r="F34" s="7">
        <v>-135.401760487655</v>
      </c>
      <c r="G34" s="7">
        <v>0</v>
      </c>
      <c r="H34" s="7">
        <v>0</v>
      </c>
    </row>
    <row r="35" spans="1:8" x14ac:dyDescent="0.3">
      <c r="A35" s="6" t="s">
        <v>817</v>
      </c>
      <c r="B35" s="7">
        <v>0</v>
      </c>
      <c r="C35" s="7">
        <v>0</v>
      </c>
      <c r="D35" s="7">
        <v>0</v>
      </c>
      <c r="E35" s="7">
        <v>0</v>
      </c>
      <c r="F35" s="7">
        <v>-19.49977402</v>
      </c>
      <c r="G35" s="7">
        <v>0</v>
      </c>
      <c r="H35" s="7">
        <v>0</v>
      </c>
    </row>
    <row r="36" spans="1:8" x14ac:dyDescent="0.3">
      <c r="A36" s="6" t="s">
        <v>689</v>
      </c>
      <c r="B36" s="7">
        <v>0</v>
      </c>
      <c r="C36" s="7">
        <v>0</v>
      </c>
      <c r="D36" s="7">
        <v>0</v>
      </c>
      <c r="E36" s="7">
        <v>0</v>
      </c>
      <c r="F36" s="7">
        <v>-77.08811493442488</v>
      </c>
      <c r="G36" s="7">
        <v>0</v>
      </c>
      <c r="H36" s="7">
        <v>0</v>
      </c>
    </row>
    <row r="37" spans="1:8" x14ac:dyDescent="0.3">
      <c r="A37" s="6" t="s">
        <v>818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-12.458432447999996</v>
      </c>
      <c r="H37" s="7">
        <v>0</v>
      </c>
    </row>
    <row r="38" spans="1:8" x14ac:dyDescent="0.3">
      <c r="A38" s="598" t="s">
        <v>361</v>
      </c>
      <c r="B38" s="176">
        <v>0</v>
      </c>
      <c r="C38" s="176">
        <v>0</v>
      </c>
      <c r="D38" s="176">
        <v>0</v>
      </c>
      <c r="E38" s="176">
        <v>0</v>
      </c>
      <c r="F38" s="176">
        <v>0</v>
      </c>
      <c r="G38" s="176">
        <f>770.123999999989/2</f>
        <v>385.0619999999945</v>
      </c>
      <c r="H38" s="176">
        <f>1246.03200000001/2-G38</f>
        <v>237.95400000001047</v>
      </c>
    </row>
    <row r="39" spans="1:8" x14ac:dyDescent="0.3">
      <c r="A39" s="10" t="s">
        <v>222</v>
      </c>
      <c r="B39" s="381">
        <f>SUM(B4:B38)</f>
        <v>58.254842111069209</v>
      </c>
      <c r="C39" s="381">
        <f>SUM(C4:C38)</f>
        <v>331.73420848302698</v>
      </c>
      <c r="D39" s="381">
        <f>SUM(D4:D38)</f>
        <v>-51.381962183017443</v>
      </c>
      <c r="E39" s="381">
        <f>SUM(E4:E38)</f>
        <v>-63.204244916754035</v>
      </c>
      <c r="F39" s="381">
        <f>SUM(F4:F38)</f>
        <v>-37.495975104463142</v>
      </c>
      <c r="G39" s="381">
        <f t="shared" ref="G39" si="0">SUM(G4:G38)</f>
        <v>166.28954709422075</v>
      </c>
      <c r="H39" s="381">
        <f>SUM(H4:H38)</f>
        <v>254.03681541958557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B49" sqref="B49"/>
    </sheetView>
  </sheetViews>
  <sheetFormatPr defaultRowHeight="14.4" x14ac:dyDescent="0.3"/>
  <cols>
    <col min="1" max="1" width="67.33203125" customWidth="1"/>
  </cols>
  <sheetData>
    <row r="1" spans="1:14" x14ac:dyDescent="0.3">
      <c r="A1" s="708"/>
    </row>
    <row r="3" spans="1:14" x14ac:dyDescent="0.3">
      <c r="A3" s="113" t="s">
        <v>859</v>
      </c>
      <c r="B3" s="535"/>
      <c r="C3" s="535"/>
      <c r="D3" s="535"/>
      <c r="E3" s="535"/>
      <c r="G3" s="679"/>
      <c r="H3" s="679"/>
      <c r="I3" s="679"/>
      <c r="J3" s="679"/>
      <c r="K3" s="679"/>
      <c r="L3" s="679"/>
      <c r="M3" s="679"/>
      <c r="N3" s="679"/>
    </row>
    <row r="4" spans="1:14" x14ac:dyDescent="0.3">
      <c r="A4" s="620" t="s">
        <v>860</v>
      </c>
      <c r="B4" s="19">
        <v>2019</v>
      </c>
      <c r="C4" s="19">
        <v>2020</v>
      </c>
      <c r="D4" s="19">
        <v>2021</v>
      </c>
      <c r="E4" s="19">
        <v>2022</v>
      </c>
      <c r="G4" s="679"/>
      <c r="H4" s="679"/>
      <c r="I4" s="679"/>
      <c r="J4" s="679"/>
      <c r="K4" s="679"/>
      <c r="L4" s="679"/>
      <c r="M4" s="679"/>
      <c r="N4" s="679"/>
    </row>
    <row r="5" spans="1:14" x14ac:dyDescent="0.3">
      <c r="A5" s="621" t="s">
        <v>820</v>
      </c>
      <c r="B5" s="587">
        <v>28.674754289999964</v>
      </c>
      <c r="C5" s="587">
        <v>28.000476699633271</v>
      </c>
      <c r="D5" s="587">
        <v>29.222219216428226</v>
      </c>
      <c r="E5" s="587">
        <v>30.622656127537201</v>
      </c>
      <c r="G5" s="680"/>
      <c r="H5" s="680"/>
      <c r="I5" s="681"/>
      <c r="J5" s="679"/>
      <c r="K5" s="682"/>
      <c r="L5" s="682"/>
      <c r="M5" s="682"/>
      <c r="N5" s="679"/>
    </row>
    <row r="6" spans="1:14" x14ac:dyDescent="0.3">
      <c r="A6" s="621" t="s">
        <v>821</v>
      </c>
      <c r="B6" s="587">
        <v>35.869999999999997</v>
      </c>
      <c r="C6" s="587">
        <v>36.507244146911454</v>
      </c>
      <c r="D6" s="587">
        <v>37.137062629697219</v>
      </c>
      <c r="E6" s="587">
        <v>37.772642301994104</v>
      </c>
      <c r="G6" s="680"/>
      <c r="H6" s="680"/>
      <c r="I6" s="681"/>
      <c r="J6" s="679"/>
      <c r="K6" s="682"/>
      <c r="L6" s="682"/>
      <c r="M6" s="682"/>
      <c r="N6" s="679"/>
    </row>
    <row r="7" spans="1:14" x14ac:dyDescent="0.3">
      <c r="A7" s="621" t="s">
        <v>822</v>
      </c>
      <c r="B7" s="587">
        <v>11.7</v>
      </c>
      <c r="C7" s="587">
        <v>14.5</v>
      </c>
      <c r="D7" s="587">
        <v>14.5</v>
      </c>
      <c r="E7" s="587">
        <v>14.5</v>
      </c>
      <c r="G7" s="680"/>
      <c r="H7" s="680"/>
      <c r="I7" s="681"/>
      <c r="J7" s="679"/>
      <c r="K7" s="682"/>
      <c r="L7" s="682"/>
      <c r="M7" s="682"/>
      <c r="N7" s="679"/>
    </row>
    <row r="8" spans="1:14" x14ac:dyDescent="0.3">
      <c r="A8" s="621" t="s">
        <v>823</v>
      </c>
      <c r="B8" s="587">
        <v>-33.540000000000006</v>
      </c>
      <c r="C8" s="587">
        <v>-30.143000000000004</v>
      </c>
      <c r="D8" s="587">
        <v>-56.815000000000005</v>
      </c>
      <c r="E8" s="587">
        <v>-56.815000000000005</v>
      </c>
      <c r="G8" s="680"/>
      <c r="H8" s="680"/>
      <c r="I8" s="681"/>
      <c r="J8" s="679"/>
      <c r="K8" s="682"/>
      <c r="L8" s="682"/>
      <c r="M8" s="682"/>
      <c r="N8" s="679"/>
    </row>
    <row r="9" spans="1:14" x14ac:dyDescent="0.3">
      <c r="A9" s="621" t="s">
        <v>824</v>
      </c>
      <c r="B9" s="587">
        <v>0</v>
      </c>
      <c r="C9" s="587">
        <v>0</v>
      </c>
      <c r="D9" s="726">
        <v>-116.48075999999999</v>
      </c>
      <c r="E9" s="726">
        <v>-116.48075999999999</v>
      </c>
      <c r="G9" s="680"/>
      <c r="H9" s="680"/>
      <c r="I9" s="681"/>
      <c r="J9" s="679"/>
      <c r="K9" s="682"/>
      <c r="L9" s="682"/>
      <c r="M9" s="682"/>
      <c r="N9" s="679"/>
    </row>
    <row r="10" spans="1:14" x14ac:dyDescent="0.3">
      <c r="A10" s="621" t="s">
        <v>825</v>
      </c>
      <c r="B10" s="587">
        <v>0</v>
      </c>
      <c r="C10" s="587">
        <v>32.6</v>
      </c>
      <c r="D10" s="587">
        <v>32.6</v>
      </c>
      <c r="E10" s="587">
        <v>32.6</v>
      </c>
      <c r="G10" s="680"/>
      <c r="H10" s="680"/>
      <c r="I10" s="681"/>
      <c r="J10" s="679"/>
      <c r="K10" s="682"/>
      <c r="L10" s="682"/>
      <c r="M10" s="682"/>
      <c r="N10" s="679"/>
    </row>
    <row r="11" spans="1:14" x14ac:dyDescent="0.3">
      <c r="A11" s="621" t="s">
        <v>826</v>
      </c>
      <c r="B11" s="587">
        <v>-0.56784000000000001</v>
      </c>
      <c r="C11" s="587">
        <v>-0.56784000000000001</v>
      </c>
      <c r="D11" s="587">
        <v>-0.56784000000000001</v>
      </c>
      <c r="E11" s="587">
        <v>-0.56784000000000001</v>
      </c>
      <c r="G11" s="680"/>
      <c r="H11" s="680"/>
      <c r="I11" s="681"/>
      <c r="J11" s="679"/>
      <c r="K11" s="682"/>
      <c r="L11" s="682"/>
      <c r="M11" s="682"/>
      <c r="N11" s="679"/>
    </row>
    <row r="12" spans="1:14" x14ac:dyDescent="0.3">
      <c r="A12" s="621" t="s">
        <v>827</v>
      </c>
      <c r="B12" s="587">
        <v>-12.473566182181294</v>
      </c>
      <c r="C12" s="587">
        <v>-29.465839343170977</v>
      </c>
      <c r="D12" s="587">
        <v>-35.984520359480754</v>
      </c>
      <c r="E12" s="587">
        <v>-43.458108243312019</v>
      </c>
      <c r="G12" s="680"/>
      <c r="H12" s="680"/>
      <c r="I12" s="681"/>
      <c r="J12" s="679"/>
      <c r="K12" s="682"/>
      <c r="L12" s="682"/>
      <c r="M12" s="682"/>
      <c r="N12" s="679"/>
    </row>
    <row r="13" spans="1:14" x14ac:dyDescent="0.3">
      <c r="A13" s="621" t="s">
        <v>828</v>
      </c>
      <c r="B13" s="587">
        <v>-40.891274509803914</v>
      </c>
      <c r="C13" s="587">
        <v>-83.017790249090581</v>
      </c>
      <c r="D13" s="587">
        <v>-127.34181183380639</v>
      </c>
      <c r="E13" s="587">
        <v>-174.73803181515615</v>
      </c>
      <c r="G13" s="680"/>
      <c r="H13" s="680"/>
      <c r="I13" s="681"/>
      <c r="J13" s="679"/>
      <c r="K13" s="682"/>
      <c r="L13" s="682"/>
      <c r="M13" s="682"/>
      <c r="N13" s="679"/>
    </row>
    <row r="14" spans="1:14" x14ac:dyDescent="0.3">
      <c r="A14" s="621" t="s">
        <v>829</v>
      </c>
      <c r="B14" s="587">
        <v>43.599999999999994</v>
      </c>
      <c r="C14" s="587">
        <v>45.8</v>
      </c>
      <c r="D14" s="587">
        <v>48.099999999999994</v>
      </c>
      <c r="E14" s="587">
        <v>50.442999999999998</v>
      </c>
      <c r="G14" s="680"/>
      <c r="H14" s="680"/>
      <c r="I14" s="681"/>
      <c r="J14" s="679"/>
      <c r="K14" s="682"/>
      <c r="L14" s="682"/>
      <c r="M14" s="682"/>
      <c r="N14" s="679"/>
    </row>
    <row r="15" spans="1:14" ht="27.6" x14ac:dyDescent="0.3">
      <c r="A15" s="621" t="s">
        <v>830</v>
      </c>
      <c r="B15" s="587">
        <v>-27.519764948466705</v>
      </c>
      <c r="C15" s="587">
        <v>-37.015273591825448</v>
      </c>
      <c r="D15" s="587">
        <v>-79.227034641785394</v>
      </c>
      <c r="E15" s="587">
        <v>-75.544707402613909</v>
      </c>
      <c r="G15" s="680"/>
      <c r="H15" s="680"/>
      <c r="I15" s="681"/>
      <c r="J15" s="679"/>
      <c r="K15" s="682"/>
      <c r="L15" s="682"/>
      <c r="M15" s="682"/>
      <c r="N15" s="679"/>
    </row>
    <row r="16" spans="1:14" x14ac:dyDescent="0.3">
      <c r="A16" s="621" t="s">
        <v>831</v>
      </c>
      <c r="B16" s="587">
        <v>-5.3001589999999998</v>
      </c>
      <c r="C16" s="587">
        <v>-28.077567000000002</v>
      </c>
      <c r="D16" s="587">
        <v>-29.70000913908672</v>
      </c>
      <c r="E16" s="587">
        <v>-30.986002442975938</v>
      </c>
      <c r="G16" s="680"/>
      <c r="H16" s="680"/>
      <c r="I16" s="681"/>
      <c r="J16" s="679"/>
      <c r="K16" s="682"/>
      <c r="L16" s="682"/>
      <c r="M16" s="682"/>
      <c r="N16" s="679"/>
    </row>
    <row r="17" spans="1:14" ht="27.6" x14ac:dyDescent="0.3">
      <c r="A17" s="621" t="s">
        <v>832</v>
      </c>
      <c r="B17" s="587">
        <v>72.833790428792014</v>
      </c>
      <c r="C17" s="587">
        <v>78.930112079825832</v>
      </c>
      <c r="D17" s="587">
        <v>82.733060396064872</v>
      </c>
      <c r="E17" s="587">
        <v>83.081196339640201</v>
      </c>
      <c r="G17" s="680"/>
      <c r="H17" s="680"/>
      <c r="I17" s="681"/>
      <c r="J17" s="679"/>
      <c r="K17" s="682"/>
      <c r="L17" s="682"/>
      <c r="M17" s="682"/>
      <c r="N17" s="679"/>
    </row>
    <row r="18" spans="1:14" x14ac:dyDescent="0.3">
      <c r="A18" s="621" t="s">
        <v>833</v>
      </c>
      <c r="B18" s="587">
        <v>0</v>
      </c>
      <c r="C18" s="587">
        <v>0</v>
      </c>
      <c r="D18" s="587">
        <v>0</v>
      </c>
      <c r="E18" s="587">
        <v>50.03448208092486</v>
      </c>
      <c r="G18" s="680"/>
      <c r="H18" s="680"/>
      <c r="I18" s="681"/>
      <c r="J18" s="679"/>
      <c r="K18" s="682"/>
      <c r="L18" s="682"/>
      <c r="M18" s="682"/>
      <c r="N18" s="679"/>
    </row>
    <row r="19" spans="1:14" x14ac:dyDescent="0.3">
      <c r="A19" s="621" t="s">
        <v>477</v>
      </c>
      <c r="B19" s="587">
        <v>5.9134999999999991</v>
      </c>
      <c r="C19" s="587">
        <v>14.698300000000003</v>
      </c>
      <c r="D19" s="587">
        <v>21.191499999999998</v>
      </c>
      <c r="E19" s="587">
        <v>20.917999999999999</v>
      </c>
      <c r="G19" s="680"/>
      <c r="H19" s="680"/>
      <c r="I19" s="681"/>
      <c r="J19" s="679"/>
      <c r="K19" s="682"/>
      <c r="L19" s="682"/>
      <c r="M19" s="682"/>
      <c r="N19" s="679"/>
    </row>
    <row r="20" spans="1:14" x14ac:dyDescent="0.3">
      <c r="A20" s="621" t="s">
        <v>547</v>
      </c>
      <c r="B20" s="587">
        <v>-3.65</v>
      </c>
      <c r="C20" s="587">
        <v>-3.65</v>
      </c>
      <c r="D20" s="587">
        <v>-3.65</v>
      </c>
      <c r="E20" s="587">
        <v>-3.65</v>
      </c>
      <c r="G20" s="680"/>
      <c r="H20" s="680"/>
      <c r="I20" s="681"/>
      <c r="J20" s="679"/>
      <c r="K20" s="682"/>
      <c r="L20" s="682"/>
      <c r="M20" s="682"/>
      <c r="N20" s="679"/>
    </row>
    <row r="21" spans="1:14" x14ac:dyDescent="0.3">
      <c r="A21" s="621" t="s">
        <v>803</v>
      </c>
      <c r="B21" s="587">
        <v>-24.256</v>
      </c>
      <c r="C21" s="587">
        <v>-25.449000000000002</v>
      </c>
      <c r="D21" s="587">
        <v>-26.640999999999998</v>
      </c>
      <c r="E21" s="587">
        <v>-27.888831820503746</v>
      </c>
      <c r="G21" s="680"/>
      <c r="H21" s="680"/>
      <c r="I21" s="681"/>
      <c r="J21" s="679"/>
      <c r="K21" s="682"/>
      <c r="L21" s="682"/>
      <c r="M21" s="682"/>
      <c r="N21" s="679"/>
    </row>
    <row r="22" spans="1:14" x14ac:dyDescent="0.3">
      <c r="A22" s="621" t="s">
        <v>799</v>
      </c>
      <c r="B22" s="587">
        <v>-57.666410136642703</v>
      </c>
      <c r="C22" s="587">
        <v>-58.957985669359225</v>
      </c>
      <c r="D22" s="587">
        <v>-60.236360992919685</v>
      </c>
      <c r="E22" s="587">
        <v>-61.505505180882373</v>
      </c>
      <c r="G22" s="680"/>
      <c r="H22" s="680"/>
      <c r="I22" s="681"/>
      <c r="J22" s="679"/>
      <c r="K22" s="682"/>
      <c r="L22" s="682"/>
      <c r="M22" s="682"/>
      <c r="N22" s="679"/>
    </row>
    <row r="23" spans="1:14" x14ac:dyDescent="0.3">
      <c r="A23" s="621" t="s">
        <v>834</v>
      </c>
      <c r="B23" s="587">
        <v>-2.1</v>
      </c>
      <c r="C23" s="587">
        <v>-2.4</v>
      </c>
      <c r="D23" s="587">
        <v>-2.8</v>
      </c>
      <c r="E23" s="587">
        <v>-2.8</v>
      </c>
      <c r="G23" s="680"/>
      <c r="H23" s="680"/>
      <c r="I23" s="681"/>
      <c r="J23" s="679"/>
      <c r="K23" s="682"/>
      <c r="L23" s="682"/>
      <c r="M23" s="682"/>
      <c r="N23" s="679"/>
    </row>
    <row r="24" spans="1:14" x14ac:dyDescent="0.3">
      <c r="A24" s="621" t="s">
        <v>835</v>
      </c>
      <c r="B24" s="587">
        <v>-1.78</v>
      </c>
      <c r="C24" s="587">
        <v>-1.78</v>
      </c>
      <c r="D24" s="587">
        <v>-1.78</v>
      </c>
      <c r="E24" s="587">
        <v>-1.78</v>
      </c>
      <c r="G24" s="680"/>
      <c r="H24" s="680"/>
      <c r="I24" s="681"/>
      <c r="J24" s="679"/>
      <c r="K24" s="682"/>
      <c r="L24" s="682"/>
      <c r="M24" s="682"/>
      <c r="N24" s="679"/>
    </row>
    <row r="25" spans="1:14" ht="27.6" x14ac:dyDescent="0.3">
      <c r="A25" s="621" t="s">
        <v>836</v>
      </c>
      <c r="B25" s="587">
        <v>-15.7423391136</v>
      </c>
      <c r="C25" s="587">
        <v>-15.569816328</v>
      </c>
      <c r="D25" s="587">
        <v>-15.569816328</v>
      </c>
      <c r="E25" s="587">
        <v>-15.569816328</v>
      </c>
      <c r="G25" s="680"/>
      <c r="H25" s="680"/>
      <c r="I25" s="681"/>
      <c r="J25" s="679"/>
      <c r="K25" s="682"/>
      <c r="L25" s="682"/>
      <c r="M25" s="682"/>
      <c r="N25" s="679"/>
    </row>
    <row r="26" spans="1:14" x14ac:dyDescent="0.3">
      <c r="A26" s="621" t="s">
        <v>690</v>
      </c>
      <c r="B26" s="587">
        <v>-6.7750000000000004</v>
      </c>
      <c r="C26" s="587">
        <v>-16.696999999999999</v>
      </c>
      <c r="D26" s="587">
        <v>-15.487</v>
      </c>
      <c r="E26" s="587">
        <v>-9.2609999999999992</v>
      </c>
      <c r="G26" s="680"/>
      <c r="H26" s="680"/>
      <c r="I26" s="681"/>
      <c r="J26" s="679"/>
      <c r="K26" s="682"/>
      <c r="L26" s="682"/>
      <c r="M26" s="682"/>
      <c r="N26" s="679"/>
    </row>
    <row r="27" spans="1:14" x14ac:dyDescent="0.3">
      <c r="A27" s="621" t="s">
        <v>837</v>
      </c>
      <c r="B27" s="587">
        <v>0</v>
      </c>
      <c r="C27" s="587">
        <v>0</v>
      </c>
      <c r="D27" s="726">
        <v>-11</v>
      </c>
      <c r="E27" s="726">
        <v>-11</v>
      </c>
      <c r="G27" s="680"/>
      <c r="H27" s="680"/>
      <c r="I27" s="681"/>
      <c r="J27" s="679"/>
      <c r="K27" s="682"/>
      <c r="L27" s="682"/>
      <c r="M27" s="682"/>
      <c r="N27" s="679"/>
    </row>
    <row r="28" spans="1:14" x14ac:dyDescent="0.3">
      <c r="A28" s="621" t="s">
        <v>692</v>
      </c>
      <c r="B28" s="587">
        <v>0</v>
      </c>
      <c r="C28" s="587">
        <v>0</v>
      </c>
      <c r="D28" s="587">
        <v>36.005065040732902</v>
      </c>
      <c r="E28" s="587">
        <v>30.049722265062872</v>
      </c>
      <c r="G28" s="680"/>
      <c r="H28" s="680"/>
      <c r="I28" s="681"/>
      <c r="J28" s="679"/>
      <c r="K28" s="682"/>
      <c r="L28" s="682"/>
      <c r="M28" s="682"/>
      <c r="N28" s="679"/>
    </row>
    <row r="29" spans="1:14" x14ac:dyDescent="0.3">
      <c r="A29" s="621" t="s">
        <v>838</v>
      </c>
      <c r="B29" s="587">
        <v>0</v>
      </c>
      <c r="C29" s="587">
        <v>0</v>
      </c>
      <c r="D29" s="587">
        <v>0</v>
      </c>
      <c r="E29" s="587">
        <v>-4.49080986704959</v>
      </c>
      <c r="G29" s="680"/>
      <c r="H29" s="680"/>
      <c r="I29" s="681"/>
      <c r="J29" s="679"/>
      <c r="K29" s="682"/>
      <c r="L29" s="682"/>
      <c r="M29" s="682"/>
      <c r="N29" s="679"/>
    </row>
    <row r="30" spans="1:14" x14ac:dyDescent="0.3">
      <c r="A30" s="621" t="s">
        <v>815</v>
      </c>
      <c r="B30" s="587">
        <v>0</v>
      </c>
      <c r="C30" s="587">
        <v>0</v>
      </c>
      <c r="D30" s="587">
        <v>-15.027542863830909</v>
      </c>
      <c r="E30" s="587">
        <v>-14.644894170264431</v>
      </c>
      <c r="G30" s="680"/>
      <c r="H30" s="680"/>
      <c r="I30" s="681"/>
      <c r="J30" s="679"/>
      <c r="K30" s="682"/>
      <c r="L30" s="682"/>
      <c r="M30" s="682"/>
      <c r="N30" s="679"/>
    </row>
    <row r="31" spans="1:14" x14ac:dyDescent="0.3">
      <c r="A31" s="621" t="s">
        <v>839</v>
      </c>
      <c r="B31" s="587">
        <v>0</v>
      </c>
      <c r="C31" s="587">
        <v>-41.654178652346133</v>
      </c>
      <c r="D31" s="587">
        <v>-44.072350534956932</v>
      </c>
      <c r="E31" s="587">
        <v>-45.219642319575783</v>
      </c>
      <c r="G31" s="680"/>
      <c r="H31" s="680"/>
      <c r="I31" s="681"/>
      <c r="J31" s="679"/>
      <c r="K31" s="682"/>
      <c r="L31" s="682"/>
      <c r="M31" s="682"/>
      <c r="N31" s="679"/>
    </row>
    <row r="32" spans="1:14" x14ac:dyDescent="0.3">
      <c r="A32" s="621" t="s">
        <v>695</v>
      </c>
      <c r="B32" s="587">
        <v>0</v>
      </c>
      <c r="C32" s="587">
        <v>-135.401760487655</v>
      </c>
      <c r="D32" s="587">
        <v>-136.11687309246298</v>
      </c>
      <c r="E32" s="587">
        <v>-136.763855939048</v>
      </c>
      <c r="G32" s="680"/>
      <c r="H32" s="680"/>
      <c r="I32" s="681"/>
      <c r="J32" s="679"/>
      <c r="K32" s="682"/>
      <c r="L32" s="682"/>
      <c r="M32" s="682"/>
      <c r="N32" s="679"/>
    </row>
    <row r="33" spans="1:14" x14ac:dyDescent="0.3">
      <c r="A33" s="621" t="s">
        <v>840</v>
      </c>
      <c r="B33" s="587">
        <v>0</v>
      </c>
      <c r="C33" s="587">
        <v>-2.3868450760000002</v>
      </c>
      <c r="D33" s="587">
        <v>-2.3868450760000002</v>
      </c>
      <c r="E33" s="587">
        <v>-2.3868450760000002</v>
      </c>
      <c r="G33" s="680"/>
      <c r="H33" s="680"/>
      <c r="I33" s="681"/>
      <c r="J33" s="679"/>
      <c r="K33" s="682"/>
      <c r="L33" s="682"/>
      <c r="M33" s="682"/>
      <c r="N33" s="679"/>
    </row>
    <row r="34" spans="1:14" x14ac:dyDescent="0.3">
      <c r="A34" s="621" t="s">
        <v>841</v>
      </c>
      <c r="B34" s="587">
        <v>0</v>
      </c>
      <c r="C34" s="587">
        <v>-7.9660000000000002</v>
      </c>
      <c r="D34" s="587">
        <v>-7.9660000000000002</v>
      </c>
      <c r="E34" s="587">
        <v>-7.9660000000000002</v>
      </c>
      <c r="G34" s="680"/>
      <c r="H34" s="680"/>
      <c r="I34" s="681"/>
      <c r="J34" s="679"/>
      <c r="K34" s="682"/>
      <c r="L34" s="682"/>
      <c r="M34" s="682"/>
      <c r="N34" s="679"/>
    </row>
    <row r="35" spans="1:14" x14ac:dyDescent="0.3">
      <c r="A35" s="621" t="s">
        <v>842</v>
      </c>
      <c r="B35" s="587">
        <v>0</v>
      </c>
      <c r="C35" s="587">
        <v>101.846</v>
      </c>
      <c r="D35" s="587">
        <v>137.31</v>
      </c>
      <c r="E35" s="587">
        <v>137.59899999999999</v>
      </c>
      <c r="G35" s="680"/>
      <c r="H35" s="680"/>
      <c r="I35" s="681"/>
      <c r="J35" s="679"/>
      <c r="K35" s="682"/>
      <c r="L35" s="682"/>
      <c r="M35" s="682"/>
      <c r="N35" s="679"/>
    </row>
    <row r="36" spans="1:14" x14ac:dyDescent="0.3">
      <c r="A36" s="621" t="s">
        <v>843</v>
      </c>
      <c r="B36" s="587">
        <v>0</v>
      </c>
      <c r="C36" s="587">
        <v>-19.49977402</v>
      </c>
      <c r="D36" s="587">
        <v>-19.364800484882018</v>
      </c>
      <c r="E36" s="587">
        <v>-20.841416739523922</v>
      </c>
      <c r="G36" s="680"/>
      <c r="H36" s="680"/>
      <c r="I36" s="681"/>
      <c r="J36" s="679"/>
      <c r="K36" s="682"/>
      <c r="L36" s="682"/>
      <c r="M36" s="682"/>
      <c r="N36" s="679"/>
    </row>
    <row r="37" spans="1:14" x14ac:dyDescent="0.3">
      <c r="A37" s="621" t="s">
        <v>689</v>
      </c>
      <c r="B37" s="587">
        <v>0</v>
      </c>
      <c r="C37" s="587">
        <v>-77.08811493442488</v>
      </c>
      <c r="D37" s="587">
        <v>-80.731532874849961</v>
      </c>
      <c r="E37" s="587">
        <v>-84.346832119604414</v>
      </c>
      <c r="G37" s="680"/>
      <c r="H37" s="680"/>
      <c r="I37" s="681"/>
      <c r="J37" s="679"/>
      <c r="K37" s="682"/>
      <c r="L37" s="682"/>
      <c r="M37" s="682"/>
      <c r="N37" s="679"/>
    </row>
    <row r="38" spans="1:14" x14ac:dyDescent="0.3">
      <c r="A38" s="621" t="s">
        <v>844</v>
      </c>
      <c r="B38" s="587">
        <v>0</v>
      </c>
      <c r="C38" s="587">
        <v>-6.4556219888583897</v>
      </c>
      <c r="D38" s="587">
        <v>-6.4556219888583897</v>
      </c>
      <c r="E38" s="587">
        <v>-6.4556219888583897</v>
      </c>
      <c r="G38" s="680"/>
      <c r="H38" s="680"/>
      <c r="I38" s="681"/>
      <c r="J38" s="679"/>
      <c r="K38" s="682"/>
      <c r="L38" s="682"/>
      <c r="M38" s="682"/>
      <c r="N38" s="679"/>
    </row>
    <row r="39" spans="1:14" x14ac:dyDescent="0.3">
      <c r="A39" s="621" t="s">
        <v>804</v>
      </c>
      <c r="B39" s="587">
        <v>0</v>
      </c>
      <c r="C39" s="587">
        <v>180</v>
      </c>
      <c r="D39" s="587">
        <v>190</v>
      </c>
      <c r="E39" s="587">
        <v>200</v>
      </c>
      <c r="G39" s="680"/>
      <c r="H39" s="680"/>
      <c r="I39" s="681"/>
      <c r="J39" s="679"/>
      <c r="K39" s="682"/>
      <c r="L39" s="682"/>
      <c r="M39" s="682"/>
      <c r="N39" s="679"/>
    </row>
    <row r="40" spans="1:14" x14ac:dyDescent="0.3">
      <c r="A40" s="623" t="s">
        <v>845</v>
      </c>
      <c r="B40" s="624">
        <v>0</v>
      </c>
      <c r="C40" s="624">
        <v>6</v>
      </c>
      <c r="D40" s="624">
        <v>6</v>
      </c>
      <c r="E40" s="624">
        <v>6</v>
      </c>
      <c r="G40" s="680"/>
      <c r="H40" s="680"/>
      <c r="I40" s="681"/>
      <c r="J40" s="679"/>
      <c r="K40" s="682"/>
      <c r="L40" s="682"/>
      <c r="M40" s="682"/>
      <c r="N40" s="679"/>
    </row>
    <row r="41" spans="1:14" x14ac:dyDescent="0.3">
      <c r="A41" s="625" t="s">
        <v>361</v>
      </c>
      <c r="B41" s="626">
        <v>0</v>
      </c>
      <c r="C41" s="626">
        <v>0</v>
      </c>
      <c r="D41" s="626">
        <v>385.0619999999945</v>
      </c>
      <c r="E41" s="626">
        <v>623.01600000000496</v>
      </c>
      <c r="G41" s="680"/>
      <c r="H41" s="680"/>
      <c r="I41" s="681"/>
      <c r="J41" s="679"/>
      <c r="K41" s="682"/>
      <c r="L41" s="682"/>
      <c r="M41" s="682"/>
      <c r="N41" s="679"/>
    </row>
    <row r="42" spans="1:14" s="535" customFormat="1" x14ac:dyDescent="0.3">
      <c r="A42" s="627" t="s">
        <v>857</v>
      </c>
      <c r="B42" s="381">
        <f>SUM(B5:B41)</f>
        <v>-33.670309171902652</v>
      </c>
      <c r="C42" s="629">
        <f>SUM(C5:C41)</f>
        <v>-84.361274414360082</v>
      </c>
      <c r="D42" s="629">
        <f>SUM(D5:D41)</f>
        <v>124.45818707199754</v>
      </c>
      <c r="E42" s="629">
        <f>SUM(E5:E41)</f>
        <v>361.47517766179567</v>
      </c>
      <c r="G42" s="679"/>
      <c r="H42" s="679"/>
      <c r="I42" s="679"/>
      <c r="J42" s="585"/>
      <c r="K42" s="585"/>
      <c r="L42" s="585"/>
      <c r="M42" s="585"/>
      <c r="N42" s="585"/>
    </row>
    <row r="43" spans="1:14" x14ac:dyDescent="0.3">
      <c r="A43" s="622"/>
    </row>
    <row r="44" spans="1:14" x14ac:dyDescent="0.3">
      <c r="A44" s="620" t="s">
        <v>861</v>
      </c>
      <c r="B44" s="19">
        <v>2019</v>
      </c>
      <c r="C44" s="19">
        <v>2020</v>
      </c>
      <c r="D44" s="19">
        <v>2021</v>
      </c>
      <c r="E44" s="19">
        <v>2022</v>
      </c>
    </row>
    <row r="45" spans="1:14" x14ac:dyDescent="0.3">
      <c r="A45" s="621" t="s">
        <v>846</v>
      </c>
      <c r="B45" s="587">
        <v>70</v>
      </c>
      <c r="C45" s="587">
        <v>85</v>
      </c>
      <c r="D45" s="587">
        <v>91</v>
      </c>
      <c r="E45" s="587">
        <v>91</v>
      </c>
    </row>
    <row r="46" spans="1:14" x14ac:dyDescent="0.3">
      <c r="A46" s="621" t="s">
        <v>847</v>
      </c>
      <c r="B46" s="587">
        <v>0</v>
      </c>
      <c r="C46" s="587">
        <v>91</v>
      </c>
      <c r="D46" s="587">
        <v>90</v>
      </c>
      <c r="E46" s="587">
        <v>89</v>
      </c>
    </row>
    <row r="47" spans="1:14" x14ac:dyDescent="0.3">
      <c r="A47" s="621" t="s">
        <v>848</v>
      </c>
      <c r="B47" s="587">
        <v>58</v>
      </c>
      <c r="C47" s="587">
        <v>79</v>
      </c>
      <c r="D47" s="587">
        <v>81</v>
      </c>
      <c r="E47" s="587">
        <v>81</v>
      </c>
    </row>
    <row r="48" spans="1:14" x14ac:dyDescent="0.3">
      <c r="A48" s="621" t="s">
        <v>849</v>
      </c>
      <c r="B48" s="587">
        <v>50</v>
      </c>
      <c r="C48" s="587">
        <v>25</v>
      </c>
      <c r="D48" s="587">
        <v>25</v>
      </c>
      <c r="E48" s="587">
        <v>25</v>
      </c>
    </row>
    <row r="49" spans="1:6" ht="27.6" x14ac:dyDescent="0.3">
      <c r="A49" s="621" t="s">
        <v>850</v>
      </c>
      <c r="B49" s="587">
        <v>592.20000000000005</v>
      </c>
      <c r="C49" s="587">
        <v>1137.7</v>
      </c>
      <c r="D49" s="587">
        <v>1265.5</v>
      </c>
      <c r="E49" s="587">
        <v>1290.81</v>
      </c>
    </row>
    <row r="50" spans="1:6" ht="27.6" x14ac:dyDescent="0.3">
      <c r="A50" s="621" t="s">
        <v>851</v>
      </c>
      <c r="B50" s="587">
        <v>17</v>
      </c>
      <c r="C50" s="587">
        <v>43</v>
      </c>
      <c r="D50" s="587">
        <v>45</v>
      </c>
      <c r="E50" s="587">
        <v>46</v>
      </c>
    </row>
    <row r="51" spans="1:6" x14ac:dyDescent="0.3">
      <c r="A51" s="621" t="s">
        <v>852</v>
      </c>
      <c r="B51" s="587">
        <v>0</v>
      </c>
      <c r="C51" s="587">
        <v>32</v>
      </c>
      <c r="D51" s="587">
        <v>45</v>
      </c>
      <c r="E51" s="587">
        <v>57</v>
      </c>
    </row>
    <row r="52" spans="1:6" x14ac:dyDescent="0.3">
      <c r="A52" s="621" t="s">
        <v>853</v>
      </c>
      <c r="B52" s="587">
        <v>0</v>
      </c>
      <c r="C52" s="587">
        <v>164</v>
      </c>
      <c r="D52" s="587">
        <v>169</v>
      </c>
      <c r="E52" s="587">
        <v>173</v>
      </c>
    </row>
    <row r="53" spans="1:6" x14ac:dyDescent="0.3">
      <c r="A53" s="621" t="s">
        <v>854</v>
      </c>
      <c r="B53" s="587">
        <v>6</v>
      </c>
      <c r="C53" s="587">
        <v>6</v>
      </c>
      <c r="D53" s="587">
        <v>6</v>
      </c>
      <c r="E53" s="587">
        <v>6</v>
      </c>
    </row>
    <row r="54" spans="1:6" x14ac:dyDescent="0.3">
      <c r="A54" s="621" t="s">
        <v>855</v>
      </c>
      <c r="B54" s="587">
        <v>180</v>
      </c>
      <c r="C54" s="587">
        <v>180</v>
      </c>
      <c r="D54" s="587">
        <v>180</v>
      </c>
      <c r="E54" s="587">
        <v>180</v>
      </c>
    </row>
    <row r="55" spans="1:6" x14ac:dyDescent="0.3">
      <c r="A55" s="623" t="s">
        <v>856</v>
      </c>
      <c r="B55" s="624">
        <v>0</v>
      </c>
      <c r="C55" s="624">
        <v>79</v>
      </c>
      <c r="D55" s="624">
        <v>104</v>
      </c>
      <c r="E55" s="624">
        <v>118</v>
      </c>
    </row>
    <row r="56" spans="1:6" x14ac:dyDescent="0.3">
      <c r="A56" s="625" t="s">
        <v>642</v>
      </c>
      <c r="B56" s="626">
        <v>0</v>
      </c>
      <c r="C56" s="626">
        <v>0</v>
      </c>
      <c r="D56" s="626">
        <v>-385.06199999999399</v>
      </c>
      <c r="E56" s="626">
        <v>-623.01600000000496</v>
      </c>
    </row>
    <row r="57" spans="1:6" x14ac:dyDescent="0.3">
      <c r="A57" s="627" t="s">
        <v>858</v>
      </c>
      <c r="B57" s="381">
        <f>SUM(B45:B56)</f>
        <v>973.2</v>
      </c>
      <c r="C57" s="381">
        <f t="shared" ref="C57:D57" si="0">SUM(C45:C56)</f>
        <v>1921.7</v>
      </c>
      <c r="D57" s="381">
        <f t="shared" si="0"/>
        <v>1716.438000000006</v>
      </c>
      <c r="E57" s="381">
        <f>SUM(E45:E56)</f>
        <v>1533.7939999999949</v>
      </c>
      <c r="F57" s="53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2"/>
  <sheetViews>
    <sheetView showGridLines="0" topLeftCell="C7" zoomScaleNormal="100" workbookViewId="0">
      <selection activeCell="K8" sqref="K8:K13"/>
    </sheetView>
  </sheetViews>
  <sheetFormatPr defaultColWidth="8.88671875" defaultRowHeight="13.8" x14ac:dyDescent="0.3"/>
  <cols>
    <col min="1" max="1" width="10.109375" style="535" customWidth="1"/>
    <col min="2" max="2" width="11.33203125" style="535" customWidth="1"/>
    <col min="3" max="9" width="8.88671875" style="535"/>
    <col min="10" max="10" width="18.33203125" style="535" bestFit="1" customWidth="1"/>
    <col min="11" max="11" width="18.33203125" style="535" customWidth="1"/>
    <col min="12" max="17" width="8.88671875" style="535"/>
    <col min="18" max="18" width="8.88671875" style="585"/>
    <col min="19" max="16384" width="8.88671875" style="535"/>
  </cols>
  <sheetData>
    <row r="3" spans="2:18" x14ac:dyDescent="0.3">
      <c r="J3" s="10" t="s">
        <v>176</v>
      </c>
      <c r="K3" s="10" t="s">
        <v>1010</v>
      </c>
    </row>
    <row r="6" spans="2:18" ht="14.4" x14ac:dyDescent="0.3">
      <c r="B6" s="856" t="s">
        <v>729</v>
      </c>
      <c r="C6" s="857"/>
      <c r="D6" s="857"/>
      <c r="E6" s="857"/>
      <c r="F6" s="857"/>
      <c r="G6" s="857"/>
      <c r="H6" s="857"/>
      <c r="J6" s="10" t="s">
        <v>179</v>
      </c>
      <c r="K6" s="10" t="s">
        <v>1036</v>
      </c>
    </row>
    <row r="7" spans="2:18" x14ac:dyDescent="0.3">
      <c r="J7" s="19"/>
      <c r="K7" s="19"/>
      <c r="L7" s="19">
        <v>2017</v>
      </c>
      <c r="M7" s="19">
        <v>2018</v>
      </c>
      <c r="N7" s="19">
        <v>2019</v>
      </c>
      <c r="O7" s="19">
        <v>2020</v>
      </c>
      <c r="P7" s="19">
        <v>2021</v>
      </c>
      <c r="Q7" s="19">
        <v>2022</v>
      </c>
    </row>
    <row r="8" spans="2:18" x14ac:dyDescent="0.3">
      <c r="J8" s="10" t="s">
        <v>90</v>
      </c>
      <c r="K8" s="10" t="s">
        <v>1038</v>
      </c>
      <c r="L8" s="586">
        <v>3.0407283401377949</v>
      </c>
      <c r="M8" s="586">
        <v>4.0337030433846515</v>
      </c>
      <c r="N8" s="587">
        <v>2.4392674584721252</v>
      </c>
      <c r="O8" s="587">
        <v>2.2595578313909477</v>
      </c>
      <c r="P8" s="587">
        <v>2.7617960700955697</v>
      </c>
      <c r="Q8" s="587">
        <v>2.7064739038668408</v>
      </c>
      <c r="R8" s="587"/>
    </row>
    <row r="9" spans="2:18" x14ac:dyDescent="0.3">
      <c r="J9" s="10" t="s">
        <v>730</v>
      </c>
      <c r="K9" s="10" t="s">
        <v>1039</v>
      </c>
      <c r="L9" s="588">
        <v>2.3779820599251282</v>
      </c>
      <c r="M9" s="588">
        <v>2.1530631606671147</v>
      </c>
      <c r="N9" s="587">
        <v>0.86794837889932497</v>
      </c>
      <c r="O9" s="587">
        <v>1.0766686566403971</v>
      </c>
      <c r="P9" s="587">
        <v>1.2832161769719417</v>
      </c>
      <c r="Q9" s="587">
        <v>1.0647582266554541</v>
      </c>
    </row>
    <row r="10" spans="2:18" x14ac:dyDescent="0.3">
      <c r="J10" s="10" t="s">
        <v>731</v>
      </c>
      <c r="K10" s="10" t="s">
        <v>1040</v>
      </c>
      <c r="L10" s="588">
        <v>0.19123571852292412</v>
      </c>
      <c r="M10" s="588">
        <v>4.1884331952471647E-2</v>
      </c>
      <c r="N10" s="587">
        <v>0.55327031145336303</v>
      </c>
      <c r="O10" s="587">
        <v>0.19770362452170709</v>
      </c>
      <c r="P10" s="587">
        <v>0.22447169213698923</v>
      </c>
      <c r="Q10" s="587">
        <v>0.29745936147768137</v>
      </c>
    </row>
    <row r="11" spans="2:18" x14ac:dyDescent="0.3">
      <c r="J11" s="10" t="s">
        <v>732</v>
      </c>
      <c r="K11" s="10" t="s">
        <v>1041</v>
      </c>
      <c r="L11" s="588">
        <v>0.81987595270107738</v>
      </c>
      <c r="M11" s="588">
        <v>0.77955939743660452</v>
      </c>
      <c r="N11" s="587">
        <v>0.42716705749149619</v>
      </c>
      <c r="O11" s="587">
        <v>0.80854349548855131</v>
      </c>
      <c r="P11" s="587">
        <v>0.74989340172801877</v>
      </c>
      <c r="Q11" s="587">
        <v>0.85906284831304325</v>
      </c>
    </row>
    <row r="12" spans="2:18" x14ac:dyDescent="0.3">
      <c r="D12" s="115"/>
      <c r="J12" s="10" t="s">
        <v>733</v>
      </c>
      <c r="K12" s="10" t="s">
        <v>1042</v>
      </c>
      <c r="L12" s="588">
        <v>-0.17846252547240357</v>
      </c>
      <c r="M12" s="588">
        <v>0.54368257626325478</v>
      </c>
      <c r="N12" s="587">
        <v>-0.18866819532916823</v>
      </c>
      <c r="O12" s="587">
        <v>1.503452001419834</v>
      </c>
      <c r="P12" s="587">
        <v>1.1269331176345876</v>
      </c>
      <c r="Q12" s="587">
        <v>0.71538779460115676</v>
      </c>
      <c r="R12" s="587"/>
    </row>
    <row r="13" spans="2:18" x14ac:dyDescent="0.3">
      <c r="D13" s="115"/>
      <c r="J13" s="10" t="s">
        <v>734</v>
      </c>
      <c r="K13" s="10" t="s">
        <v>1043</v>
      </c>
      <c r="L13" s="588">
        <v>-0.16990286553893119</v>
      </c>
      <c r="M13" s="588">
        <v>0.51551357706520573</v>
      </c>
      <c r="N13" s="587">
        <v>0.77954990595710738</v>
      </c>
      <c r="O13" s="587">
        <v>-1.3268099466795409</v>
      </c>
      <c r="P13" s="587">
        <v>-0.62271831837596248</v>
      </c>
      <c r="Q13" s="587">
        <v>-0.23019432718050092</v>
      </c>
    </row>
    <row r="14" spans="2:18" x14ac:dyDescent="0.3">
      <c r="D14" s="115"/>
    </row>
    <row r="15" spans="2:18" x14ac:dyDescent="0.3">
      <c r="D15" s="115"/>
      <c r="L15" s="589"/>
      <c r="M15" s="589"/>
      <c r="N15" s="589"/>
      <c r="O15" s="589"/>
      <c r="P15" s="589"/>
      <c r="Q15" s="589"/>
    </row>
    <row r="16" spans="2:18" x14ac:dyDescent="0.3">
      <c r="D16" s="115"/>
      <c r="J16" s="10" t="s">
        <v>180</v>
      </c>
      <c r="K16" s="10" t="s">
        <v>1037</v>
      </c>
    </row>
    <row r="17" spans="2:17" x14ac:dyDescent="0.3">
      <c r="B17" s="10"/>
      <c r="D17" s="115"/>
      <c r="J17" s="19"/>
      <c r="K17" s="19"/>
      <c r="L17" s="19">
        <v>2017</v>
      </c>
      <c r="M17" s="19">
        <v>2018</v>
      </c>
      <c r="N17" s="19">
        <v>2019</v>
      </c>
      <c r="O17" s="19">
        <v>2020</v>
      </c>
      <c r="P17" s="19">
        <v>2021</v>
      </c>
      <c r="Q17" s="19">
        <v>2022</v>
      </c>
    </row>
    <row r="18" spans="2:17" x14ac:dyDescent="0.3">
      <c r="D18" s="115"/>
      <c r="J18" s="10" t="s">
        <v>90</v>
      </c>
      <c r="K18" s="10" t="s">
        <v>1038</v>
      </c>
      <c r="L18" s="587">
        <v>3.0407283401377994</v>
      </c>
      <c r="M18" s="587">
        <v>4.0337030433846399</v>
      </c>
      <c r="N18" s="587">
        <v>2.4392674584721163</v>
      </c>
      <c r="O18" s="587">
        <v>2.259557831390957</v>
      </c>
      <c r="P18" s="587">
        <v>2.7617960700955679</v>
      </c>
      <c r="Q18" s="587">
        <v>2.7064739038668462</v>
      </c>
    </row>
    <row r="19" spans="2:17" x14ac:dyDescent="0.3">
      <c r="D19" s="115"/>
      <c r="J19" s="10" t="s">
        <v>735</v>
      </c>
      <c r="K19" s="10" t="s">
        <v>1046</v>
      </c>
      <c r="L19" s="587">
        <v>3.0647367155260885</v>
      </c>
      <c r="M19" s="587">
        <v>3.3517828942347312</v>
      </c>
      <c r="N19" s="587">
        <v>2.1925440988373692</v>
      </c>
      <c r="O19" s="587">
        <v>1.8167082912513506</v>
      </c>
      <c r="P19" s="587">
        <v>2.4459030567576581</v>
      </c>
      <c r="Q19" s="587">
        <v>2.7490220356119739</v>
      </c>
    </row>
    <row r="20" spans="2:17" x14ac:dyDescent="0.3">
      <c r="D20" s="115"/>
      <c r="J20" s="10" t="s">
        <v>736</v>
      </c>
      <c r="K20" s="10" t="s">
        <v>1045</v>
      </c>
      <c r="L20" s="587">
        <v>-0.12154209972238099</v>
      </c>
      <c r="M20" s="587">
        <v>0.40216501348481293</v>
      </c>
      <c r="N20" s="587">
        <v>0.32941685053672043</v>
      </c>
      <c r="O20" s="587">
        <v>-1.6658238013912856E-2</v>
      </c>
      <c r="P20" s="587">
        <v>-1.8264122493139974E-2</v>
      </c>
      <c r="Q20" s="587">
        <v>-1.8910280775616291E-2</v>
      </c>
    </row>
    <row r="21" spans="2:17" x14ac:dyDescent="0.3">
      <c r="D21" s="115"/>
      <c r="J21" s="10" t="s">
        <v>737</v>
      </c>
      <c r="K21" s="10" t="s">
        <v>1044</v>
      </c>
      <c r="L21" s="587">
        <v>9.7533724334067748E-2</v>
      </c>
      <c r="M21" s="587">
        <v>0.27975513566513804</v>
      </c>
      <c r="N21" s="587">
        <v>-8.2693490901993752E-2</v>
      </c>
      <c r="O21" s="587">
        <v>0.45950777815351462</v>
      </c>
      <c r="P21" s="587">
        <v>0.33415713583106738</v>
      </c>
      <c r="Q21" s="587">
        <v>-2.3637850969520365E-2</v>
      </c>
    </row>
    <row r="22" spans="2:17" x14ac:dyDescent="0.3">
      <c r="L22" s="587"/>
      <c r="M22" s="587"/>
      <c r="N22" s="587"/>
      <c r="O22" s="587"/>
      <c r="P22" s="587"/>
      <c r="Q22" s="587"/>
    </row>
    <row r="23" spans="2:17" x14ac:dyDescent="0.3">
      <c r="L23" s="589"/>
      <c r="M23" s="589"/>
      <c r="N23" s="589"/>
      <c r="O23" s="589"/>
      <c r="P23" s="589"/>
      <c r="Q23" s="589"/>
    </row>
    <row r="24" spans="2:17" x14ac:dyDescent="0.3">
      <c r="L24" s="587"/>
      <c r="M24" s="587"/>
      <c r="N24" s="587"/>
      <c r="O24" s="587"/>
      <c r="P24" s="587"/>
      <c r="Q24" s="587"/>
    </row>
    <row r="25" spans="2:17" ht="14.4" x14ac:dyDescent="0.3">
      <c r="B25" s="856" t="s">
        <v>528</v>
      </c>
      <c r="C25" s="857"/>
      <c r="D25" s="857"/>
      <c r="E25" s="857"/>
      <c r="F25" s="857"/>
      <c r="G25" s="857"/>
      <c r="H25" s="857"/>
      <c r="L25" s="587"/>
      <c r="M25" s="587"/>
      <c r="N25" s="587"/>
      <c r="O25" s="587"/>
      <c r="P25" s="587"/>
      <c r="Q25" s="587"/>
    </row>
    <row r="26" spans="2:17" ht="14.4" x14ac:dyDescent="0.3">
      <c r="J26" s="736" t="s">
        <v>1047</v>
      </c>
      <c r="K26" s="737"/>
      <c r="L26" s="737"/>
      <c r="M26" s="737"/>
      <c r="N26" s="737"/>
      <c r="O26" s="737"/>
      <c r="P26" s="736" t="s">
        <v>1048</v>
      </c>
      <c r="Q26" s="587"/>
    </row>
    <row r="27" spans="2:17" x14ac:dyDescent="0.3">
      <c r="L27" s="587"/>
      <c r="M27" s="587"/>
      <c r="N27" s="587"/>
      <c r="O27" s="587"/>
      <c r="P27" s="587"/>
      <c r="Q27" s="587"/>
    </row>
    <row r="28" spans="2:17" x14ac:dyDescent="0.3">
      <c r="L28" s="587"/>
      <c r="M28" s="587"/>
      <c r="N28" s="587"/>
      <c r="O28" s="587"/>
      <c r="P28" s="587"/>
      <c r="Q28" s="587"/>
    </row>
    <row r="29" spans="2:17" x14ac:dyDescent="0.3">
      <c r="L29" s="587"/>
      <c r="M29" s="587"/>
      <c r="N29" s="587"/>
      <c r="O29" s="587"/>
      <c r="P29" s="587"/>
      <c r="Q29" s="587"/>
    </row>
    <row r="37" spans="12:17" x14ac:dyDescent="0.3">
      <c r="L37" s="587"/>
      <c r="M37" s="587"/>
      <c r="N37" s="587"/>
      <c r="O37" s="587"/>
      <c r="P37" s="587"/>
      <c r="Q37" s="587"/>
    </row>
    <row r="38" spans="12:17" x14ac:dyDescent="0.3">
      <c r="L38" s="587"/>
      <c r="M38" s="587"/>
      <c r="N38" s="587"/>
      <c r="O38" s="587"/>
      <c r="P38" s="587"/>
      <c r="Q38" s="587"/>
    </row>
    <row r="39" spans="12:17" x14ac:dyDescent="0.3">
      <c r="L39" s="587"/>
      <c r="M39" s="587"/>
      <c r="N39" s="587"/>
      <c r="O39" s="587"/>
      <c r="P39" s="587"/>
      <c r="Q39" s="587"/>
    </row>
    <row r="40" spans="12:17" x14ac:dyDescent="0.3">
      <c r="L40" s="587"/>
      <c r="M40" s="587"/>
      <c r="N40" s="587"/>
      <c r="O40" s="587"/>
      <c r="P40" s="587"/>
      <c r="Q40" s="587"/>
    </row>
    <row r="41" spans="12:17" x14ac:dyDescent="0.3">
      <c r="L41" s="587"/>
      <c r="M41" s="587"/>
      <c r="N41" s="587"/>
      <c r="O41" s="587"/>
      <c r="P41" s="587"/>
      <c r="Q41" s="587"/>
    </row>
    <row r="42" spans="12:17" x14ac:dyDescent="0.3">
      <c r="L42" s="587"/>
      <c r="M42" s="587"/>
      <c r="N42" s="587"/>
      <c r="O42" s="587"/>
      <c r="P42" s="587"/>
      <c r="Q42" s="587"/>
    </row>
  </sheetData>
  <mergeCells count="2">
    <mergeCell ref="B6:H6"/>
    <mergeCell ref="B25:H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K18" sqref="K18:Q18"/>
    </sheetView>
  </sheetViews>
  <sheetFormatPr defaultRowHeight="14.4" x14ac:dyDescent="0.3"/>
  <cols>
    <col min="9" max="9" width="9.109375" customWidth="1"/>
    <col min="10" max="10" width="15.6640625" bestFit="1" customWidth="1"/>
    <col min="11" max="11" width="15.6640625" customWidth="1"/>
  </cols>
  <sheetData>
    <row r="2" spans="2:19" x14ac:dyDescent="0.3">
      <c r="I2" s="10"/>
    </row>
    <row r="3" spans="2:19" x14ac:dyDescent="0.3">
      <c r="B3" s="113"/>
      <c r="J3" s="10" t="s">
        <v>176</v>
      </c>
      <c r="K3" s="10" t="s">
        <v>1010</v>
      </c>
    </row>
    <row r="6" spans="2:19" x14ac:dyDescent="0.3">
      <c r="B6" s="856" t="s">
        <v>739</v>
      </c>
      <c r="C6" s="857"/>
      <c r="D6" s="857"/>
      <c r="E6" s="857"/>
      <c r="F6" s="857"/>
      <c r="G6" s="857"/>
      <c r="H6" s="857"/>
      <c r="J6" s="10" t="s">
        <v>738</v>
      </c>
      <c r="K6" s="10" t="s">
        <v>1051</v>
      </c>
      <c r="L6" s="583"/>
      <c r="M6" s="584"/>
      <c r="N6" s="583"/>
      <c r="O6" s="584"/>
      <c r="P6" s="583"/>
      <c r="Q6" s="584"/>
      <c r="R6" s="583"/>
      <c r="S6" s="584"/>
    </row>
    <row r="7" spans="2:19" x14ac:dyDescent="0.3">
      <c r="L7" s="858">
        <v>2015</v>
      </c>
      <c r="M7" s="859"/>
      <c r="N7" s="858">
        <v>2016</v>
      </c>
      <c r="O7" s="859"/>
      <c r="P7" s="858">
        <v>2017</v>
      </c>
      <c r="Q7" s="859"/>
      <c r="R7" s="858">
        <v>2018</v>
      </c>
      <c r="S7" s="859"/>
    </row>
    <row r="8" spans="2:19" x14ac:dyDescent="0.3">
      <c r="J8" s="759"/>
      <c r="K8" s="759"/>
      <c r="L8" s="760" t="s">
        <v>652</v>
      </c>
      <c r="M8" s="760" t="s">
        <v>653</v>
      </c>
      <c r="N8" s="760" t="s">
        <v>652</v>
      </c>
      <c r="O8" s="760" t="s">
        <v>653</v>
      </c>
      <c r="P8" s="760" t="s">
        <v>652</v>
      </c>
      <c r="Q8" s="760" t="s">
        <v>653</v>
      </c>
      <c r="R8" s="760" t="s">
        <v>652</v>
      </c>
      <c r="S8" s="760" t="s">
        <v>653</v>
      </c>
    </row>
    <row r="9" spans="2:19" x14ac:dyDescent="0.3">
      <c r="J9" s="759"/>
      <c r="K9" s="759"/>
      <c r="L9" s="858">
        <v>2015</v>
      </c>
      <c r="M9" s="859"/>
      <c r="N9" s="858">
        <v>2016</v>
      </c>
      <c r="O9" s="859"/>
      <c r="P9" s="858">
        <v>2017</v>
      </c>
      <c r="Q9" s="859"/>
      <c r="R9" s="858">
        <v>2018</v>
      </c>
      <c r="S9" s="859"/>
    </row>
    <row r="10" spans="2:19" x14ac:dyDescent="0.3">
      <c r="J10" s="511"/>
      <c r="K10" s="511"/>
      <c r="L10" s="128" t="s">
        <v>1049</v>
      </c>
      <c r="M10" s="128" t="s">
        <v>1050</v>
      </c>
      <c r="N10" s="128" t="s">
        <v>1049</v>
      </c>
      <c r="O10" s="128" t="s">
        <v>1050</v>
      </c>
      <c r="P10" s="128" t="s">
        <v>1049</v>
      </c>
      <c r="Q10" s="128" t="s">
        <v>1050</v>
      </c>
      <c r="R10" s="128" t="s">
        <v>1049</v>
      </c>
      <c r="S10" s="128" t="s">
        <v>1050</v>
      </c>
    </row>
    <row r="11" spans="2:19" x14ac:dyDescent="0.3">
      <c r="J11" s="10" t="s">
        <v>91</v>
      </c>
      <c r="K11" s="10" t="s">
        <v>1039</v>
      </c>
      <c r="L11" s="591">
        <v>1.1385263332316005</v>
      </c>
      <c r="M11" s="591">
        <v>1.5236701611293524</v>
      </c>
      <c r="N11" s="591">
        <v>1.4683706871110611</v>
      </c>
      <c r="O11" s="591">
        <v>2.1003997607869747</v>
      </c>
      <c r="P11" s="591">
        <v>1.7532864883066996</v>
      </c>
      <c r="Q11" s="591">
        <v>2.3779820599251282</v>
      </c>
      <c r="R11" s="591">
        <v>1.5162192160969055</v>
      </c>
      <c r="S11" s="591">
        <v>2.1530631606671147</v>
      </c>
    </row>
    <row r="12" spans="2:19" x14ac:dyDescent="0.3">
      <c r="J12" s="10" t="s">
        <v>93</v>
      </c>
      <c r="K12" s="10" t="s">
        <v>1041</v>
      </c>
      <c r="L12" s="591">
        <v>4.5209472358232823</v>
      </c>
      <c r="M12" s="591">
        <v>4.4107355157208392</v>
      </c>
      <c r="N12" s="591">
        <v>-2.2926655784353693</v>
      </c>
      <c r="O12" s="591">
        <v>-2.2166147735684811</v>
      </c>
      <c r="P12" s="591">
        <v>0.73601000223003432</v>
      </c>
      <c r="Q12" s="591">
        <v>0.81987595270107738</v>
      </c>
      <c r="R12" s="591">
        <v>1.4383267091353273</v>
      </c>
      <c r="S12" s="591">
        <v>0.77955939743660452</v>
      </c>
    </row>
    <row r="13" spans="2:19" x14ac:dyDescent="0.3">
      <c r="J13" s="10" t="s">
        <v>92</v>
      </c>
      <c r="K13" s="10" t="s">
        <v>1040</v>
      </c>
      <c r="L13" s="591">
        <v>0.97573589810080308</v>
      </c>
      <c r="M13" s="591">
        <v>0.98995472907686</v>
      </c>
      <c r="N13" s="591">
        <v>0.29015575301738744</v>
      </c>
      <c r="O13" s="591">
        <v>0.34974085046404896</v>
      </c>
      <c r="P13" s="591">
        <v>0.30950561530634385</v>
      </c>
      <c r="Q13" s="591">
        <v>0.19123571852292412</v>
      </c>
      <c r="R13" s="591">
        <v>0.34441671543929392</v>
      </c>
      <c r="S13" s="591">
        <v>4.1884331952471647E-2</v>
      </c>
    </row>
    <row r="14" spans="2:19" x14ac:dyDescent="0.3">
      <c r="J14" s="10" t="s">
        <v>94</v>
      </c>
      <c r="K14" s="10" t="s">
        <v>1042</v>
      </c>
      <c r="L14" s="591">
        <v>-1.4291548225145227</v>
      </c>
      <c r="M14" s="591">
        <v>-1.30969640292226</v>
      </c>
      <c r="N14" s="591">
        <v>2.0919567415502693</v>
      </c>
      <c r="O14" s="591">
        <v>0.3294620573047381</v>
      </c>
      <c r="P14" s="591">
        <v>0.8957207765266415</v>
      </c>
      <c r="Q14" s="591">
        <v>-0.17846252547240357</v>
      </c>
      <c r="R14" s="591">
        <v>-0.10550043612685023</v>
      </c>
      <c r="S14" s="591">
        <v>0.54368257626325478</v>
      </c>
    </row>
    <row r="15" spans="2:19" x14ac:dyDescent="0.3">
      <c r="J15" s="10" t="s">
        <v>680</v>
      </c>
      <c r="K15" s="10" t="s">
        <v>1043</v>
      </c>
      <c r="L15" s="591">
        <v>-1.0311814473756806</v>
      </c>
      <c r="M15" s="591">
        <v>-0.79274549697481245</v>
      </c>
      <c r="N15" s="591">
        <v>1.5675925014763017</v>
      </c>
      <c r="O15" s="591">
        <v>1.560475325683776</v>
      </c>
      <c r="P15" s="591">
        <v>-0.50618182783510113</v>
      </c>
      <c r="Q15" s="591">
        <v>-0.16990286553893119</v>
      </c>
      <c r="R15" s="591">
        <v>0.91558737795747769</v>
      </c>
      <c r="S15" s="591">
        <v>0.51551357706520573</v>
      </c>
    </row>
    <row r="16" spans="2:19" x14ac:dyDescent="0.3">
      <c r="J16" s="116" t="s">
        <v>90</v>
      </c>
      <c r="K16" s="10" t="s">
        <v>1038</v>
      </c>
      <c r="L16" s="590">
        <v>4.174873197265482</v>
      </c>
      <c r="M16" s="590">
        <v>4.8219185060299798</v>
      </c>
      <c r="N16" s="590">
        <v>3.1254101047196503</v>
      </c>
      <c r="O16" s="590">
        <v>2.1234632206710566</v>
      </c>
      <c r="P16" s="590">
        <v>3.188341054534618</v>
      </c>
      <c r="Q16" s="590">
        <v>3.0407283401377949</v>
      </c>
      <c r="R16" s="590">
        <v>4.1090495825021538</v>
      </c>
      <c r="S16" s="590">
        <v>4.0337030433846515</v>
      </c>
    </row>
    <row r="18" spans="11:17" x14ac:dyDescent="0.3">
      <c r="K18" s="856" t="s">
        <v>1052</v>
      </c>
      <c r="L18" s="857"/>
      <c r="M18" s="857"/>
      <c r="N18" s="857"/>
      <c r="O18" s="857"/>
      <c r="P18" s="857"/>
      <c r="Q18" s="857"/>
    </row>
  </sheetData>
  <mergeCells count="10">
    <mergeCell ref="L9:M9"/>
    <mergeCell ref="N9:O9"/>
    <mergeCell ref="P9:Q9"/>
    <mergeCell ref="R9:S9"/>
    <mergeCell ref="K18:Q18"/>
    <mergeCell ref="L7:M7"/>
    <mergeCell ref="N7:O7"/>
    <mergeCell ref="P7:Q7"/>
    <mergeCell ref="R7:S7"/>
    <mergeCell ref="B6:H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48"/>
  <sheetViews>
    <sheetView showGridLines="0" zoomScaleNormal="100" workbookViewId="0">
      <selection activeCell="L51" sqref="L51"/>
    </sheetView>
  </sheetViews>
  <sheetFormatPr defaultColWidth="8.88671875" defaultRowHeight="13.8" x14ac:dyDescent="0.3"/>
  <cols>
    <col min="1" max="1" width="9.44140625" style="535" customWidth="1"/>
    <col min="2" max="2" width="8.88671875" style="535" customWidth="1"/>
    <col min="3" max="11" width="8.109375" style="535" customWidth="1"/>
    <col min="12" max="12" width="22.33203125" style="535" bestFit="1" customWidth="1"/>
    <col min="13" max="13" width="22.33203125" style="535" customWidth="1"/>
    <col min="14" max="25" width="8.109375" style="535" customWidth="1"/>
    <col min="26" max="27" width="9" style="535" bestFit="1" customWidth="1"/>
    <col min="28" max="30" width="9.109375" style="535" bestFit="1" customWidth="1"/>
    <col min="31" max="39" width="9" style="535" bestFit="1" customWidth="1"/>
    <col min="40" max="42" width="9.109375" style="535" bestFit="1" customWidth="1"/>
    <col min="43" max="16384" width="8.88671875" style="535"/>
  </cols>
  <sheetData>
    <row r="4" spans="2:25" x14ac:dyDescent="0.3">
      <c r="L4" s="10" t="s">
        <v>176</v>
      </c>
      <c r="M4" s="10" t="s">
        <v>1010</v>
      </c>
    </row>
    <row r="6" spans="2:25" ht="14.4" x14ac:dyDescent="0.3">
      <c r="B6" s="856" t="s">
        <v>742</v>
      </c>
      <c r="C6" s="857"/>
      <c r="D6" s="857"/>
      <c r="E6" s="857"/>
      <c r="F6" s="857"/>
      <c r="G6" s="857"/>
      <c r="H6" s="857"/>
      <c r="I6" s="857"/>
      <c r="L6" s="10" t="s">
        <v>741</v>
      </c>
      <c r="M6" s="10" t="s">
        <v>1059</v>
      </c>
    </row>
    <row r="7" spans="2:25" x14ac:dyDescent="0.3">
      <c r="L7" s="124"/>
      <c r="M7" s="124"/>
      <c r="N7" s="125">
        <v>2013</v>
      </c>
      <c r="O7" s="125">
        <v>2014</v>
      </c>
      <c r="P7" s="125">
        <v>2015</v>
      </c>
      <c r="Q7" s="125">
        <v>2016</v>
      </c>
      <c r="R7" s="125">
        <v>2017</v>
      </c>
      <c r="S7" s="125">
        <v>2018</v>
      </c>
      <c r="T7" s="125">
        <v>2019</v>
      </c>
      <c r="U7" s="125">
        <v>2020</v>
      </c>
      <c r="V7" s="125">
        <v>2021</v>
      </c>
      <c r="W7" s="125">
        <v>2022</v>
      </c>
    </row>
    <row r="8" spans="2:25" x14ac:dyDescent="0.3">
      <c r="L8" s="126" t="s">
        <v>85</v>
      </c>
      <c r="M8" s="126" t="s">
        <v>1060</v>
      </c>
      <c r="N8" s="475">
        <v>-0.77760944641082075</v>
      </c>
      <c r="O8" s="475">
        <v>1.4094189032186399</v>
      </c>
      <c r="P8" s="476">
        <v>1.9768355607293842</v>
      </c>
      <c r="Q8" s="475">
        <v>2.3797834852236246</v>
      </c>
      <c r="R8" s="475">
        <v>2.2062007307902736</v>
      </c>
      <c r="S8" s="475">
        <v>2.008467888794474</v>
      </c>
      <c r="T8" s="475">
        <v>1.2446750088096703</v>
      </c>
      <c r="U8" s="475">
        <v>0.22604228146061445</v>
      </c>
      <c r="V8" s="593">
        <v>0.29600902117328243</v>
      </c>
      <c r="W8" s="475">
        <v>0.21830895092358471</v>
      </c>
    </row>
    <row r="9" spans="2:25" x14ac:dyDescent="0.3">
      <c r="L9" s="126" t="s">
        <v>86</v>
      </c>
      <c r="M9" s="126" t="s">
        <v>1061</v>
      </c>
      <c r="N9" s="477">
        <v>-4.2590136581495089E-2</v>
      </c>
      <c r="O9" s="477">
        <v>0.41227031028837008</v>
      </c>
      <c r="P9" s="478">
        <v>0.26804321257819697</v>
      </c>
      <c r="Q9" s="477">
        <v>0.25556912650848129</v>
      </c>
      <c r="R9" s="477">
        <v>0.18327919832799822</v>
      </c>
      <c r="S9" s="477">
        <v>0.26358875264726617</v>
      </c>
      <c r="T9" s="477">
        <v>0.19819891221054767</v>
      </c>
      <c r="U9" s="477">
        <v>3.867368605818064E-2</v>
      </c>
      <c r="V9" s="593">
        <v>3.3659566627915395E-2</v>
      </c>
      <c r="W9" s="477">
        <v>2.8389521099586416E-2</v>
      </c>
      <c r="Y9" s="115"/>
    </row>
    <row r="10" spans="2:25" x14ac:dyDescent="0.3">
      <c r="L10" s="126" t="s">
        <v>87</v>
      </c>
      <c r="M10" s="126" t="s">
        <v>1062</v>
      </c>
      <c r="N10" s="477">
        <v>-0.34577895424922156</v>
      </c>
      <c r="O10" s="477">
        <v>0.76131793302865658</v>
      </c>
      <c r="P10" s="478">
        <v>1.227583036494617</v>
      </c>
      <c r="Q10" s="477">
        <v>1.2378826314004245</v>
      </c>
      <c r="R10" s="477">
        <v>1.0369018491208073</v>
      </c>
      <c r="S10" s="477">
        <v>0.9245629476751146</v>
      </c>
      <c r="T10" s="477">
        <v>0.68722011364830793</v>
      </c>
      <c r="U10" s="477">
        <v>0.15267081248420278</v>
      </c>
      <c r="V10" s="593">
        <v>0.1578334115745163</v>
      </c>
      <c r="W10" s="477">
        <v>0.1291528558303871</v>
      </c>
    </row>
    <row r="11" spans="2:25" x14ac:dyDescent="0.3">
      <c r="L11" s="126" t="s">
        <v>88</v>
      </c>
      <c r="M11" s="126" t="s">
        <v>1063</v>
      </c>
      <c r="N11" s="477">
        <v>-0.30682097331135011</v>
      </c>
      <c r="O11" s="477">
        <v>0.41523529924265357</v>
      </c>
      <c r="P11" s="478">
        <v>0.48377324236926972</v>
      </c>
      <c r="Q11" s="477">
        <v>0.79052638682861953</v>
      </c>
      <c r="R11" s="477">
        <v>0.93160463221586653</v>
      </c>
      <c r="S11" s="477">
        <v>0.55841359448558969</v>
      </c>
      <c r="T11" s="477">
        <v>9.0401512949176033E-2</v>
      </c>
      <c r="U11" s="477">
        <v>2.8635501003479766E-2</v>
      </c>
      <c r="V11" s="593">
        <v>0.10770025534619701</v>
      </c>
      <c r="W11" s="477">
        <v>7.0873190224947105E-2</v>
      </c>
    </row>
    <row r="12" spans="2:25" x14ac:dyDescent="0.3">
      <c r="L12" s="126" t="s">
        <v>89</v>
      </c>
      <c r="M12" s="126" t="s">
        <v>1064</v>
      </c>
      <c r="N12" s="477">
        <v>-0.2357619781647477</v>
      </c>
      <c r="O12" s="477">
        <v>-0.10956774566415919</v>
      </c>
      <c r="P12" s="478">
        <v>-4.4756334370752167E-2</v>
      </c>
      <c r="Q12" s="477">
        <v>0.13153385144085269</v>
      </c>
      <c r="R12" s="477">
        <v>0.1266668648529177</v>
      </c>
      <c r="S12" s="477">
        <v>0.28099834081987768</v>
      </c>
      <c r="T12" s="477">
        <v>0.26115255686630018</v>
      </c>
      <c r="U12" s="477">
        <v>3.5463398001251797E-2</v>
      </c>
      <c r="V12" s="593">
        <v>2.5857246573854249E-2</v>
      </c>
      <c r="W12" s="477">
        <v>1.8559573620408155E-2</v>
      </c>
    </row>
    <row r="13" spans="2:25" x14ac:dyDescent="0.3">
      <c r="E13" s="115"/>
      <c r="L13" s="126" t="s">
        <v>201</v>
      </c>
      <c r="M13" s="126" t="s">
        <v>1065</v>
      </c>
      <c r="N13" s="477">
        <v>0.15334259589598118</v>
      </c>
      <c r="O13" s="477">
        <v>-6.9836893676864173E-2</v>
      </c>
      <c r="P13" s="478">
        <v>4.2192403658053879E-2</v>
      </c>
      <c r="Q13" s="477">
        <v>-3.5728510954757917E-2</v>
      </c>
      <c r="R13" s="477">
        <v>-7.225181372732789E-2</v>
      </c>
      <c r="S13" s="477">
        <v>-1.9095746833393559E-2</v>
      </c>
      <c r="T13" s="477">
        <v>7.7019131353254352E-3</v>
      </c>
      <c r="U13" s="477">
        <v>-2.9401116086469368E-2</v>
      </c>
      <c r="V13" s="593">
        <v>-2.9041458949225905E-2</v>
      </c>
      <c r="W13" s="477">
        <v>-2.8666189851745613E-2</v>
      </c>
    </row>
    <row r="14" spans="2:25" x14ac:dyDescent="0.3">
      <c r="E14" s="115"/>
      <c r="L14" s="127"/>
      <c r="M14" s="127"/>
    </row>
    <row r="15" spans="2:25" x14ac:dyDescent="0.3">
      <c r="E15" s="115"/>
      <c r="L15" s="126" t="s">
        <v>181</v>
      </c>
      <c r="M15" s="126" t="s">
        <v>1058</v>
      </c>
    </row>
    <row r="16" spans="2:25" x14ac:dyDescent="0.3">
      <c r="E16" s="115"/>
      <c r="L16" s="19"/>
      <c r="M16" s="19"/>
      <c r="N16" s="128">
        <v>2016</v>
      </c>
      <c r="O16" s="128">
        <v>2017</v>
      </c>
      <c r="P16" s="128">
        <v>2018</v>
      </c>
      <c r="Q16" s="128">
        <v>2019</v>
      </c>
      <c r="R16" s="128">
        <v>2020</v>
      </c>
      <c r="S16" s="128">
        <v>2021</v>
      </c>
      <c r="T16" s="128">
        <v>2022</v>
      </c>
    </row>
    <row r="17" spans="2:26" x14ac:dyDescent="0.3">
      <c r="E17" s="115"/>
      <c r="K17" s="129"/>
      <c r="L17" s="10" t="s">
        <v>95</v>
      </c>
      <c r="M17" s="10" t="s">
        <v>1053</v>
      </c>
      <c r="N17" s="590">
        <v>-0.51612820803027648</v>
      </c>
      <c r="O17" s="590">
        <v>1.3058612857026457</v>
      </c>
      <c r="P17" s="590">
        <v>2.4610806376507735</v>
      </c>
      <c r="Q17" s="590">
        <v>2.5242863608246884</v>
      </c>
      <c r="R17" s="590">
        <v>2.0574542519900652</v>
      </c>
      <c r="S17" s="590">
        <v>2.1599445751607078</v>
      </c>
      <c r="T17" s="590">
        <v>2.3383113599559318</v>
      </c>
    </row>
    <row r="18" spans="2:26" x14ac:dyDescent="0.3">
      <c r="E18" s="115"/>
      <c r="L18" s="10" t="s">
        <v>96</v>
      </c>
      <c r="M18" s="10" t="s">
        <v>1054</v>
      </c>
      <c r="N18" s="590">
        <v>0.17326731824941455</v>
      </c>
      <c r="O18" s="590">
        <v>0.87553326711939694</v>
      </c>
      <c r="P18" s="590">
        <v>1.5497173777771458</v>
      </c>
      <c r="Q18" s="590">
        <v>1.1534099920521319</v>
      </c>
      <c r="R18" s="590">
        <v>1.2118771597945066</v>
      </c>
      <c r="S18" s="590">
        <v>1.6291656238497481</v>
      </c>
      <c r="T18" s="590">
        <v>1.8295408374827253</v>
      </c>
      <c r="U18" s="590"/>
      <c r="V18" s="590"/>
      <c r="W18" s="590"/>
      <c r="X18" s="590"/>
      <c r="Y18" s="590"/>
      <c r="Z18" s="591"/>
    </row>
    <row r="19" spans="2:26" x14ac:dyDescent="0.3">
      <c r="E19" s="115"/>
      <c r="L19" s="10" t="s">
        <v>97</v>
      </c>
      <c r="M19" s="10" t="s">
        <v>1055</v>
      </c>
      <c r="N19" s="590">
        <v>-0.12327560839583385</v>
      </c>
      <c r="O19" s="590">
        <v>0.71369693522654831</v>
      </c>
      <c r="P19" s="590">
        <v>0.67025021973269472</v>
      </c>
      <c r="Q19" s="590">
        <v>0.60267426970651117</v>
      </c>
      <c r="R19" s="590">
        <v>0.54962966873264862</v>
      </c>
      <c r="S19" s="590">
        <v>0.49550869692845406</v>
      </c>
      <c r="T19" s="590">
        <v>0.47350026809070067</v>
      </c>
      <c r="U19" s="590"/>
      <c r="V19" s="590"/>
      <c r="W19" s="590"/>
      <c r="X19" s="590"/>
      <c r="Y19" s="590"/>
      <c r="Z19" s="591"/>
    </row>
    <row r="20" spans="2:26" x14ac:dyDescent="0.3">
      <c r="B20" s="10" t="s">
        <v>154</v>
      </c>
      <c r="E20" s="115"/>
      <c r="L20" s="10" t="s">
        <v>98</v>
      </c>
      <c r="M20" s="10" t="s">
        <v>1056</v>
      </c>
      <c r="N20" s="590">
        <v>-0.2461199178838572</v>
      </c>
      <c r="O20" s="590">
        <v>-0.38336891664329975</v>
      </c>
      <c r="P20" s="590">
        <v>0.24111304014093335</v>
      </c>
      <c r="Q20" s="590">
        <v>0.67643685248185392</v>
      </c>
      <c r="R20" s="590">
        <v>0.27610747628999915</v>
      </c>
      <c r="S20" s="590">
        <v>3.527025438250591E-2</v>
      </c>
      <c r="T20" s="590">
        <v>3.527025438250591E-2</v>
      </c>
      <c r="U20" s="590"/>
      <c r="V20" s="590"/>
      <c r="W20" s="590"/>
      <c r="X20" s="590"/>
      <c r="Y20" s="590"/>
      <c r="Z20" s="591"/>
    </row>
    <row r="21" spans="2:26" x14ac:dyDescent="0.3">
      <c r="E21" s="115"/>
      <c r="K21" s="129"/>
      <c r="L21" s="10" t="s">
        <v>99</v>
      </c>
      <c r="M21" s="10" t="s">
        <v>1057</v>
      </c>
      <c r="N21" s="591">
        <v>-0.32</v>
      </c>
      <c r="O21" s="591">
        <v>0.1</v>
      </c>
      <c r="P21" s="591">
        <v>0</v>
      </c>
      <c r="Q21" s="591">
        <v>9.1765246584191357E-2</v>
      </c>
      <c r="R21" s="591">
        <v>0</v>
      </c>
      <c r="S21" s="591">
        <v>0</v>
      </c>
      <c r="T21" s="591">
        <v>0</v>
      </c>
      <c r="Z21" s="592"/>
    </row>
    <row r="22" spans="2:26" x14ac:dyDescent="0.3">
      <c r="E22" s="115"/>
    </row>
    <row r="23" spans="2:26" x14ac:dyDescent="0.3">
      <c r="E23" s="115"/>
      <c r="L23" s="113" t="s">
        <v>1066</v>
      </c>
    </row>
    <row r="24" spans="2:26" x14ac:dyDescent="0.3">
      <c r="E24" s="115"/>
    </row>
    <row r="25" spans="2:26" x14ac:dyDescent="0.3">
      <c r="E25" s="115"/>
    </row>
    <row r="26" spans="2:26" x14ac:dyDescent="0.3">
      <c r="E26" s="115"/>
    </row>
    <row r="27" spans="2:26" ht="14.4" x14ac:dyDescent="0.3">
      <c r="B27" s="856" t="s">
        <v>740</v>
      </c>
      <c r="C27" s="857"/>
      <c r="D27" s="857"/>
      <c r="E27" s="857"/>
      <c r="F27" s="857"/>
      <c r="G27" s="857"/>
      <c r="H27" s="857"/>
      <c r="I27" s="857"/>
    </row>
    <row r="28" spans="2:26" x14ac:dyDescent="0.3">
      <c r="E28" s="115"/>
    </row>
    <row r="29" spans="2:26" x14ac:dyDescent="0.3">
      <c r="E29" s="115"/>
    </row>
    <row r="30" spans="2:26" x14ac:dyDescent="0.3">
      <c r="E30" s="115"/>
    </row>
    <row r="31" spans="2:26" x14ac:dyDescent="0.3">
      <c r="E31" s="115"/>
    </row>
    <row r="32" spans="2:26" x14ac:dyDescent="0.3">
      <c r="E32" s="115"/>
    </row>
    <row r="33" spans="2:5" x14ac:dyDescent="0.3">
      <c r="E33" s="115"/>
    </row>
    <row r="34" spans="2:5" x14ac:dyDescent="0.3">
      <c r="E34" s="115"/>
    </row>
    <row r="35" spans="2:5" x14ac:dyDescent="0.3">
      <c r="E35" s="115"/>
    </row>
    <row r="48" spans="2:5" x14ac:dyDescent="0.3">
      <c r="B48" s="113" t="s">
        <v>1067</v>
      </c>
    </row>
  </sheetData>
  <dataConsolidate/>
  <mergeCells count="2">
    <mergeCell ref="B6:I6"/>
    <mergeCell ref="B27:I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R175"/>
  <sheetViews>
    <sheetView showGridLines="0" zoomScaleNormal="100" workbookViewId="0">
      <selection activeCell="Q41" sqref="Q41:V41"/>
    </sheetView>
  </sheetViews>
  <sheetFormatPr defaultColWidth="8.88671875" defaultRowHeight="13.8" x14ac:dyDescent="0.3"/>
  <cols>
    <col min="1" max="1" width="11.88671875" style="535" bestFit="1" customWidth="1"/>
    <col min="2" max="2" width="11.88671875" style="535" customWidth="1"/>
    <col min="3" max="8" width="9.44140625" style="535" customWidth="1"/>
    <col min="9" max="9" width="11.33203125" style="535" customWidth="1"/>
    <col min="10" max="15" width="9.44140625" style="535" customWidth="1"/>
    <col min="16" max="16" width="10.109375" style="535" customWidth="1"/>
    <col min="17" max="42" width="8.88671875" style="535" customWidth="1"/>
    <col min="43" max="44" width="9.44140625" style="535" bestFit="1" customWidth="1"/>
    <col min="45" max="45" width="9" style="535" bestFit="1" customWidth="1"/>
    <col min="46" max="50" width="9.44140625" style="535" bestFit="1" customWidth="1"/>
    <col min="51" max="53" width="10.5546875" style="535" bestFit="1" customWidth="1"/>
    <col min="54" max="54" width="9.44140625" style="535" bestFit="1" customWidth="1"/>
    <col min="55" max="57" width="10.5546875" style="535" bestFit="1" customWidth="1"/>
    <col min="58" max="58" width="9.44140625" style="535" bestFit="1" customWidth="1"/>
    <col min="59" max="61" width="10.5546875" style="535" bestFit="1" customWidth="1"/>
    <col min="62" max="63" width="9" style="535" bestFit="1" customWidth="1"/>
    <col min="64" max="66" width="9.44140625" style="535" bestFit="1" customWidth="1"/>
    <col min="67" max="67" width="9" style="535" bestFit="1" customWidth="1"/>
    <col min="68" max="70" width="9.44140625" style="535" bestFit="1" customWidth="1"/>
    <col min="71" max="71" width="9" style="535" bestFit="1" customWidth="1"/>
    <col min="72" max="74" width="9.44140625" style="535" bestFit="1" customWidth="1"/>
    <col min="75" max="76" width="9" style="535" bestFit="1" customWidth="1"/>
    <col min="77" max="79" width="9.44140625" style="535" bestFit="1" customWidth="1"/>
    <col min="80" max="80" width="9" style="535" bestFit="1" customWidth="1"/>
    <col min="81" max="83" width="9.44140625" style="535" bestFit="1" customWidth="1"/>
    <col min="84" max="84" width="9" style="535" bestFit="1" customWidth="1"/>
    <col min="85" max="87" width="9.44140625" style="535" bestFit="1" customWidth="1"/>
    <col min="88" max="89" width="9" style="535" bestFit="1" customWidth="1"/>
    <col min="90" max="92" width="9.44140625" style="535" bestFit="1" customWidth="1"/>
    <col min="93" max="93" width="9" style="535" bestFit="1" customWidth="1"/>
    <col min="94" max="96" width="9.44140625" style="535" bestFit="1" customWidth="1"/>
    <col min="97" max="98" width="9" style="535" bestFit="1" customWidth="1"/>
    <col min="99" max="102" width="9.44140625" style="535" bestFit="1" customWidth="1"/>
    <col min="103" max="105" width="10.5546875" style="535" bestFit="1" customWidth="1"/>
    <col min="106" max="106" width="9.44140625" style="535" bestFit="1" customWidth="1"/>
    <col min="107" max="109" width="10.5546875" style="535" bestFit="1" customWidth="1"/>
    <col min="110" max="111" width="9.44140625" style="535" bestFit="1" customWidth="1"/>
    <col min="112" max="114" width="10.5546875" style="535" bestFit="1" customWidth="1"/>
    <col min="115" max="115" width="9" style="535" bestFit="1" customWidth="1"/>
    <col min="116" max="118" width="9.44140625" style="535" bestFit="1" customWidth="1"/>
    <col min="119" max="119" width="9" style="535" bestFit="1" customWidth="1"/>
    <col min="120" max="122" width="9.44140625" style="535" bestFit="1" customWidth="1"/>
    <col min="123" max="123" width="9" style="535" bestFit="1" customWidth="1"/>
    <col min="124" max="127" width="9.44140625" style="535" bestFit="1" customWidth="1"/>
    <col min="128" max="128" width="9" style="535" bestFit="1" customWidth="1"/>
    <col min="129" max="131" width="9.44140625" style="535" bestFit="1" customWidth="1"/>
    <col min="132" max="132" width="9" style="535" bestFit="1" customWidth="1"/>
    <col min="133" max="135" width="9.44140625" style="535" bestFit="1" customWidth="1"/>
    <col min="136" max="137" width="9" style="535" bestFit="1" customWidth="1"/>
    <col min="138" max="140" width="9.44140625" style="535" bestFit="1" customWidth="1"/>
    <col min="141" max="141" width="9" style="535" bestFit="1" customWidth="1"/>
    <col min="142" max="144" width="9.44140625" style="535" bestFit="1" customWidth="1"/>
    <col min="145" max="145" width="9" style="535" bestFit="1" customWidth="1"/>
    <col min="146" max="148" width="9.44140625" style="535" bestFit="1" customWidth="1"/>
    <col min="149" max="16384" width="8.88671875" style="535"/>
  </cols>
  <sheetData>
    <row r="2" spans="2:252" x14ac:dyDescent="0.3">
      <c r="B2" s="585"/>
    </row>
    <row r="3" spans="2:252" x14ac:dyDescent="0.3">
      <c r="B3" s="585"/>
    </row>
    <row r="4" spans="2:252" x14ac:dyDescent="0.3">
      <c r="B4" s="585"/>
      <c r="I4" s="116" t="s">
        <v>176</v>
      </c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  <c r="AC4" s="585"/>
      <c r="AD4" s="585"/>
      <c r="AE4" s="585"/>
      <c r="AF4" s="585"/>
      <c r="AG4" s="585"/>
      <c r="AH4" s="585"/>
      <c r="AI4" s="585"/>
      <c r="AJ4" s="585"/>
      <c r="AK4" s="585"/>
      <c r="AL4" s="585"/>
      <c r="AM4" s="585"/>
      <c r="AN4" s="585"/>
      <c r="AO4" s="585"/>
      <c r="AP4" s="585"/>
    </row>
    <row r="6" spans="2:252" ht="14.4" x14ac:dyDescent="0.3">
      <c r="B6" s="856" t="s">
        <v>745</v>
      </c>
      <c r="C6" s="857"/>
      <c r="D6" s="857"/>
      <c r="E6" s="857"/>
      <c r="F6" s="857"/>
      <c r="G6" s="857"/>
      <c r="I6" s="10" t="s">
        <v>744</v>
      </c>
    </row>
    <row r="7" spans="2:252" x14ac:dyDescent="0.3">
      <c r="I7" s="119"/>
      <c r="J7" s="598"/>
      <c r="K7" s="120">
        <v>43693</v>
      </c>
      <c r="L7" s="120">
        <v>43686</v>
      </c>
      <c r="M7" s="120">
        <v>43679</v>
      </c>
      <c r="N7" s="120">
        <v>43672</v>
      </c>
      <c r="O7" s="120">
        <v>43665</v>
      </c>
      <c r="P7" s="120">
        <v>43658</v>
      </c>
      <c r="Q7" s="120">
        <v>43651</v>
      </c>
      <c r="R7" s="120">
        <v>43644</v>
      </c>
      <c r="S7" s="120">
        <v>43637</v>
      </c>
      <c r="T7" s="120">
        <v>43630</v>
      </c>
      <c r="U7" s="120">
        <v>43623</v>
      </c>
      <c r="V7" s="120">
        <v>43616</v>
      </c>
      <c r="W7" s="120">
        <v>43609</v>
      </c>
      <c r="X7" s="120">
        <v>43602</v>
      </c>
      <c r="Y7" s="120">
        <v>43595</v>
      </c>
      <c r="Z7" s="120">
        <v>43588</v>
      </c>
      <c r="AA7" s="120">
        <v>43581</v>
      </c>
      <c r="AB7" s="120">
        <v>43574</v>
      </c>
      <c r="AC7" s="120">
        <v>43567</v>
      </c>
      <c r="AD7" s="120">
        <v>43560</v>
      </c>
      <c r="AE7" s="120">
        <v>43553</v>
      </c>
      <c r="AF7" s="120">
        <v>43546</v>
      </c>
      <c r="AG7" s="120">
        <v>43539</v>
      </c>
      <c r="AH7" s="120">
        <v>43532</v>
      </c>
      <c r="AI7" s="120">
        <v>43525</v>
      </c>
      <c r="AJ7" s="120">
        <v>43518</v>
      </c>
      <c r="AK7" s="120">
        <v>43511</v>
      </c>
      <c r="AL7" s="120">
        <v>43504</v>
      </c>
      <c r="AM7" s="120">
        <v>43497</v>
      </c>
      <c r="AN7" s="120">
        <v>43490</v>
      </c>
      <c r="AO7" s="120">
        <v>43483</v>
      </c>
      <c r="AP7" s="120">
        <v>43476</v>
      </c>
      <c r="AQ7" s="120">
        <v>43469</v>
      </c>
      <c r="AR7" s="120">
        <v>43462</v>
      </c>
      <c r="AS7" s="120">
        <v>43455</v>
      </c>
      <c r="AT7" s="120">
        <v>43448</v>
      </c>
      <c r="AU7" s="120">
        <v>43441</v>
      </c>
      <c r="AV7" s="120">
        <v>43434</v>
      </c>
      <c r="AW7" s="120">
        <v>43427</v>
      </c>
      <c r="AX7" s="120">
        <v>43420</v>
      </c>
      <c r="AY7" s="120">
        <v>43413</v>
      </c>
      <c r="AZ7" s="120">
        <v>43406</v>
      </c>
      <c r="BA7" s="120">
        <v>43399</v>
      </c>
      <c r="BB7" s="120">
        <v>43392</v>
      </c>
      <c r="BC7" s="120">
        <v>43385</v>
      </c>
      <c r="BD7" s="120">
        <v>43378</v>
      </c>
      <c r="BE7" s="120">
        <v>43371</v>
      </c>
      <c r="BF7" s="120">
        <v>43364</v>
      </c>
      <c r="BG7" s="120">
        <v>43357</v>
      </c>
      <c r="BH7" s="120">
        <v>43350</v>
      </c>
      <c r="BI7" s="120">
        <v>43343</v>
      </c>
      <c r="BJ7" s="120">
        <v>43336</v>
      </c>
      <c r="BK7" s="120">
        <v>43329</v>
      </c>
      <c r="BL7" s="120">
        <v>43322</v>
      </c>
      <c r="BM7" s="120">
        <v>43315</v>
      </c>
      <c r="BN7" s="120">
        <v>43308</v>
      </c>
      <c r="BO7" s="120">
        <v>43301</v>
      </c>
      <c r="BP7" s="120">
        <v>43294</v>
      </c>
      <c r="BQ7" s="120">
        <v>43287</v>
      </c>
      <c r="BR7" s="120">
        <v>43280</v>
      </c>
      <c r="BS7" s="120">
        <v>43273</v>
      </c>
      <c r="BT7" s="120">
        <v>43266</v>
      </c>
      <c r="BU7" s="120">
        <v>43259</v>
      </c>
      <c r="BV7" s="120">
        <v>43252</v>
      </c>
      <c r="BW7" s="120">
        <v>43245</v>
      </c>
      <c r="BX7" s="120">
        <v>43238</v>
      </c>
      <c r="BY7" s="120">
        <v>43231</v>
      </c>
      <c r="BZ7" s="120">
        <v>43224</v>
      </c>
      <c r="CA7" s="120">
        <v>43217</v>
      </c>
      <c r="CB7" s="120">
        <v>43210</v>
      </c>
      <c r="CC7" s="120">
        <v>43203</v>
      </c>
      <c r="CD7" s="120">
        <v>43196</v>
      </c>
      <c r="CE7" s="120">
        <v>43189</v>
      </c>
      <c r="CF7" s="120">
        <v>43182</v>
      </c>
      <c r="CG7" s="120">
        <v>43175</v>
      </c>
      <c r="CH7" s="120">
        <v>43168</v>
      </c>
      <c r="CI7" s="120">
        <v>43161</v>
      </c>
      <c r="CJ7" s="120">
        <v>43154</v>
      </c>
      <c r="CK7" s="120">
        <v>43147</v>
      </c>
      <c r="CL7" s="120">
        <v>43140</v>
      </c>
      <c r="CM7" s="120">
        <v>43133</v>
      </c>
      <c r="CN7" s="120">
        <v>43126</v>
      </c>
      <c r="CO7" s="120">
        <v>43119</v>
      </c>
      <c r="CP7" s="120">
        <v>43112</v>
      </c>
      <c r="CQ7" s="120">
        <v>43105</v>
      </c>
      <c r="CR7" s="120">
        <v>43098</v>
      </c>
      <c r="CS7" s="120">
        <v>43091</v>
      </c>
      <c r="CT7" s="120">
        <v>43084</v>
      </c>
      <c r="CU7" s="120">
        <v>43077</v>
      </c>
      <c r="CV7" s="120">
        <v>43070</v>
      </c>
      <c r="CW7" s="120">
        <v>43063</v>
      </c>
      <c r="CX7" s="120">
        <v>43056</v>
      </c>
      <c r="CY7" s="120">
        <v>43049</v>
      </c>
      <c r="CZ7" s="120">
        <v>43042</v>
      </c>
      <c r="DA7" s="120">
        <v>43035</v>
      </c>
      <c r="DB7" s="120">
        <v>43028</v>
      </c>
      <c r="DC7" s="120">
        <v>43021</v>
      </c>
      <c r="DD7" s="120">
        <v>43014</v>
      </c>
      <c r="DE7" s="120">
        <v>43007</v>
      </c>
      <c r="DF7" s="120">
        <v>43000</v>
      </c>
      <c r="DG7" s="120">
        <v>42993</v>
      </c>
      <c r="DH7" s="120">
        <v>42986</v>
      </c>
      <c r="DI7" s="120">
        <v>42979</v>
      </c>
      <c r="DJ7" s="120">
        <v>42972</v>
      </c>
      <c r="DK7" s="120">
        <v>42965</v>
      </c>
      <c r="DL7" s="120">
        <v>42958</v>
      </c>
      <c r="DM7" s="120">
        <v>42951</v>
      </c>
      <c r="DN7" s="120">
        <v>42944</v>
      </c>
      <c r="DO7" s="120">
        <v>42937</v>
      </c>
      <c r="DP7" s="120">
        <v>42930</v>
      </c>
      <c r="DQ7" s="120">
        <v>42923</v>
      </c>
      <c r="DR7" s="120">
        <v>42916</v>
      </c>
      <c r="DS7" s="120">
        <v>42909</v>
      </c>
      <c r="DT7" s="120">
        <v>42902</v>
      </c>
      <c r="DU7" s="120">
        <v>42895</v>
      </c>
      <c r="DV7" s="120">
        <v>42888</v>
      </c>
      <c r="DW7" s="120">
        <v>42881</v>
      </c>
      <c r="DX7" s="120">
        <v>42874</v>
      </c>
      <c r="DY7" s="120">
        <v>42867</v>
      </c>
      <c r="DZ7" s="120">
        <v>42860</v>
      </c>
      <c r="EA7" s="120">
        <v>42853</v>
      </c>
      <c r="EB7" s="120">
        <v>42846</v>
      </c>
      <c r="EC7" s="120">
        <v>42839</v>
      </c>
      <c r="ED7" s="120">
        <v>42832</v>
      </c>
      <c r="EE7" s="120">
        <v>42825</v>
      </c>
      <c r="EF7" s="120">
        <v>42818</v>
      </c>
      <c r="EG7" s="120">
        <v>42811</v>
      </c>
      <c r="EH7" s="120">
        <v>42804</v>
      </c>
      <c r="EI7" s="120">
        <v>42797</v>
      </c>
      <c r="EJ7" s="120">
        <v>42790</v>
      </c>
      <c r="EK7" s="120">
        <v>42783</v>
      </c>
      <c r="EL7" s="120">
        <v>42776</v>
      </c>
      <c r="EM7" s="120">
        <v>42769</v>
      </c>
      <c r="EN7" s="120">
        <v>42762</v>
      </c>
      <c r="EO7" s="120">
        <v>42755</v>
      </c>
      <c r="EP7" s="120">
        <v>42748</v>
      </c>
      <c r="EQ7" s="120">
        <v>42741</v>
      </c>
      <c r="ER7" s="120">
        <v>42734</v>
      </c>
      <c r="ES7" s="120">
        <v>42727</v>
      </c>
      <c r="ET7" s="120">
        <v>42720</v>
      </c>
      <c r="EU7" s="120">
        <v>42713</v>
      </c>
      <c r="EV7" s="120">
        <v>42706</v>
      </c>
      <c r="EW7" s="120">
        <v>42699</v>
      </c>
      <c r="EX7" s="120">
        <v>42692</v>
      </c>
      <c r="EY7" s="120">
        <v>42685</v>
      </c>
      <c r="EZ7" s="120">
        <v>42678</v>
      </c>
      <c r="FA7" s="120">
        <v>42671</v>
      </c>
      <c r="FB7" s="120">
        <v>42664</v>
      </c>
      <c r="FC7" s="120">
        <v>42657</v>
      </c>
      <c r="FD7" s="120">
        <v>42650</v>
      </c>
      <c r="FE7" s="120">
        <v>42643</v>
      </c>
      <c r="FF7" s="120">
        <v>42636</v>
      </c>
      <c r="FG7" s="120">
        <v>42629</v>
      </c>
      <c r="FH7" s="120">
        <v>42622</v>
      </c>
      <c r="FI7" s="120">
        <v>42615</v>
      </c>
      <c r="FJ7" s="120">
        <v>42608</v>
      </c>
      <c r="FK7" s="120">
        <v>42601</v>
      </c>
      <c r="FL7" s="120">
        <v>42594</v>
      </c>
      <c r="FM7" s="120">
        <v>42587</v>
      </c>
      <c r="FN7" s="120">
        <v>42580</v>
      </c>
      <c r="FO7" s="120">
        <v>42573</v>
      </c>
      <c r="FP7" s="120">
        <v>42566</v>
      </c>
      <c r="FQ7" s="120">
        <v>42559</v>
      </c>
      <c r="FR7" s="120">
        <v>42552</v>
      </c>
      <c r="FS7" s="120">
        <v>42545</v>
      </c>
      <c r="FT7" s="120">
        <v>42538</v>
      </c>
      <c r="FU7" s="120">
        <v>42531</v>
      </c>
      <c r="FV7" s="120">
        <v>42524</v>
      </c>
      <c r="FW7" s="120">
        <v>42517</v>
      </c>
      <c r="FX7" s="120">
        <v>42510</v>
      </c>
      <c r="FY7" s="120">
        <v>42503</v>
      </c>
      <c r="FZ7" s="120">
        <v>42496</v>
      </c>
      <c r="GA7" s="120">
        <v>42489</v>
      </c>
      <c r="GB7" s="120">
        <v>42482</v>
      </c>
      <c r="GC7" s="120">
        <v>42475</v>
      </c>
      <c r="GD7" s="120">
        <v>42468</v>
      </c>
      <c r="GE7" s="120">
        <v>42461</v>
      </c>
      <c r="GF7" s="120">
        <v>42454</v>
      </c>
      <c r="GG7" s="120">
        <v>42447</v>
      </c>
      <c r="GH7" s="120">
        <v>42440</v>
      </c>
      <c r="GI7" s="120">
        <v>42433</v>
      </c>
      <c r="GJ7" s="120">
        <v>42426</v>
      </c>
      <c r="GK7" s="120">
        <v>42419</v>
      </c>
      <c r="GL7" s="120">
        <v>42412</v>
      </c>
      <c r="GM7" s="120">
        <v>42405</v>
      </c>
      <c r="GN7" s="120">
        <v>42398</v>
      </c>
      <c r="GO7" s="120">
        <v>42391</v>
      </c>
      <c r="GP7" s="120">
        <v>42384</v>
      </c>
      <c r="GQ7" s="120">
        <v>42377</v>
      </c>
      <c r="GR7" s="120">
        <v>42370</v>
      </c>
      <c r="GS7" s="120">
        <v>42363</v>
      </c>
      <c r="GT7" s="120">
        <v>42356</v>
      </c>
      <c r="GU7" s="120">
        <v>42349</v>
      </c>
      <c r="GV7" s="120">
        <v>42342</v>
      </c>
      <c r="GW7" s="120">
        <v>42335</v>
      </c>
      <c r="GX7" s="120">
        <v>42328</v>
      </c>
      <c r="GY7" s="120">
        <v>42321</v>
      </c>
      <c r="GZ7" s="120">
        <v>42314</v>
      </c>
      <c r="HA7" s="120">
        <v>42307</v>
      </c>
      <c r="HB7" s="120">
        <v>42300</v>
      </c>
      <c r="HC7" s="120">
        <v>42293</v>
      </c>
      <c r="HD7" s="120">
        <v>42286</v>
      </c>
      <c r="HE7" s="120">
        <v>42279</v>
      </c>
      <c r="HF7" s="120">
        <v>42272</v>
      </c>
      <c r="HG7" s="120">
        <v>42265</v>
      </c>
      <c r="HH7" s="120">
        <v>42258</v>
      </c>
      <c r="HI7" s="120">
        <v>42251</v>
      </c>
      <c r="HJ7" s="120">
        <v>42244</v>
      </c>
      <c r="HK7" s="120">
        <v>42237</v>
      </c>
      <c r="HL7" s="120">
        <v>42230</v>
      </c>
      <c r="HM7" s="120">
        <v>42223</v>
      </c>
      <c r="HN7" s="120">
        <v>42216</v>
      </c>
      <c r="HO7" s="120">
        <v>42209</v>
      </c>
      <c r="HP7" s="120">
        <v>42202</v>
      </c>
      <c r="HQ7" s="120">
        <v>42195</v>
      </c>
      <c r="HR7" s="120">
        <v>42188</v>
      </c>
      <c r="HS7" s="120">
        <v>42181</v>
      </c>
      <c r="HT7" s="120">
        <v>42174</v>
      </c>
      <c r="HU7" s="120">
        <v>42167</v>
      </c>
      <c r="HV7" s="120">
        <v>42160</v>
      </c>
      <c r="HW7" s="120">
        <v>42153</v>
      </c>
      <c r="HX7" s="120">
        <v>42146</v>
      </c>
      <c r="HY7" s="120">
        <v>42139</v>
      </c>
      <c r="HZ7" s="120">
        <v>42132</v>
      </c>
      <c r="IA7" s="120">
        <v>42125</v>
      </c>
      <c r="IB7" s="120">
        <v>42118</v>
      </c>
      <c r="IC7" s="120">
        <v>42111</v>
      </c>
      <c r="ID7" s="120">
        <v>42104</v>
      </c>
      <c r="IE7" s="120">
        <v>42097</v>
      </c>
      <c r="IF7" s="120">
        <v>42090</v>
      </c>
      <c r="IG7" s="120">
        <v>42083</v>
      </c>
      <c r="IH7" s="120">
        <v>42076</v>
      </c>
      <c r="II7" s="120">
        <v>42069</v>
      </c>
      <c r="IJ7" s="120">
        <v>42062</v>
      </c>
      <c r="IK7" s="120">
        <v>42055</v>
      </c>
      <c r="IL7" s="120">
        <v>42048</v>
      </c>
      <c r="IM7" s="120">
        <v>42041</v>
      </c>
      <c r="IN7" s="120">
        <v>42034</v>
      </c>
      <c r="IO7" s="120">
        <v>42027</v>
      </c>
      <c r="IP7" s="120">
        <v>42020</v>
      </c>
      <c r="IQ7" s="120">
        <v>42013</v>
      </c>
      <c r="IR7" s="120">
        <v>42006</v>
      </c>
    </row>
    <row r="8" spans="2:252" x14ac:dyDescent="0.3">
      <c r="H8" s="115"/>
      <c r="I8" s="121" t="s">
        <v>519</v>
      </c>
      <c r="J8" s="727" t="s">
        <v>1068</v>
      </c>
      <c r="K8" s="587">
        <v>-0.68500000000000005</v>
      </c>
      <c r="L8" s="587">
        <v>-0.57599999999999996</v>
      </c>
      <c r="M8" s="587">
        <v>-0.495</v>
      </c>
      <c r="N8" s="587">
        <v>-0.376</v>
      </c>
      <c r="O8" s="587">
        <v>-0.32400000000000001</v>
      </c>
      <c r="P8" s="587">
        <v>-0.21</v>
      </c>
      <c r="Q8" s="587">
        <v>-0.36299999999999999</v>
      </c>
      <c r="R8" s="587">
        <v>-0.32700000000000001</v>
      </c>
      <c r="S8" s="587">
        <v>-0.28499999999999998</v>
      </c>
      <c r="T8" s="587">
        <v>-0.255</v>
      </c>
      <c r="U8" s="587">
        <v>-0.25700000000000001</v>
      </c>
      <c r="V8" s="587">
        <v>-0.20200000000000001</v>
      </c>
      <c r="W8" s="587">
        <v>-0.11700000000000001</v>
      </c>
      <c r="X8" s="587">
        <v>-0.104</v>
      </c>
      <c r="Y8" s="587">
        <v>-4.4999999999999998E-2</v>
      </c>
      <c r="Z8" s="587">
        <v>2.5000000000000001E-2</v>
      </c>
      <c r="AA8" s="587">
        <v>-2.1999999999999999E-2</v>
      </c>
      <c r="AB8" s="587">
        <v>2.5000000000000001E-2</v>
      </c>
      <c r="AC8" s="587">
        <v>5.5E-2</v>
      </c>
      <c r="AD8" s="587">
        <v>7.0000000000000001E-3</v>
      </c>
      <c r="AE8" s="587">
        <v>-7.0000000000000007E-2</v>
      </c>
      <c r="AF8" s="587">
        <v>-1.4999999999999999E-2</v>
      </c>
      <c r="AG8" s="587">
        <v>8.4000000000000005E-2</v>
      </c>
      <c r="AH8" s="587">
        <v>6.9000000000000006E-2</v>
      </c>
      <c r="AI8" s="587">
        <v>0.183</v>
      </c>
      <c r="AJ8" s="587">
        <v>9.6000000000000002E-2</v>
      </c>
      <c r="AK8" s="587">
        <v>0.10100000000000001</v>
      </c>
      <c r="AL8" s="587">
        <v>8.6999999999999994E-2</v>
      </c>
      <c r="AM8" s="587">
        <v>0.16600000000000001</v>
      </c>
      <c r="AN8" s="587">
        <v>0.193</v>
      </c>
      <c r="AO8" s="587">
        <v>0.26200000000000001</v>
      </c>
      <c r="AP8" s="587">
        <v>0.23899999999999999</v>
      </c>
      <c r="AQ8" s="587">
        <v>0.20799999999999999</v>
      </c>
      <c r="AR8" s="587">
        <v>0.24199999999999999</v>
      </c>
      <c r="AS8" s="587">
        <v>0.25</v>
      </c>
      <c r="AT8" s="587">
        <v>0.252</v>
      </c>
      <c r="AU8" s="587">
        <v>0.249</v>
      </c>
      <c r="AV8" s="587">
        <v>0.313</v>
      </c>
      <c r="AW8" s="587">
        <v>0.34</v>
      </c>
      <c r="AX8" s="587">
        <v>0.36699999999999999</v>
      </c>
      <c r="AY8" s="587">
        <v>0.40699999999999997</v>
      </c>
      <c r="AZ8" s="587">
        <v>0.42799999999999999</v>
      </c>
      <c r="BA8" s="587">
        <v>0.35199999999999998</v>
      </c>
      <c r="BB8" s="587">
        <v>0.46</v>
      </c>
      <c r="BC8" s="587">
        <v>0.498</v>
      </c>
      <c r="BD8" s="587">
        <v>0.57299999999999995</v>
      </c>
      <c r="BE8" s="587">
        <v>0.47</v>
      </c>
      <c r="BF8" s="587">
        <v>0.46200000000000002</v>
      </c>
      <c r="BG8" s="587">
        <v>0.45</v>
      </c>
      <c r="BH8" s="587">
        <v>0.38700000000000001</v>
      </c>
      <c r="BI8" s="587">
        <v>0.32600000000000001</v>
      </c>
      <c r="BJ8" s="587">
        <v>0.34499999999999997</v>
      </c>
      <c r="BK8" s="587">
        <v>0.30499999999999999</v>
      </c>
      <c r="BL8" s="587">
        <v>0.317</v>
      </c>
      <c r="BM8" s="587">
        <v>0.40799999999999997</v>
      </c>
      <c r="BN8" s="587">
        <v>0.40300000000000002</v>
      </c>
      <c r="BO8" s="587">
        <v>0.37</v>
      </c>
      <c r="BP8" s="587">
        <v>0.34</v>
      </c>
      <c r="BQ8" s="587">
        <v>0.29199999999999998</v>
      </c>
      <c r="BR8" s="587">
        <v>0.30199999999999999</v>
      </c>
      <c r="BS8" s="587">
        <v>0.33700000000000002</v>
      </c>
      <c r="BT8" s="587">
        <v>0.40300000000000002</v>
      </c>
      <c r="BU8" s="587">
        <v>0.44900000000000001</v>
      </c>
      <c r="BV8" s="587">
        <v>0.38600000000000001</v>
      </c>
      <c r="BW8" s="587">
        <v>0.40600000000000003</v>
      </c>
      <c r="BX8" s="587">
        <v>0.57899999999999996</v>
      </c>
      <c r="BY8" s="587">
        <v>0.55900000000000005</v>
      </c>
      <c r="BZ8" s="587">
        <v>0.54400000000000004</v>
      </c>
      <c r="CA8" s="587">
        <v>0.57099999999999995</v>
      </c>
      <c r="CB8" s="587">
        <v>0.59</v>
      </c>
      <c r="CC8" s="587">
        <v>0.51100000000000001</v>
      </c>
      <c r="CD8" s="587">
        <v>0.497</v>
      </c>
      <c r="CE8" s="587">
        <v>0.497</v>
      </c>
      <c r="CF8" s="587">
        <v>0.52700000000000002</v>
      </c>
      <c r="CG8" s="587">
        <v>0.57099999999999995</v>
      </c>
      <c r="CH8" s="587">
        <v>0.64800000000000002</v>
      </c>
      <c r="CI8" s="587">
        <v>0.65100000000000002</v>
      </c>
      <c r="CJ8" s="587">
        <v>0.65300000000000002</v>
      </c>
      <c r="CK8" s="587">
        <v>0.70599999999999996</v>
      </c>
      <c r="CL8" s="587">
        <v>0.745</v>
      </c>
      <c r="CM8" s="587">
        <v>0.76700000000000002</v>
      </c>
      <c r="CN8" s="587">
        <v>0.629</v>
      </c>
      <c r="CO8" s="587">
        <v>0.56799999999999995</v>
      </c>
      <c r="CP8" s="587">
        <v>0.58099999999999996</v>
      </c>
      <c r="CQ8" s="587">
        <v>0.439</v>
      </c>
      <c r="CR8" s="587">
        <v>0.42699999999999999</v>
      </c>
      <c r="CS8" s="587">
        <v>0.42</v>
      </c>
      <c r="CT8" s="587">
        <v>0.30099999999999999</v>
      </c>
      <c r="CU8" s="587">
        <v>0.307</v>
      </c>
      <c r="CV8" s="587">
        <v>0.30499999999999999</v>
      </c>
      <c r="CW8" s="587">
        <v>0.36</v>
      </c>
      <c r="CX8" s="587">
        <v>0.36099999999999999</v>
      </c>
      <c r="CY8" s="587">
        <v>0.41</v>
      </c>
      <c r="CZ8" s="587">
        <v>0.36399999999999999</v>
      </c>
      <c r="DA8" s="587">
        <v>0.38300000000000001</v>
      </c>
      <c r="DB8" s="587">
        <v>0.45200000000000001</v>
      </c>
      <c r="DC8" s="587">
        <v>0.40300000000000002</v>
      </c>
      <c r="DD8" s="587">
        <v>0.45900000000000002</v>
      </c>
      <c r="DE8" s="587">
        <v>0.46400000000000002</v>
      </c>
      <c r="DF8" s="587">
        <v>0.44700000000000001</v>
      </c>
      <c r="DG8" s="587">
        <v>0.433</v>
      </c>
      <c r="DH8" s="587">
        <v>0.312</v>
      </c>
      <c r="DI8" s="587">
        <v>0.379</v>
      </c>
      <c r="DJ8" s="587">
        <v>0.38</v>
      </c>
      <c r="DK8" s="587">
        <v>0.41399999999999998</v>
      </c>
      <c r="DL8" s="587">
        <v>0.38200000000000001</v>
      </c>
      <c r="DM8" s="587">
        <v>0.46800000000000003</v>
      </c>
      <c r="DN8" s="587">
        <v>0.54200000000000004</v>
      </c>
      <c r="DO8" s="587">
        <v>0.50600000000000001</v>
      </c>
      <c r="DP8" s="587">
        <v>0.59699999999999998</v>
      </c>
      <c r="DQ8" s="587">
        <v>0.57299999999999995</v>
      </c>
      <c r="DR8" s="587">
        <v>0.46600000000000003</v>
      </c>
      <c r="DS8" s="587">
        <v>0.255</v>
      </c>
      <c r="DT8" s="587">
        <v>0.27600000000000002</v>
      </c>
      <c r="DU8" s="587">
        <v>0.26400000000000001</v>
      </c>
      <c r="DV8" s="587">
        <v>0.27400000000000002</v>
      </c>
      <c r="DW8" s="587">
        <v>0.33100000000000002</v>
      </c>
      <c r="DX8" s="587">
        <v>0.36799999999999999</v>
      </c>
      <c r="DY8" s="587">
        <v>0.39100000000000001</v>
      </c>
      <c r="DZ8" s="587">
        <v>0.41799999999999998</v>
      </c>
      <c r="EA8" s="587">
        <v>0.317</v>
      </c>
      <c r="EB8" s="587">
        <v>0.253</v>
      </c>
      <c r="EC8" s="587">
        <v>0.187</v>
      </c>
      <c r="ED8" s="587">
        <v>0.22800000000000001</v>
      </c>
      <c r="EE8" s="587">
        <v>0.32800000000000001</v>
      </c>
      <c r="EF8" s="587">
        <v>0.40300000000000002</v>
      </c>
      <c r="EG8" s="587">
        <v>0.435</v>
      </c>
      <c r="EH8" s="587">
        <v>0.48499999999999999</v>
      </c>
      <c r="EI8" s="587">
        <v>0.35599999999999998</v>
      </c>
      <c r="EJ8" s="587">
        <v>0.186</v>
      </c>
      <c r="EK8" s="587">
        <v>0.30199999999999999</v>
      </c>
      <c r="EL8" s="587">
        <v>0.32</v>
      </c>
      <c r="EM8" s="587">
        <v>0.41199999999999998</v>
      </c>
      <c r="EN8" s="587">
        <v>0.46200000000000002</v>
      </c>
      <c r="EO8" s="587">
        <v>0.42099999999999999</v>
      </c>
      <c r="EP8" s="587">
        <v>0.33800000000000002</v>
      </c>
      <c r="EQ8" s="587">
        <v>0.29799999999999999</v>
      </c>
      <c r="ER8" s="587">
        <v>0.20799999999999999</v>
      </c>
      <c r="ES8" s="587">
        <v>0.221</v>
      </c>
      <c r="ET8" s="587">
        <v>0.314</v>
      </c>
      <c r="EU8" s="587">
        <v>0.36499999999999999</v>
      </c>
      <c r="EV8" s="587">
        <v>0.28100000000000003</v>
      </c>
      <c r="EW8" s="587">
        <v>0.24</v>
      </c>
      <c r="EX8" s="587">
        <v>0.27200000000000002</v>
      </c>
      <c r="EY8" s="587">
        <v>0.308</v>
      </c>
      <c r="EZ8" s="587">
        <v>0.13500000000000001</v>
      </c>
      <c r="FA8" s="587">
        <v>0.16700000000000001</v>
      </c>
      <c r="FB8" s="587">
        <v>6.0000000000000001E-3</v>
      </c>
      <c r="FC8" s="587">
        <v>5.8000000000000003E-2</v>
      </c>
      <c r="FD8" s="587">
        <v>0.02</v>
      </c>
      <c r="FE8" s="587">
        <v>-0.11899999999999999</v>
      </c>
      <c r="FF8" s="587">
        <v>-8.2000000000000003E-2</v>
      </c>
      <c r="FG8" s="587">
        <v>7.0000000000000001E-3</v>
      </c>
      <c r="FH8" s="587">
        <v>1.0999999999999999E-2</v>
      </c>
      <c r="FI8" s="587">
        <v>-4.2999999999999997E-2</v>
      </c>
      <c r="FJ8" s="587">
        <v>-7.1999999999999995E-2</v>
      </c>
      <c r="FK8" s="587">
        <v>-3.2000000000000001E-2</v>
      </c>
      <c r="FL8" s="587">
        <v>-0.108</v>
      </c>
      <c r="FM8" s="587">
        <v>-6.7000000000000004E-2</v>
      </c>
      <c r="FN8" s="587">
        <v>-0.11899999999999999</v>
      </c>
      <c r="FO8" s="587">
        <v>-0.03</v>
      </c>
      <c r="FP8" s="587">
        <v>6.0000000000000001E-3</v>
      </c>
      <c r="FQ8" s="587">
        <v>-0.189</v>
      </c>
      <c r="FR8" s="587">
        <v>-0.126</v>
      </c>
      <c r="FS8" s="587">
        <v>-4.7E-2</v>
      </c>
      <c r="FT8" s="587">
        <v>1.9E-2</v>
      </c>
      <c r="FU8" s="587">
        <v>0.02</v>
      </c>
      <c r="FV8" s="587">
        <v>6.8000000000000005E-2</v>
      </c>
      <c r="FW8" s="587">
        <v>0.13800000000000001</v>
      </c>
      <c r="FX8" s="587">
        <v>0.16500000000000001</v>
      </c>
      <c r="FY8" s="587">
        <v>0.124</v>
      </c>
      <c r="FZ8" s="587">
        <v>0.14399999999999999</v>
      </c>
      <c r="GA8" s="587">
        <v>0.27100000000000002</v>
      </c>
      <c r="GB8" s="587">
        <v>0.23100000000000001</v>
      </c>
      <c r="GC8" s="587">
        <v>0.127</v>
      </c>
      <c r="GD8" s="587">
        <v>9.5000000000000001E-2</v>
      </c>
      <c r="GE8" s="587">
        <v>0.13400000000000001</v>
      </c>
      <c r="GF8" s="587">
        <v>0.18</v>
      </c>
      <c r="GG8" s="587">
        <v>0.21199999999999999</v>
      </c>
      <c r="GH8" s="587">
        <v>0.27100000000000002</v>
      </c>
      <c r="GI8" s="587">
        <v>0.23799999999999999</v>
      </c>
      <c r="GJ8" s="587">
        <v>0.14699999999999999</v>
      </c>
      <c r="GK8" s="587">
        <v>0.20200000000000001</v>
      </c>
      <c r="GL8" s="587">
        <v>0.26100000000000001</v>
      </c>
      <c r="GM8" s="587">
        <v>0.29599999999999999</v>
      </c>
      <c r="GN8" s="587">
        <v>0.32500000000000001</v>
      </c>
      <c r="GO8" s="587">
        <v>0.48399999999999999</v>
      </c>
      <c r="GP8" s="587">
        <v>0.54</v>
      </c>
      <c r="GQ8" s="587">
        <v>0.51400000000000001</v>
      </c>
      <c r="GR8" s="587">
        <v>0.629</v>
      </c>
      <c r="GS8" s="587">
        <v>0.64100000000000001</v>
      </c>
      <c r="GT8" s="587">
        <v>0.54800000000000004</v>
      </c>
      <c r="GU8" s="587">
        <v>0.54</v>
      </c>
      <c r="GV8" s="587">
        <v>0.67800000000000005</v>
      </c>
      <c r="GW8" s="587">
        <v>0.46</v>
      </c>
      <c r="GX8" s="587">
        <v>0.47899999999999998</v>
      </c>
      <c r="GY8" s="587">
        <v>0.55800000000000005</v>
      </c>
      <c r="GZ8" s="587">
        <v>0.69299999999999995</v>
      </c>
      <c r="HA8" s="587">
        <v>0.51700000000000002</v>
      </c>
      <c r="HB8" s="587">
        <v>0.51200000000000001</v>
      </c>
      <c r="HC8" s="587">
        <v>0.54800000000000004</v>
      </c>
      <c r="HD8" s="587">
        <v>0.61499999999999999</v>
      </c>
      <c r="HE8" s="587">
        <v>0.51</v>
      </c>
      <c r="HF8" s="587">
        <v>0.64900000000000002</v>
      </c>
      <c r="HG8" s="587">
        <v>0.66300000000000003</v>
      </c>
      <c r="HH8" s="587">
        <v>0.65300000000000002</v>
      </c>
      <c r="HI8" s="587">
        <v>0.66800000000000004</v>
      </c>
      <c r="HJ8" s="587">
        <v>0.74199999999999999</v>
      </c>
      <c r="HK8" s="587">
        <v>0.56399999999999995</v>
      </c>
      <c r="HL8" s="587">
        <v>0.66</v>
      </c>
      <c r="HM8" s="587">
        <v>0.66100000000000003</v>
      </c>
      <c r="HN8" s="587">
        <v>0.64400000000000002</v>
      </c>
      <c r="HO8" s="587">
        <v>0.69099999999999995</v>
      </c>
      <c r="HP8" s="587">
        <v>0.78800000000000003</v>
      </c>
      <c r="HQ8" s="587">
        <v>0.89800000000000002</v>
      </c>
      <c r="HR8" s="587">
        <v>0.79100000000000004</v>
      </c>
      <c r="HS8" s="587">
        <v>0.92200000000000004</v>
      </c>
      <c r="HT8" s="587">
        <v>0.752</v>
      </c>
      <c r="HU8" s="587">
        <v>0.83399999999999996</v>
      </c>
      <c r="HV8" s="587">
        <v>0.84399999999999997</v>
      </c>
      <c r="HW8" s="587">
        <v>0.48699999999999999</v>
      </c>
      <c r="HX8" s="587">
        <v>0.60399999999999998</v>
      </c>
      <c r="HY8" s="587">
        <v>0.624</v>
      </c>
      <c r="HZ8" s="587">
        <v>0.54700000000000004</v>
      </c>
      <c r="IA8" s="587">
        <v>0.373</v>
      </c>
      <c r="IB8" s="587">
        <v>0.155</v>
      </c>
      <c r="IC8" s="587">
        <v>7.8E-2</v>
      </c>
      <c r="ID8" s="587">
        <v>0.155</v>
      </c>
      <c r="IE8" s="587">
        <v>0.19400000000000001</v>
      </c>
      <c r="IF8" s="587">
        <v>0.20699999999999999</v>
      </c>
      <c r="IG8" s="587">
        <v>0.184</v>
      </c>
      <c r="IH8" s="587">
        <v>0.25700000000000001</v>
      </c>
      <c r="II8" s="587">
        <v>0.39300000000000002</v>
      </c>
      <c r="IJ8" s="587">
        <v>0.32800000000000001</v>
      </c>
      <c r="IK8" s="587">
        <v>0.36699999999999999</v>
      </c>
      <c r="IL8" s="587">
        <v>0.34200000000000003</v>
      </c>
      <c r="IM8" s="587">
        <v>0.375</v>
      </c>
      <c r="IN8" s="587">
        <v>0.30199999999999999</v>
      </c>
      <c r="IO8" s="587">
        <v>0.36199999999999999</v>
      </c>
      <c r="IP8" s="587">
        <v>0.45400000000000001</v>
      </c>
      <c r="IQ8" s="587">
        <v>0.49199999999999999</v>
      </c>
      <c r="IR8" s="587">
        <v>0.498</v>
      </c>
    </row>
    <row r="9" spans="2:252" x14ac:dyDescent="0.3">
      <c r="H9" s="115"/>
      <c r="I9" s="121" t="s">
        <v>522</v>
      </c>
      <c r="J9" s="727" t="s">
        <v>1069</v>
      </c>
      <c r="K9" s="587">
        <v>1.395</v>
      </c>
      <c r="L9" s="587">
        <v>1.806</v>
      </c>
      <c r="M9" s="587">
        <v>1.5409999999999999</v>
      </c>
      <c r="N9" s="587">
        <v>1.5659999999999998</v>
      </c>
      <c r="O9" s="587">
        <v>1.605</v>
      </c>
      <c r="P9" s="587">
        <v>1.7389999999999999</v>
      </c>
      <c r="Q9" s="587">
        <v>1.746</v>
      </c>
      <c r="R9" s="587">
        <v>2.1019999999999999</v>
      </c>
      <c r="S9" s="587">
        <v>2.149</v>
      </c>
      <c r="T9" s="587">
        <v>2.3479999999999999</v>
      </c>
      <c r="U9" s="587">
        <v>2.3580000000000001</v>
      </c>
      <c r="V9" s="587">
        <v>2.67</v>
      </c>
      <c r="W9" s="587">
        <v>2.5529999999999999</v>
      </c>
      <c r="X9" s="587">
        <v>2.66</v>
      </c>
      <c r="Y9" s="587">
        <v>2.6829999999999998</v>
      </c>
      <c r="Z9" s="587">
        <v>2.5609999999999999</v>
      </c>
      <c r="AA9" s="587">
        <v>2.5840000000000001</v>
      </c>
      <c r="AB9" s="587">
        <v>2.6019999999999999</v>
      </c>
      <c r="AC9" s="587">
        <v>2.5409999999999999</v>
      </c>
      <c r="AD9" s="587">
        <v>2.4779999999999998</v>
      </c>
      <c r="AE9" s="587">
        <v>2.488</v>
      </c>
      <c r="AF9" s="587">
        <v>2.448</v>
      </c>
      <c r="AG9" s="587">
        <v>2.496</v>
      </c>
      <c r="AH9" s="587">
        <v>2.504</v>
      </c>
      <c r="AI9" s="587">
        <v>2.7330000000000001</v>
      </c>
      <c r="AJ9" s="587">
        <v>2.847</v>
      </c>
      <c r="AK9" s="587">
        <v>2.7989999999999999</v>
      </c>
      <c r="AL9" s="587">
        <v>2.9580000000000002</v>
      </c>
      <c r="AM9" s="587">
        <v>2.7469999999999999</v>
      </c>
      <c r="AN9" s="587">
        <v>2.649</v>
      </c>
      <c r="AO9" s="587">
        <v>2.73</v>
      </c>
      <c r="AP9" s="587">
        <v>2.8540000000000001</v>
      </c>
      <c r="AQ9" s="587">
        <v>2.899</v>
      </c>
      <c r="AR9" s="587">
        <v>2.742</v>
      </c>
      <c r="AS9" s="587">
        <v>2.831</v>
      </c>
      <c r="AT9" s="587">
        <v>2.9390000000000001</v>
      </c>
      <c r="AU9" s="587">
        <v>3.1320000000000001</v>
      </c>
      <c r="AV9" s="587">
        <v>3.2130000000000001</v>
      </c>
      <c r="AW9" s="587">
        <v>3.407</v>
      </c>
      <c r="AX9" s="587">
        <v>3.4910000000000001</v>
      </c>
      <c r="AY9" s="587">
        <v>3.403</v>
      </c>
      <c r="AZ9" s="587">
        <v>3.3210000000000002</v>
      </c>
      <c r="BA9" s="587">
        <v>3.4460000000000002</v>
      </c>
      <c r="BB9" s="587">
        <v>3.4830000000000001</v>
      </c>
      <c r="BC9" s="587">
        <v>3.577</v>
      </c>
      <c r="BD9" s="587">
        <v>3.4239999999999999</v>
      </c>
      <c r="BE9" s="587">
        <v>3.1469999999999998</v>
      </c>
      <c r="BF9" s="587">
        <v>2.83</v>
      </c>
      <c r="BG9" s="587">
        <v>2.9820000000000002</v>
      </c>
      <c r="BH9" s="587">
        <v>3.0350000000000001</v>
      </c>
      <c r="BI9" s="587">
        <v>3.2359999999999998</v>
      </c>
      <c r="BJ9" s="587">
        <v>3.1520000000000001</v>
      </c>
      <c r="BK9" s="587">
        <v>3.121</v>
      </c>
      <c r="BL9" s="587">
        <v>2.9929999999999999</v>
      </c>
      <c r="BM9" s="587">
        <v>2.927</v>
      </c>
      <c r="BN9" s="587">
        <v>2.7429999999999999</v>
      </c>
      <c r="BO9" s="587">
        <v>2.589</v>
      </c>
      <c r="BP9" s="587">
        <v>2.5510000000000002</v>
      </c>
      <c r="BQ9" s="587">
        <v>2.7149999999999999</v>
      </c>
      <c r="BR9" s="587">
        <v>2.68</v>
      </c>
      <c r="BS9" s="587">
        <v>2.694</v>
      </c>
      <c r="BT9" s="587">
        <v>2.609</v>
      </c>
      <c r="BU9" s="587">
        <v>3.1310000000000002</v>
      </c>
      <c r="BV9" s="587">
        <v>2.6890000000000001</v>
      </c>
      <c r="BW9" s="587">
        <v>2.4609999999999999</v>
      </c>
      <c r="BX9" s="587">
        <v>2.2290000000000001</v>
      </c>
      <c r="BY9" s="587">
        <v>1.8719999999999999</v>
      </c>
      <c r="BZ9" s="587">
        <v>1.7970000000000002</v>
      </c>
      <c r="CA9" s="587">
        <v>1.7410000000000001</v>
      </c>
      <c r="CB9" s="587">
        <v>1.778</v>
      </c>
      <c r="CC9" s="587">
        <v>1.7970000000000002</v>
      </c>
      <c r="CD9" s="587">
        <v>1.786</v>
      </c>
      <c r="CE9" s="587">
        <v>1.786</v>
      </c>
      <c r="CF9" s="587">
        <v>1.877</v>
      </c>
      <c r="CG9" s="587">
        <v>1.9830000000000001</v>
      </c>
      <c r="CH9" s="587">
        <v>2.0110000000000001</v>
      </c>
      <c r="CI9" s="587">
        <v>1.97</v>
      </c>
      <c r="CJ9" s="587">
        <v>2.0670000000000002</v>
      </c>
      <c r="CK9" s="587">
        <v>1.9849999999999999</v>
      </c>
      <c r="CL9" s="587">
        <v>2.0489999999999999</v>
      </c>
      <c r="CM9" s="587">
        <v>2.0499999999999998</v>
      </c>
      <c r="CN9" s="587">
        <v>2.0070000000000001</v>
      </c>
      <c r="CO9" s="587">
        <v>1.9630000000000001</v>
      </c>
      <c r="CP9" s="587">
        <v>1.9830000000000001</v>
      </c>
      <c r="CQ9" s="587">
        <v>2.0059999999999998</v>
      </c>
      <c r="CR9" s="587">
        <v>2.016</v>
      </c>
      <c r="CS9" s="587">
        <v>1.9119999999999999</v>
      </c>
      <c r="CT9" s="587">
        <v>1.8120000000000001</v>
      </c>
      <c r="CU9" s="587">
        <v>1.651</v>
      </c>
      <c r="CV9" s="587">
        <v>1.716</v>
      </c>
      <c r="CW9" s="587">
        <v>1.8109999999999999</v>
      </c>
      <c r="CX9" s="587">
        <v>1.8359999999999999</v>
      </c>
      <c r="CY9" s="587">
        <v>1.8460000000000001</v>
      </c>
      <c r="CZ9" s="587">
        <v>1.792</v>
      </c>
      <c r="DA9" s="587">
        <v>1.95</v>
      </c>
      <c r="DB9" s="587">
        <v>2.0430000000000001</v>
      </c>
      <c r="DC9" s="587">
        <v>2.0840000000000001</v>
      </c>
      <c r="DD9" s="587">
        <v>2.1469999999999998</v>
      </c>
      <c r="DE9" s="587">
        <v>2.1110000000000002</v>
      </c>
      <c r="DF9" s="587">
        <v>2.1070000000000002</v>
      </c>
      <c r="DG9" s="587">
        <v>2.0779999999999998</v>
      </c>
      <c r="DH9" s="587">
        <v>1.9590000000000001</v>
      </c>
      <c r="DI9" s="587">
        <v>2.077</v>
      </c>
      <c r="DJ9" s="587">
        <v>2.101</v>
      </c>
      <c r="DK9" s="587">
        <v>2.0329999999999999</v>
      </c>
      <c r="DL9" s="587">
        <v>2.0310000000000001</v>
      </c>
      <c r="DM9" s="587">
        <v>2.0219999999999998</v>
      </c>
      <c r="DN9" s="587">
        <v>2.1219999999999999</v>
      </c>
      <c r="DO9" s="587">
        <v>2.0720000000000001</v>
      </c>
      <c r="DP9" s="587">
        <v>2.29</v>
      </c>
      <c r="DQ9" s="587">
        <v>2.343</v>
      </c>
      <c r="DR9" s="587">
        <v>2.1579999999999999</v>
      </c>
      <c r="DS9" s="587">
        <v>1.9159999999999999</v>
      </c>
      <c r="DT9" s="587">
        <v>1.986</v>
      </c>
      <c r="DU9" s="587">
        <v>2.0870000000000002</v>
      </c>
      <c r="DV9" s="587">
        <v>2.2610000000000001</v>
      </c>
      <c r="DW9" s="587">
        <v>2.1</v>
      </c>
      <c r="DX9" s="587">
        <v>2.137</v>
      </c>
      <c r="DY9" s="587">
        <v>2.2519999999999998</v>
      </c>
      <c r="DZ9" s="587">
        <v>2.165</v>
      </c>
      <c r="EA9" s="587">
        <v>2.282</v>
      </c>
      <c r="EB9" s="587">
        <v>2.262</v>
      </c>
      <c r="EC9" s="587">
        <v>2.3170000000000002</v>
      </c>
      <c r="ED9" s="587">
        <v>2.2200000000000002</v>
      </c>
      <c r="EE9" s="587">
        <v>2.3180000000000001</v>
      </c>
      <c r="EF9" s="587">
        <v>2.2240000000000002</v>
      </c>
      <c r="EG9" s="587">
        <v>2.3570000000000002</v>
      </c>
      <c r="EH9" s="587">
        <v>2.367</v>
      </c>
      <c r="EI9" s="587">
        <v>2.1</v>
      </c>
      <c r="EJ9" s="587">
        <v>2.1949999999999998</v>
      </c>
      <c r="EK9" s="587">
        <v>2.19</v>
      </c>
      <c r="EL9" s="587">
        <v>2.2709999999999999</v>
      </c>
      <c r="EM9" s="587">
        <v>2.2650000000000001</v>
      </c>
      <c r="EN9" s="587">
        <v>2.2269999999999999</v>
      </c>
      <c r="EO9" s="587">
        <v>2.0230000000000001</v>
      </c>
      <c r="EP9" s="587">
        <v>1.8959999999999999</v>
      </c>
      <c r="EQ9" s="587">
        <v>1.9609999999999999</v>
      </c>
      <c r="ER9" s="587">
        <v>1.8149999999999999</v>
      </c>
      <c r="ES9" s="587">
        <v>1.8220000000000001</v>
      </c>
      <c r="ET9" s="587">
        <v>1.873</v>
      </c>
      <c r="EU9" s="587">
        <v>2.04</v>
      </c>
      <c r="EV9" s="587">
        <v>1.9020000000000001</v>
      </c>
      <c r="EW9" s="587">
        <v>2.0880000000000001</v>
      </c>
      <c r="EX9" s="587">
        <v>2.093</v>
      </c>
      <c r="EY9" s="587">
        <v>2.02</v>
      </c>
      <c r="EZ9" s="587">
        <v>1.754</v>
      </c>
      <c r="FA9" s="587">
        <v>1.585</v>
      </c>
      <c r="FB9" s="587">
        <v>1.3740000000000001</v>
      </c>
      <c r="FC9" s="587">
        <v>1.38</v>
      </c>
      <c r="FD9" s="587">
        <v>1.383</v>
      </c>
      <c r="FE9" s="587">
        <v>1.1879999999999999</v>
      </c>
      <c r="FF9" s="587">
        <v>1.214</v>
      </c>
      <c r="FG9" s="587">
        <v>1.3420000000000001</v>
      </c>
      <c r="FH9" s="587">
        <v>1.248</v>
      </c>
      <c r="FI9" s="587">
        <v>1.171</v>
      </c>
      <c r="FJ9" s="587">
        <v>1.1339999999999999</v>
      </c>
      <c r="FK9" s="587">
        <v>1.1339999999999999</v>
      </c>
      <c r="FL9" s="587">
        <v>1.042</v>
      </c>
      <c r="FM9" s="587">
        <v>1.137</v>
      </c>
      <c r="FN9" s="587">
        <v>1.169</v>
      </c>
      <c r="FO9" s="587">
        <v>1.234</v>
      </c>
      <c r="FP9" s="587">
        <v>1.2549999999999999</v>
      </c>
      <c r="FQ9" s="587">
        <v>1.194</v>
      </c>
      <c r="FR9" s="587">
        <v>1.23</v>
      </c>
      <c r="FS9" s="587">
        <v>1.5569999999999999</v>
      </c>
      <c r="FT9" s="587">
        <v>1.512</v>
      </c>
      <c r="FU9" s="587">
        <v>1.383</v>
      </c>
      <c r="FV9" s="587">
        <v>1.333</v>
      </c>
      <c r="FW9" s="587">
        <v>1.355</v>
      </c>
      <c r="FX9" s="587">
        <v>1.472</v>
      </c>
      <c r="FY9" s="587">
        <v>1.4729999999999999</v>
      </c>
      <c r="FZ9" s="587">
        <v>1.494</v>
      </c>
      <c r="GA9" s="587">
        <v>1.4889999999999999</v>
      </c>
      <c r="GB9" s="587">
        <v>1.474</v>
      </c>
      <c r="GC9" s="587">
        <v>1.3340000000000001</v>
      </c>
      <c r="GD9" s="587">
        <v>1.3109999999999999</v>
      </c>
      <c r="GE9" s="587">
        <v>1.22</v>
      </c>
      <c r="GF9" s="587">
        <v>1.302</v>
      </c>
      <c r="GG9" s="587">
        <v>1.2610000000000001</v>
      </c>
      <c r="GH9" s="587">
        <v>1.327</v>
      </c>
      <c r="GI9" s="587">
        <v>1.462</v>
      </c>
      <c r="GJ9" s="587">
        <v>1.4729999999999999</v>
      </c>
      <c r="GK9" s="587">
        <v>1.5640000000000001</v>
      </c>
      <c r="GL9" s="587">
        <v>1.65</v>
      </c>
      <c r="GM9" s="587">
        <v>1.5550000000000002</v>
      </c>
      <c r="GN9" s="587">
        <v>1.415</v>
      </c>
      <c r="GO9" s="587">
        <v>1.5739999999999998</v>
      </c>
      <c r="GP9" s="587">
        <v>1.5659999999999998</v>
      </c>
      <c r="GQ9" s="587">
        <v>1.528</v>
      </c>
      <c r="GR9" s="587">
        <v>1.5960000000000001</v>
      </c>
      <c r="GS9" s="587">
        <v>1.681</v>
      </c>
      <c r="GT9" s="587">
        <v>1.5720000000000001</v>
      </c>
      <c r="GU9" s="587">
        <v>1.5390000000000001</v>
      </c>
      <c r="GV9" s="587">
        <v>1.6539999999999999</v>
      </c>
      <c r="GW9" s="587">
        <v>1.4039999999999999</v>
      </c>
      <c r="GX9" s="587">
        <v>1.496</v>
      </c>
      <c r="GY9" s="587">
        <v>1.5640000000000001</v>
      </c>
      <c r="GZ9" s="587">
        <v>1.7890000000000001</v>
      </c>
      <c r="HA9" s="587">
        <v>1.4809999999999999</v>
      </c>
      <c r="HB9" s="587">
        <v>1.4990000000000001</v>
      </c>
      <c r="HC9" s="587">
        <v>1.6040000000000001</v>
      </c>
      <c r="HD9" s="587">
        <v>1.694</v>
      </c>
      <c r="HE9" s="587">
        <v>1.6320000000000001</v>
      </c>
      <c r="HF9" s="587">
        <v>1.7949999999999999</v>
      </c>
      <c r="HG9" s="587">
        <v>1.7629999999999999</v>
      </c>
      <c r="HH9" s="587">
        <v>1.8340000000000001</v>
      </c>
      <c r="HI9" s="587">
        <v>1.8780000000000001</v>
      </c>
      <c r="HJ9" s="587">
        <v>1.919</v>
      </c>
      <c r="HK9" s="587">
        <v>1.859</v>
      </c>
      <c r="HL9" s="587">
        <v>1.8140000000000001</v>
      </c>
      <c r="HM9" s="587">
        <v>1.833</v>
      </c>
      <c r="HN9" s="587">
        <v>1.772</v>
      </c>
      <c r="HO9" s="587">
        <v>1.8679999999999999</v>
      </c>
      <c r="HP9" s="587">
        <v>1.92</v>
      </c>
      <c r="HQ9" s="587">
        <v>2.1339999999999999</v>
      </c>
      <c r="HR9" s="587">
        <v>2.2480000000000002</v>
      </c>
      <c r="HS9" s="587">
        <v>2.15</v>
      </c>
      <c r="HT9" s="587">
        <v>2.2810000000000001</v>
      </c>
      <c r="HU9" s="587">
        <v>2.214</v>
      </c>
      <c r="HV9" s="587">
        <v>2.242</v>
      </c>
      <c r="HW9" s="587">
        <v>1.8479999999999999</v>
      </c>
      <c r="HX9" s="587">
        <v>1.857</v>
      </c>
      <c r="HY9" s="587">
        <v>1.7709999999999999</v>
      </c>
      <c r="HZ9" s="587">
        <v>1.6760000000000002</v>
      </c>
      <c r="IA9" s="587">
        <v>1.496</v>
      </c>
      <c r="IB9" s="587">
        <v>1.4430000000000001</v>
      </c>
      <c r="IC9" s="587">
        <v>1.478</v>
      </c>
      <c r="ID9" s="587">
        <v>1.266</v>
      </c>
      <c r="IE9" s="587">
        <v>1.3009999999999999</v>
      </c>
      <c r="IF9" s="587">
        <v>1.3540000000000001</v>
      </c>
      <c r="IG9" s="587">
        <v>1.204</v>
      </c>
      <c r="IH9" s="587">
        <v>1.149</v>
      </c>
      <c r="II9" s="587">
        <v>1.3169999999999999</v>
      </c>
      <c r="IJ9" s="587">
        <v>1.331</v>
      </c>
      <c r="IK9" s="587">
        <v>1.577</v>
      </c>
      <c r="IL9" s="587">
        <v>1.607</v>
      </c>
      <c r="IM9" s="587">
        <v>1.5779999999999998</v>
      </c>
      <c r="IN9" s="587">
        <v>1.5939999999999999</v>
      </c>
      <c r="IO9" s="587">
        <v>1.5270000000000001</v>
      </c>
      <c r="IP9" s="587">
        <v>1.6579999999999999</v>
      </c>
      <c r="IQ9" s="587">
        <v>1.879</v>
      </c>
      <c r="IR9" s="587">
        <v>1.742</v>
      </c>
    </row>
    <row r="10" spans="2:252" x14ac:dyDescent="0.3">
      <c r="I10" s="121" t="s">
        <v>518</v>
      </c>
      <c r="J10" s="727" t="s">
        <v>1070</v>
      </c>
      <c r="K10" s="587">
        <v>-0.28000000000000003</v>
      </c>
      <c r="L10" s="587">
        <v>-0.1</v>
      </c>
      <c r="M10" s="587">
        <v>-0.08</v>
      </c>
      <c r="N10" s="587">
        <v>0.02</v>
      </c>
      <c r="O10" s="587">
        <v>0.05</v>
      </c>
      <c r="P10" s="587">
        <v>0.16</v>
      </c>
      <c r="Q10" s="587">
        <v>0.06</v>
      </c>
      <c r="R10" s="587">
        <v>0.17</v>
      </c>
      <c r="S10" s="587">
        <v>0.23</v>
      </c>
      <c r="T10" s="587">
        <v>0.26</v>
      </c>
      <c r="U10" s="587">
        <v>0.28000000000000003</v>
      </c>
      <c r="V10" s="587">
        <v>0.37</v>
      </c>
      <c r="W10" s="587">
        <v>0.48</v>
      </c>
      <c r="X10" s="587">
        <v>0.44</v>
      </c>
      <c r="Y10" s="587">
        <v>0.48</v>
      </c>
      <c r="Z10" s="587">
        <v>0.55000000000000004</v>
      </c>
      <c r="AA10" s="587">
        <v>0.49</v>
      </c>
      <c r="AB10" s="587">
        <v>0.59</v>
      </c>
      <c r="AC10" s="587">
        <v>0.59</v>
      </c>
      <c r="AD10" s="587">
        <v>0.63</v>
      </c>
      <c r="AE10" s="587">
        <v>0.56000000000000005</v>
      </c>
      <c r="AF10" s="587">
        <v>0.59</v>
      </c>
      <c r="AG10" s="587">
        <v>0.65</v>
      </c>
      <c r="AH10" s="587">
        <v>0.7</v>
      </c>
      <c r="AI10" s="587">
        <v>0.78</v>
      </c>
      <c r="AJ10" s="587">
        <v>0.71</v>
      </c>
      <c r="AK10" s="587">
        <v>0.72</v>
      </c>
      <c r="AL10" s="587">
        <v>0.7</v>
      </c>
      <c r="AM10" s="587">
        <v>0.74</v>
      </c>
      <c r="AN10" s="587">
        <v>0.77</v>
      </c>
      <c r="AO10" s="587">
        <v>0.87</v>
      </c>
      <c r="AP10" s="587">
        <v>0.82</v>
      </c>
      <c r="AQ10" s="587">
        <v>0.78</v>
      </c>
      <c r="AR10" s="587">
        <v>0.85</v>
      </c>
      <c r="AS10" s="587">
        <v>0.82</v>
      </c>
      <c r="AT10" s="587">
        <v>0.89</v>
      </c>
      <c r="AU10" s="587">
        <v>0.85</v>
      </c>
      <c r="AV10" s="587">
        <v>0.86</v>
      </c>
      <c r="AW10" s="587">
        <v>0.92</v>
      </c>
      <c r="AX10" s="587">
        <v>0.89</v>
      </c>
      <c r="AY10" s="587">
        <v>0.97</v>
      </c>
      <c r="AZ10" s="587">
        <v>0.93</v>
      </c>
      <c r="BA10" s="587">
        <v>0.96</v>
      </c>
      <c r="BB10" s="587">
        <v>1.02</v>
      </c>
      <c r="BC10" s="587">
        <v>1</v>
      </c>
      <c r="BD10" s="587">
        <v>1.05</v>
      </c>
      <c r="BE10" s="587">
        <v>0.93</v>
      </c>
      <c r="BF10" s="587">
        <v>0.94</v>
      </c>
      <c r="BG10" s="587">
        <v>0.86</v>
      </c>
      <c r="BH10" s="587">
        <v>0.89</v>
      </c>
      <c r="BI10" s="587">
        <v>0.81</v>
      </c>
      <c r="BJ10" s="587">
        <v>0.83</v>
      </c>
      <c r="BK10" s="587">
        <v>0.89</v>
      </c>
      <c r="BL10" s="587">
        <v>0.82</v>
      </c>
      <c r="BM10" s="587">
        <v>0.92</v>
      </c>
      <c r="BN10" s="587">
        <v>0.85</v>
      </c>
      <c r="BO10" s="587">
        <v>0.89</v>
      </c>
      <c r="BP10" s="587">
        <v>0.85</v>
      </c>
      <c r="BQ10" s="587">
        <v>0.86</v>
      </c>
      <c r="BR10" s="587">
        <v>0.88</v>
      </c>
      <c r="BS10" s="587">
        <v>0.9</v>
      </c>
      <c r="BT10" s="587">
        <v>1.01</v>
      </c>
      <c r="BU10" s="587">
        <v>1.01</v>
      </c>
      <c r="BV10" s="587">
        <v>0.97</v>
      </c>
      <c r="BW10" s="587">
        <v>0.96</v>
      </c>
      <c r="BX10" s="587">
        <v>1.03</v>
      </c>
      <c r="BY10" s="587">
        <v>1.04</v>
      </c>
      <c r="BZ10" s="587">
        <v>0.98</v>
      </c>
      <c r="CA10" s="587">
        <v>1.04</v>
      </c>
      <c r="CB10" s="587">
        <v>1</v>
      </c>
      <c r="CC10" s="587">
        <v>0.96</v>
      </c>
      <c r="CD10" s="587">
        <v>0.97</v>
      </c>
      <c r="CE10" s="587">
        <v>1.04</v>
      </c>
      <c r="CF10" s="587">
        <v>1.03</v>
      </c>
      <c r="CG10" s="587">
        <v>1.07</v>
      </c>
      <c r="CH10" s="587">
        <v>1.1200000000000001</v>
      </c>
      <c r="CI10" s="587">
        <v>1.1299999999999999</v>
      </c>
      <c r="CJ10" s="587">
        <v>1.1499999999999999</v>
      </c>
      <c r="CK10" s="587">
        <v>1.18</v>
      </c>
      <c r="CL10" s="587">
        <v>1.18</v>
      </c>
      <c r="CM10" s="587">
        <v>1.18</v>
      </c>
      <c r="CN10" s="587">
        <v>1.07</v>
      </c>
      <c r="CO10" s="587">
        <v>1.02</v>
      </c>
      <c r="CP10" s="587">
        <v>1.03</v>
      </c>
      <c r="CQ10" s="587">
        <v>0.95</v>
      </c>
      <c r="CR10" s="587">
        <v>0.95</v>
      </c>
      <c r="CS10" s="587">
        <v>0.96</v>
      </c>
      <c r="CT10" s="587">
        <v>0.85</v>
      </c>
      <c r="CU10" s="587">
        <v>0.82</v>
      </c>
      <c r="CV10" s="587">
        <v>0.88</v>
      </c>
      <c r="CW10" s="587">
        <v>0.93</v>
      </c>
      <c r="CX10" s="587">
        <v>0.94</v>
      </c>
      <c r="CY10" s="587">
        <v>0.98</v>
      </c>
      <c r="CZ10" s="587">
        <v>0.94</v>
      </c>
      <c r="DA10" s="587">
        <v>0.99</v>
      </c>
      <c r="DB10" s="587">
        <v>1.01</v>
      </c>
      <c r="DC10" s="587">
        <v>0.98</v>
      </c>
      <c r="DD10" s="587">
        <v>1.02</v>
      </c>
      <c r="DE10" s="587">
        <v>1.01</v>
      </c>
      <c r="DF10" s="587">
        <v>1.01</v>
      </c>
      <c r="DG10" s="587">
        <v>1.01</v>
      </c>
      <c r="DH10" s="587">
        <v>0.9</v>
      </c>
      <c r="DI10" s="587">
        <v>0.93</v>
      </c>
      <c r="DJ10" s="587">
        <v>0.93</v>
      </c>
      <c r="DK10" s="587">
        <v>0.95</v>
      </c>
      <c r="DL10" s="587">
        <v>0.94</v>
      </c>
      <c r="DM10" s="587">
        <v>1.01</v>
      </c>
      <c r="DN10" s="587">
        <v>1.07</v>
      </c>
      <c r="DO10" s="587">
        <v>1.01</v>
      </c>
      <c r="DP10" s="587">
        <v>1.0900000000000001</v>
      </c>
      <c r="DQ10" s="587">
        <v>1.1299999999999999</v>
      </c>
      <c r="DR10" s="587">
        <v>1.05</v>
      </c>
      <c r="DS10" s="587">
        <v>0.88</v>
      </c>
      <c r="DT10" s="587">
        <v>0.92</v>
      </c>
      <c r="DU10" s="587">
        <v>0.9</v>
      </c>
      <c r="DV10" s="587">
        <v>0.93</v>
      </c>
      <c r="DW10" s="587">
        <v>0.95</v>
      </c>
      <c r="DX10" s="587">
        <v>1.01</v>
      </c>
      <c r="DY10" s="587">
        <v>1.03</v>
      </c>
      <c r="DZ10" s="587">
        <v>1.06</v>
      </c>
      <c r="EA10" s="587">
        <v>1.01</v>
      </c>
      <c r="EB10" s="587">
        <v>1</v>
      </c>
      <c r="EC10" s="587">
        <v>0.93</v>
      </c>
      <c r="ED10" s="587">
        <v>0.96</v>
      </c>
      <c r="EE10" s="587">
        <v>1.03</v>
      </c>
      <c r="EF10" s="587">
        <v>1.1000000000000001</v>
      </c>
      <c r="EG10" s="587">
        <v>1.1200000000000001</v>
      </c>
      <c r="EH10" s="587">
        <v>1.18</v>
      </c>
      <c r="EI10" s="587">
        <v>1.08</v>
      </c>
      <c r="EJ10" s="587">
        <v>0.95</v>
      </c>
      <c r="EK10" s="587">
        <v>1.03</v>
      </c>
      <c r="EL10" s="587">
        <v>1</v>
      </c>
      <c r="EM10" s="587">
        <v>1.03</v>
      </c>
      <c r="EN10" s="587">
        <v>1.04</v>
      </c>
      <c r="EO10" s="587">
        <v>1.01</v>
      </c>
      <c r="EP10" s="587">
        <v>0.92</v>
      </c>
      <c r="EQ10" s="587">
        <v>0.92</v>
      </c>
      <c r="ER10" s="587">
        <v>0.81</v>
      </c>
      <c r="ES10" s="587">
        <v>0.84</v>
      </c>
      <c r="ET10" s="587">
        <v>0.92</v>
      </c>
      <c r="EU10" s="587">
        <v>0.94</v>
      </c>
      <c r="EV10" s="587">
        <v>0.87</v>
      </c>
      <c r="EW10" s="587">
        <v>0.82</v>
      </c>
      <c r="EX10" s="587">
        <v>0.76</v>
      </c>
      <c r="EY10" s="587">
        <v>0.7</v>
      </c>
      <c r="EZ10" s="587">
        <v>0.51</v>
      </c>
      <c r="FA10" s="587">
        <v>0.5</v>
      </c>
      <c r="FB10" s="587">
        <v>0.39</v>
      </c>
      <c r="FC10" s="587">
        <v>0.41</v>
      </c>
      <c r="FD10" s="587">
        <v>0.37</v>
      </c>
      <c r="FE10" s="587">
        <v>0.24</v>
      </c>
      <c r="FF10" s="587">
        <v>0.28000000000000003</v>
      </c>
      <c r="FG10" s="587">
        <v>0.33</v>
      </c>
      <c r="FH10" s="587">
        <v>0.3</v>
      </c>
      <c r="FI10" s="587">
        <v>0.28000000000000003</v>
      </c>
      <c r="FJ10" s="587">
        <v>0.26</v>
      </c>
      <c r="FK10" s="587">
        <v>0.28999999999999998</v>
      </c>
      <c r="FL10" s="587">
        <v>0.25</v>
      </c>
      <c r="FM10" s="587">
        <v>0.3</v>
      </c>
      <c r="FN10" s="587">
        <v>0.3</v>
      </c>
      <c r="FO10" s="587">
        <v>0.42</v>
      </c>
      <c r="FP10" s="587">
        <v>0.43</v>
      </c>
      <c r="FQ10" s="587">
        <v>0.37</v>
      </c>
      <c r="FR10" s="587">
        <v>0.47</v>
      </c>
      <c r="FS10" s="587">
        <v>0.63</v>
      </c>
      <c r="FT10" s="587">
        <v>0.59</v>
      </c>
      <c r="FU10" s="587">
        <v>0.6</v>
      </c>
      <c r="FV10" s="587">
        <v>0.64</v>
      </c>
      <c r="FW10" s="587">
        <v>0.7</v>
      </c>
      <c r="FX10" s="587">
        <v>0.72</v>
      </c>
      <c r="FY10" s="587">
        <v>0.69</v>
      </c>
      <c r="FZ10" s="587">
        <v>0.66</v>
      </c>
      <c r="GA10" s="587">
        <v>0.74</v>
      </c>
      <c r="GB10" s="587">
        <v>0.67</v>
      </c>
      <c r="GC10" s="587">
        <v>0.59</v>
      </c>
      <c r="GD10" s="587">
        <v>0.56000000000000005</v>
      </c>
      <c r="GE10" s="587">
        <v>0.59</v>
      </c>
      <c r="GF10" s="587">
        <v>0.61</v>
      </c>
      <c r="GG10" s="587">
        <v>0.57999999999999996</v>
      </c>
      <c r="GH10" s="587">
        <v>0.63</v>
      </c>
      <c r="GI10" s="587">
        <v>0.61</v>
      </c>
      <c r="GJ10" s="587">
        <v>0.57999999999999996</v>
      </c>
      <c r="GK10" s="587">
        <v>0.62</v>
      </c>
      <c r="GL10" s="587">
        <v>0.69</v>
      </c>
      <c r="GM10" s="587">
        <v>0.74</v>
      </c>
      <c r="GN10" s="587">
        <v>0.78</v>
      </c>
      <c r="GO10" s="587">
        <v>0.91</v>
      </c>
      <c r="GP10" s="587">
        <v>0.92</v>
      </c>
      <c r="GQ10" s="587">
        <v>0.83</v>
      </c>
      <c r="GR10" s="587">
        <v>0.94</v>
      </c>
      <c r="GS10" s="587"/>
      <c r="GT10" s="587">
        <v>0.81</v>
      </c>
      <c r="GU10" s="587">
        <v>0.8</v>
      </c>
      <c r="GV10" s="587">
        <v>0.89</v>
      </c>
      <c r="GW10" s="587">
        <v>0.77</v>
      </c>
      <c r="GX10" s="587">
        <v>0.81</v>
      </c>
      <c r="GY10" s="587">
        <v>0.89</v>
      </c>
      <c r="GZ10" s="587">
        <v>0.91</v>
      </c>
      <c r="HA10" s="587">
        <v>0.86</v>
      </c>
      <c r="HB10" s="587">
        <v>0.84</v>
      </c>
      <c r="HC10" s="587">
        <v>0.87</v>
      </c>
      <c r="HD10" s="587">
        <v>0.92</v>
      </c>
      <c r="HE10" s="587">
        <v>0.89</v>
      </c>
      <c r="HF10" s="587">
        <v>0.96</v>
      </c>
      <c r="HG10" s="587">
        <v>0.97</v>
      </c>
      <c r="HH10" s="587">
        <v>0.97</v>
      </c>
      <c r="HI10" s="587">
        <v>0.99</v>
      </c>
      <c r="HJ10" s="587">
        <v>1.03</v>
      </c>
      <c r="HK10" s="587">
        <v>0.93</v>
      </c>
      <c r="HL10" s="587">
        <v>0.96</v>
      </c>
      <c r="HM10" s="587">
        <v>1.01</v>
      </c>
      <c r="HN10" s="587">
        <v>1.01</v>
      </c>
      <c r="HO10" s="587">
        <v>1.0900000000000001</v>
      </c>
      <c r="HP10" s="587">
        <v>1.21</v>
      </c>
      <c r="HQ10" s="587">
        <v>1.37</v>
      </c>
      <c r="HR10" s="587">
        <v>1.4</v>
      </c>
      <c r="HS10" s="587">
        <v>1.48</v>
      </c>
      <c r="HT10" s="587">
        <v>1.44</v>
      </c>
      <c r="HU10" s="587">
        <v>1.4</v>
      </c>
      <c r="HV10" s="587">
        <v>1.17</v>
      </c>
      <c r="HW10" s="587">
        <v>0.85</v>
      </c>
      <c r="HX10" s="587">
        <v>0.91</v>
      </c>
      <c r="HY10" s="587">
        <v>0.9</v>
      </c>
      <c r="HZ10" s="587"/>
      <c r="IA10" s="587"/>
      <c r="IB10" s="587">
        <v>0.44</v>
      </c>
      <c r="IC10" s="587">
        <v>0.41</v>
      </c>
      <c r="ID10" s="587">
        <v>0.5</v>
      </c>
      <c r="IE10" s="587"/>
      <c r="IF10" s="587">
        <v>0.52</v>
      </c>
      <c r="IG10" s="587">
        <v>0.52</v>
      </c>
      <c r="IH10" s="587">
        <v>0.54</v>
      </c>
      <c r="II10" s="587">
        <v>0.75</v>
      </c>
      <c r="IJ10" s="587">
        <v>0.77</v>
      </c>
      <c r="IK10" s="587">
        <v>0.94</v>
      </c>
      <c r="IL10" s="587">
        <v>0.93</v>
      </c>
      <c r="IM10" s="587">
        <v>0.83</v>
      </c>
      <c r="IN10" s="587">
        <v>0.79</v>
      </c>
      <c r="IO10" s="587">
        <v>0.95</v>
      </c>
      <c r="IP10" s="587">
        <v>0.93</v>
      </c>
      <c r="IQ10" s="587">
        <v>1.35</v>
      </c>
      <c r="IR10" s="587">
        <v>1.42</v>
      </c>
    </row>
    <row r="11" spans="2:252" x14ac:dyDescent="0.3">
      <c r="H11" s="115"/>
      <c r="I11" s="121" t="s">
        <v>520</v>
      </c>
      <c r="J11" s="727" t="s">
        <v>1071</v>
      </c>
      <c r="K11" s="587">
        <v>0.93200000000000005</v>
      </c>
      <c r="L11" s="587">
        <v>0.96</v>
      </c>
      <c r="M11" s="587">
        <v>1.1120000000000001</v>
      </c>
      <c r="N11" s="587">
        <v>1.3559999999999999</v>
      </c>
      <c r="O11" s="587">
        <v>1.49</v>
      </c>
      <c r="P11" s="587">
        <v>1.4689999999999999</v>
      </c>
      <c r="Q11" s="587">
        <v>1.452</v>
      </c>
      <c r="R11" s="587">
        <v>1.512</v>
      </c>
      <c r="S11" s="587">
        <v>1.5529999999999999</v>
      </c>
      <c r="T11" s="587">
        <v>1.625</v>
      </c>
      <c r="U11" s="587">
        <v>1.659</v>
      </c>
      <c r="V11" s="587">
        <v>1.704</v>
      </c>
      <c r="W11" s="587">
        <v>1.821</v>
      </c>
      <c r="X11" s="587">
        <v>1.8580000000000001</v>
      </c>
      <c r="Y11" s="587">
        <v>2.0030000000000001</v>
      </c>
      <c r="Z11" s="587">
        <v>2.0099999999999998</v>
      </c>
      <c r="AA11" s="587">
        <v>1.9359999999999999</v>
      </c>
      <c r="AB11" s="587">
        <v>1.9569999999999999</v>
      </c>
      <c r="AC11" s="587">
        <v>1.954</v>
      </c>
      <c r="AD11" s="587">
        <v>1.96</v>
      </c>
      <c r="AE11" s="587">
        <v>1.9180000000000001</v>
      </c>
      <c r="AF11" s="587">
        <v>1.9409999999999998</v>
      </c>
      <c r="AG11" s="587">
        <v>1.927</v>
      </c>
      <c r="AH11" s="587">
        <v>1.8980000000000001</v>
      </c>
      <c r="AI11" s="587">
        <v>1.97</v>
      </c>
      <c r="AJ11" s="587">
        <v>1.9300000000000002</v>
      </c>
      <c r="AK11" s="587">
        <v>1.974</v>
      </c>
      <c r="AL11" s="587">
        <v>1.8399999999999999</v>
      </c>
      <c r="AM11" s="587">
        <v>1.7909999999999999</v>
      </c>
      <c r="AN11" s="587">
        <v>1.841</v>
      </c>
      <c r="AO11" s="587">
        <v>1.8620000000000001</v>
      </c>
      <c r="AP11" s="587">
        <v>1.855</v>
      </c>
      <c r="AQ11" s="587">
        <v>1.7829999999999999</v>
      </c>
      <c r="AR11" s="587">
        <v>1.9430000000000001</v>
      </c>
      <c r="AS11" s="587">
        <v>1.98</v>
      </c>
      <c r="AT11" s="587">
        <v>2.0049999999999999</v>
      </c>
      <c r="AU11" s="587">
        <v>2.0219999999999998</v>
      </c>
      <c r="AV11" s="587">
        <v>2.0609999999999999</v>
      </c>
      <c r="AW11" s="587">
        <v>2.0910000000000002</v>
      </c>
      <c r="AX11" s="587">
        <v>2.0819999999999999</v>
      </c>
      <c r="AY11" s="587">
        <v>2.109</v>
      </c>
      <c r="AZ11" s="587">
        <v>2.1310000000000002</v>
      </c>
      <c r="BA11" s="587">
        <v>2.1619999999999999</v>
      </c>
      <c r="BB11" s="587">
        <v>2.17</v>
      </c>
      <c r="BC11" s="587">
        <v>2.1549999999999998</v>
      </c>
      <c r="BD11" s="587">
        <v>2.1480000000000001</v>
      </c>
      <c r="BE11" s="587">
        <v>2.1869999999999998</v>
      </c>
      <c r="BF11" s="587">
        <v>2.2010000000000001</v>
      </c>
      <c r="BG11" s="587">
        <v>2.1640000000000001</v>
      </c>
      <c r="BH11" s="587">
        <v>2.1179999999999999</v>
      </c>
      <c r="BI11" s="587">
        <v>2.1160000000000001</v>
      </c>
      <c r="BJ11" s="587">
        <v>2.133</v>
      </c>
      <c r="BK11" s="587">
        <v>2.1890000000000001</v>
      </c>
      <c r="BL11" s="587">
        <v>2.206</v>
      </c>
      <c r="BM11" s="587">
        <v>2.198</v>
      </c>
      <c r="BN11" s="587">
        <v>2.1640000000000001</v>
      </c>
      <c r="BO11" s="587">
        <v>2.09</v>
      </c>
      <c r="BP11" s="587">
        <v>2.1619999999999999</v>
      </c>
      <c r="BQ11" s="587">
        <v>2.1749999999999998</v>
      </c>
      <c r="BR11" s="587">
        <v>2.1880000000000002</v>
      </c>
      <c r="BS11" s="587">
        <v>2.214</v>
      </c>
      <c r="BT11" s="587">
        <v>2.11</v>
      </c>
      <c r="BU11" s="587">
        <v>2.0609999999999999</v>
      </c>
      <c r="BV11" s="587">
        <v>1.946</v>
      </c>
      <c r="BW11" s="587">
        <v>1.9750000000000001</v>
      </c>
      <c r="BX11" s="587">
        <v>1.877</v>
      </c>
      <c r="BY11" s="587">
        <v>1.857</v>
      </c>
      <c r="BZ11" s="587">
        <v>1.7290000000000001</v>
      </c>
      <c r="CA11" s="587">
        <v>1.746</v>
      </c>
      <c r="CB11" s="587">
        <v>1.7429999999999999</v>
      </c>
      <c r="CC11" s="587">
        <v>1.786</v>
      </c>
      <c r="CD11" s="587">
        <v>1.8380000000000001</v>
      </c>
      <c r="CE11" s="587">
        <v>1.8759999999999999</v>
      </c>
      <c r="CF11" s="587">
        <v>1.931</v>
      </c>
      <c r="CG11" s="587">
        <v>1.9319999999999999</v>
      </c>
      <c r="CH11" s="587">
        <v>1.9470000000000001</v>
      </c>
      <c r="CI11" s="587">
        <v>1.9060000000000001</v>
      </c>
      <c r="CJ11" s="587">
        <v>1.895</v>
      </c>
      <c r="CK11" s="587">
        <v>1.9039999999999999</v>
      </c>
      <c r="CL11" s="587">
        <v>1.9020000000000001</v>
      </c>
      <c r="CM11" s="587">
        <v>1.9529999999999998</v>
      </c>
      <c r="CN11" s="587">
        <v>1.956</v>
      </c>
      <c r="CO11" s="587">
        <v>1.9159999999999999</v>
      </c>
      <c r="CP11" s="587">
        <v>1.9020000000000001</v>
      </c>
      <c r="CQ11" s="587">
        <v>1.8380000000000001</v>
      </c>
      <c r="CR11" s="587">
        <v>1.7210000000000001</v>
      </c>
      <c r="CS11" s="587">
        <v>1.6659999999999999</v>
      </c>
      <c r="CT11" s="587">
        <v>1.665</v>
      </c>
      <c r="CU11" s="587">
        <v>1.629</v>
      </c>
      <c r="CV11" s="587">
        <v>1.673</v>
      </c>
      <c r="CW11" s="587">
        <v>1.917</v>
      </c>
      <c r="CX11" s="587">
        <v>1.891</v>
      </c>
      <c r="CY11" s="587">
        <v>1.8260000000000001</v>
      </c>
      <c r="CZ11" s="587">
        <v>1.647</v>
      </c>
      <c r="DA11" s="587">
        <v>1.7210000000000001</v>
      </c>
      <c r="DB11" s="587">
        <v>1.6520000000000001</v>
      </c>
      <c r="DC11" s="587">
        <v>1.446</v>
      </c>
      <c r="DD11" s="587">
        <v>1.4550000000000001</v>
      </c>
      <c r="DE11" s="587">
        <v>1.341</v>
      </c>
      <c r="DF11" s="587">
        <v>1.214</v>
      </c>
      <c r="DG11" s="587">
        <v>1.133</v>
      </c>
      <c r="DH11" s="587">
        <v>1.014</v>
      </c>
      <c r="DI11" s="587">
        <v>1.012</v>
      </c>
      <c r="DJ11" s="587">
        <v>0.98899999999999999</v>
      </c>
      <c r="DK11" s="587">
        <v>0.98799999999999999</v>
      </c>
      <c r="DL11" s="587">
        <v>1.01</v>
      </c>
      <c r="DM11" s="587">
        <v>1.073</v>
      </c>
      <c r="DN11" s="587">
        <v>1.024</v>
      </c>
      <c r="DO11" s="587">
        <v>1.0109999999999999</v>
      </c>
      <c r="DP11" s="587">
        <v>1.008</v>
      </c>
      <c r="DQ11" s="587">
        <v>1.244</v>
      </c>
      <c r="DR11" s="587">
        <v>1.0880000000000001</v>
      </c>
      <c r="DS11" s="587">
        <v>0.98099999999999998</v>
      </c>
      <c r="DT11" s="587">
        <v>0.95799999999999996</v>
      </c>
      <c r="DU11" s="587">
        <v>0.85299999999999998</v>
      </c>
      <c r="DV11" s="587">
        <v>0.81</v>
      </c>
      <c r="DW11" s="587">
        <v>0.86</v>
      </c>
      <c r="DX11" s="587">
        <v>0.95799999999999996</v>
      </c>
      <c r="DY11" s="587">
        <v>0.91200000000000003</v>
      </c>
      <c r="DZ11" s="587">
        <v>0.63100000000000001</v>
      </c>
      <c r="EA11" s="587">
        <v>0.79</v>
      </c>
      <c r="EB11" s="587">
        <v>0.89900000000000002</v>
      </c>
      <c r="EC11" s="587">
        <v>0.93100000000000005</v>
      </c>
      <c r="ED11" s="587">
        <v>0.95299999999999996</v>
      </c>
      <c r="EE11" s="587">
        <v>0.89700000000000002</v>
      </c>
      <c r="EF11" s="587">
        <v>0.96399999999999997</v>
      </c>
      <c r="EG11" s="587">
        <v>0.93300000000000005</v>
      </c>
      <c r="EH11" s="587">
        <v>0.73099999999999998</v>
      </c>
      <c r="EI11" s="587">
        <v>0.625</v>
      </c>
      <c r="EJ11" s="587">
        <v>0.6</v>
      </c>
      <c r="EK11" s="587">
        <v>0.623</v>
      </c>
      <c r="EL11" s="587">
        <v>0.504</v>
      </c>
      <c r="EM11" s="587">
        <v>0.45</v>
      </c>
      <c r="EN11" s="587">
        <v>0.44700000000000001</v>
      </c>
      <c r="EO11" s="587">
        <v>0.41699999999999998</v>
      </c>
      <c r="EP11" s="587">
        <v>0.35099999999999998</v>
      </c>
      <c r="EQ11" s="587">
        <v>0.503</v>
      </c>
      <c r="ER11" s="587">
        <v>0.434</v>
      </c>
      <c r="ES11" s="587">
        <v>0.45300000000000001</v>
      </c>
      <c r="ET11" s="587">
        <v>0.501</v>
      </c>
      <c r="EU11" s="587">
        <v>0.53900000000000003</v>
      </c>
      <c r="EV11" s="587">
        <v>0.55000000000000004</v>
      </c>
      <c r="EW11" s="587">
        <v>0.55700000000000005</v>
      </c>
      <c r="EX11" s="587">
        <v>0.58399999999999996</v>
      </c>
      <c r="EY11" s="587">
        <v>0.58199999999999996</v>
      </c>
      <c r="EZ11" s="587">
        <v>0.49199999999999999</v>
      </c>
      <c r="FA11" s="587">
        <v>0.48299999999999998</v>
      </c>
      <c r="FB11" s="587">
        <v>0.42599999999999999</v>
      </c>
      <c r="FC11" s="587">
        <v>0.34</v>
      </c>
      <c r="FD11" s="587">
        <v>0.34200000000000003</v>
      </c>
      <c r="FE11" s="587">
        <v>0.26400000000000001</v>
      </c>
      <c r="FF11" s="587">
        <v>0.27100000000000002</v>
      </c>
      <c r="FG11" s="587">
        <v>0.30599999999999999</v>
      </c>
      <c r="FH11" s="587">
        <v>0.27</v>
      </c>
      <c r="FI11" s="587">
        <v>0.27900000000000003</v>
      </c>
      <c r="FJ11" s="587">
        <v>0.26600000000000001</v>
      </c>
      <c r="FK11" s="587">
        <v>0.318</v>
      </c>
      <c r="FL11" s="587">
        <v>0.318</v>
      </c>
      <c r="FM11" s="587">
        <v>0.34300000000000003</v>
      </c>
      <c r="FN11" s="587">
        <v>0.35299999999999998</v>
      </c>
      <c r="FO11" s="587">
        <v>0.39800000000000002</v>
      </c>
      <c r="FP11" s="587">
        <v>0.42199999999999999</v>
      </c>
      <c r="FQ11" s="587">
        <v>0.39400000000000002</v>
      </c>
      <c r="FR11" s="587">
        <v>0.438</v>
      </c>
      <c r="FS11" s="587">
        <v>0.47799999999999998</v>
      </c>
      <c r="FT11" s="587">
        <v>0.44500000000000001</v>
      </c>
      <c r="FU11" s="587">
        <v>0.47799999999999998</v>
      </c>
      <c r="FV11" s="587">
        <v>0.50900000000000001</v>
      </c>
      <c r="FW11" s="587">
        <v>0.52600000000000002</v>
      </c>
      <c r="FX11" s="587">
        <v>0.53</v>
      </c>
      <c r="FY11" s="587">
        <v>0.47599999999999998</v>
      </c>
      <c r="FZ11" s="587">
        <v>0.47199999999999998</v>
      </c>
      <c r="GA11" s="587">
        <v>0.48899999999999999</v>
      </c>
      <c r="GB11" s="587">
        <v>0.47899999999999998</v>
      </c>
      <c r="GC11" s="587">
        <v>0.46200000000000002</v>
      </c>
      <c r="GD11" s="587">
        <v>0.41299999999999998</v>
      </c>
      <c r="GE11" s="587">
        <v>0.39700000000000002</v>
      </c>
      <c r="GF11" s="587">
        <v>0.40899999999999997</v>
      </c>
      <c r="GG11" s="587">
        <v>0.36699999999999999</v>
      </c>
      <c r="GH11" s="587">
        <v>0.32</v>
      </c>
      <c r="GI11" s="587">
        <v>0.35599999999999998</v>
      </c>
      <c r="GJ11" s="587">
        <v>0.39600000000000002</v>
      </c>
      <c r="GK11" s="587">
        <v>0.40500000000000003</v>
      </c>
      <c r="GL11" s="587">
        <v>0.504</v>
      </c>
      <c r="GM11" s="587">
        <v>0.52400000000000002</v>
      </c>
      <c r="GN11" s="587">
        <v>0.61199999999999999</v>
      </c>
      <c r="GO11" s="587">
        <v>0.65500000000000003</v>
      </c>
      <c r="GP11" s="587">
        <v>0.65600000000000003</v>
      </c>
      <c r="GQ11" s="587">
        <v>0.63600000000000001</v>
      </c>
      <c r="GR11" s="587">
        <v>0.52900000000000003</v>
      </c>
      <c r="GS11" s="587">
        <v>0.52</v>
      </c>
      <c r="GT11" s="587">
        <v>0.48099999999999998</v>
      </c>
      <c r="GU11" s="587">
        <v>0.47299999999999998</v>
      </c>
      <c r="GV11" s="587">
        <v>0.48299999999999998</v>
      </c>
      <c r="GW11" s="587">
        <v>0.45400000000000001</v>
      </c>
      <c r="GX11" s="587">
        <v>0.48799999999999999</v>
      </c>
      <c r="GY11" s="587">
        <v>0.52700000000000002</v>
      </c>
      <c r="GZ11" s="587">
        <v>0.54600000000000004</v>
      </c>
      <c r="HA11" s="587">
        <v>0.501</v>
      </c>
      <c r="HB11" s="587">
        <v>0.54300000000000004</v>
      </c>
      <c r="HC11" s="587">
        <v>0.58199999999999996</v>
      </c>
      <c r="HD11" s="587">
        <v>0.63700000000000001</v>
      </c>
      <c r="HE11" s="587">
        <v>0.59399999999999997</v>
      </c>
      <c r="HF11" s="587">
        <v>0.71399999999999997</v>
      </c>
      <c r="HG11" s="587">
        <v>0.73899999999999999</v>
      </c>
      <c r="HH11" s="587">
        <v>0.73099999999999998</v>
      </c>
      <c r="HI11" s="587">
        <v>0.80900000000000005</v>
      </c>
      <c r="HJ11" s="587">
        <v>0.88800000000000001</v>
      </c>
      <c r="HK11" s="587">
        <v>0.84499999999999997</v>
      </c>
      <c r="HL11" s="587">
        <v>0.878</v>
      </c>
      <c r="HM11" s="587">
        <v>0.91800000000000004</v>
      </c>
      <c r="HN11" s="587">
        <v>0.90100000000000002</v>
      </c>
      <c r="HO11" s="587">
        <v>0.98499999999999999</v>
      </c>
      <c r="HP11" s="587">
        <v>1.1890000000000001</v>
      </c>
      <c r="HQ11" s="587">
        <v>1.1919999999999999</v>
      </c>
      <c r="HR11" s="587">
        <v>1.248</v>
      </c>
      <c r="HS11" s="587">
        <v>1.2629999999999999</v>
      </c>
      <c r="HT11" s="587">
        <v>1.151</v>
      </c>
      <c r="HU11" s="587">
        <v>1.18</v>
      </c>
      <c r="HV11" s="587">
        <v>1.113</v>
      </c>
      <c r="HW11" s="587">
        <v>0.82</v>
      </c>
      <c r="HX11" s="587">
        <v>0.82399999999999995</v>
      </c>
      <c r="HY11" s="587">
        <v>0.81899999999999995</v>
      </c>
      <c r="HZ11" s="587">
        <v>0.65700000000000003</v>
      </c>
      <c r="IA11" s="587">
        <v>0.55900000000000005</v>
      </c>
      <c r="IB11" s="587">
        <v>0.438</v>
      </c>
      <c r="IC11" s="587">
        <v>0.35899999999999999</v>
      </c>
      <c r="ID11" s="587">
        <v>0.435</v>
      </c>
      <c r="IE11" s="587">
        <v>0.45</v>
      </c>
      <c r="IF11" s="587">
        <v>0.45100000000000001</v>
      </c>
      <c r="IG11" s="587">
        <v>0.46600000000000003</v>
      </c>
      <c r="IH11" s="587">
        <v>0.52</v>
      </c>
      <c r="II11" s="587">
        <v>0.61</v>
      </c>
      <c r="IJ11" s="587">
        <v>0.629</v>
      </c>
      <c r="IK11" s="587">
        <v>0.71</v>
      </c>
      <c r="IL11" s="587">
        <v>0.56499999999999995</v>
      </c>
      <c r="IM11" s="587">
        <v>0.441</v>
      </c>
      <c r="IN11" s="587">
        <v>0.377</v>
      </c>
      <c r="IO11" s="587">
        <v>0.41499999999999998</v>
      </c>
      <c r="IP11" s="587">
        <v>0.49299999999999999</v>
      </c>
      <c r="IQ11" s="587">
        <v>0.59</v>
      </c>
      <c r="IR11" s="587">
        <v>0.71399999999999997</v>
      </c>
    </row>
    <row r="12" spans="2:252" x14ac:dyDescent="0.3">
      <c r="H12" s="115"/>
      <c r="I12" s="121" t="s">
        <v>521</v>
      </c>
      <c r="J12" s="727" t="s">
        <v>1072</v>
      </c>
      <c r="K12" s="587">
        <v>1.7330000000000001</v>
      </c>
      <c r="L12" s="587">
        <v>1.9470000000000001</v>
      </c>
      <c r="M12" s="587">
        <v>2.097</v>
      </c>
      <c r="N12" s="587">
        <v>2.1110000000000002</v>
      </c>
      <c r="O12" s="587">
        <v>2.177</v>
      </c>
      <c r="P12" s="587">
        <v>2.3069999999999999</v>
      </c>
      <c r="Q12" s="587">
        <v>2.2829999999999999</v>
      </c>
      <c r="R12" s="587">
        <v>2.39</v>
      </c>
      <c r="S12" s="587">
        <v>2.383</v>
      </c>
      <c r="T12" s="587">
        <v>2.395</v>
      </c>
      <c r="U12" s="587">
        <v>2.4649999999999999</v>
      </c>
      <c r="V12" s="587">
        <v>2.6440000000000001</v>
      </c>
      <c r="W12" s="587">
        <v>2.831</v>
      </c>
      <c r="X12" s="587">
        <v>2.8860000000000001</v>
      </c>
      <c r="Y12" s="587">
        <v>2.903</v>
      </c>
      <c r="Z12" s="587">
        <v>3.0379999999999998</v>
      </c>
      <c r="AA12" s="587">
        <v>2.9130000000000003</v>
      </c>
      <c r="AB12" s="587">
        <v>2.883</v>
      </c>
      <c r="AC12" s="587">
        <v>2.9119999999999999</v>
      </c>
      <c r="AD12" s="587">
        <v>2.931</v>
      </c>
      <c r="AE12" s="587">
        <v>2.839</v>
      </c>
      <c r="AF12" s="587">
        <v>2.8529999999999998</v>
      </c>
      <c r="AG12" s="587">
        <v>2.9009999999999998</v>
      </c>
      <c r="AH12" s="587">
        <v>2.8769999999999998</v>
      </c>
      <c r="AI12" s="587">
        <v>2.98</v>
      </c>
      <c r="AJ12" s="587">
        <v>2.7679999999999998</v>
      </c>
      <c r="AK12" s="587">
        <v>2.6879999999999997</v>
      </c>
      <c r="AL12" s="587">
        <v>2.726</v>
      </c>
      <c r="AM12" s="587">
        <v>2.7560000000000002</v>
      </c>
      <c r="AN12" s="587">
        <v>2.8209999999999997</v>
      </c>
      <c r="AO12" s="587">
        <v>2.855</v>
      </c>
      <c r="AP12" s="587">
        <v>2.7709999999999999</v>
      </c>
      <c r="AQ12" s="587">
        <v>2.8120000000000003</v>
      </c>
      <c r="AR12" s="587">
        <v>2.8250000000000002</v>
      </c>
      <c r="AS12" s="587">
        <v>2.8220000000000001</v>
      </c>
      <c r="AT12" s="587">
        <v>2.9379999999999997</v>
      </c>
      <c r="AU12" s="587">
        <v>3.0550000000000002</v>
      </c>
      <c r="AV12" s="587">
        <v>3.052</v>
      </c>
      <c r="AW12" s="587">
        <v>3.1760000000000002</v>
      </c>
      <c r="AX12" s="587">
        <v>3.2879999999999998</v>
      </c>
      <c r="AY12" s="587">
        <v>3.2280000000000002</v>
      </c>
      <c r="AZ12" s="587">
        <v>3.2240000000000002</v>
      </c>
      <c r="BA12" s="587">
        <v>3.1390000000000002</v>
      </c>
      <c r="BB12" s="587">
        <v>3.262</v>
      </c>
      <c r="BC12" s="587">
        <v>3.2410000000000001</v>
      </c>
      <c r="BD12" s="587">
        <v>3.3170000000000002</v>
      </c>
      <c r="BE12" s="587">
        <v>3.2439999999999998</v>
      </c>
      <c r="BF12" s="587">
        <v>3.2359999999999998</v>
      </c>
      <c r="BG12" s="587">
        <v>3.2320000000000002</v>
      </c>
      <c r="BH12" s="587">
        <v>3.2869999999999999</v>
      </c>
      <c r="BI12" s="587">
        <v>3.1890000000000001</v>
      </c>
      <c r="BJ12" s="587">
        <v>3.173</v>
      </c>
      <c r="BK12" s="587">
        <v>3.1549999999999998</v>
      </c>
      <c r="BL12" s="587">
        <v>3.1520000000000001</v>
      </c>
      <c r="BM12" s="587">
        <v>3.1230000000000002</v>
      </c>
      <c r="BN12" s="587">
        <v>3.1640000000000001</v>
      </c>
      <c r="BO12" s="587">
        <v>3.1829999999999998</v>
      </c>
      <c r="BP12" s="587">
        <v>3.1789999999999998</v>
      </c>
      <c r="BQ12" s="587">
        <v>3.1850000000000001</v>
      </c>
      <c r="BR12" s="587">
        <v>3.2229999999999999</v>
      </c>
      <c r="BS12" s="587">
        <v>3.1739999999999999</v>
      </c>
      <c r="BT12" s="587">
        <v>3.2480000000000002</v>
      </c>
      <c r="BU12" s="587">
        <v>3.31</v>
      </c>
      <c r="BV12" s="587">
        <v>3.2330000000000001</v>
      </c>
      <c r="BW12" s="587">
        <v>3.2080000000000002</v>
      </c>
      <c r="BX12" s="587">
        <v>3.3359999999999999</v>
      </c>
      <c r="BY12" s="587">
        <v>3.2290000000000001</v>
      </c>
      <c r="BZ12" s="587">
        <v>3.1669999999999998</v>
      </c>
      <c r="CA12" s="587">
        <v>3.0430000000000001</v>
      </c>
      <c r="CB12" s="587">
        <v>3.1139999999999999</v>
      </c>
      <c r="CC12" s="587">
        <v>3.0289999999999999</v>
      </c>
      <c r="CD12" s="587">
        <v>3.07</v>
      </c>
      <c r="CE12" s="587">
        <v>3.1749999999999998</v>
      </c>
      <c r="CF12" s="587">
        <v>3.2589999999999999</v>
      </c>
      <c r="CG12" s="587">
        <v>3.2549999999999999</v>
      </c>
      <c r="CH12" s="587">
        <v>3.3119999999999998</v>
      </c>
      <c r="CI12" s="587">
        <v>3.2879999999999998</v>
      </c>
      <c r="CJ12" s="587">
        <v>3.4390000000000001</v>
      </c>
      <c r="CK12" s="587">
        <v>3.4729999999999999</v>
      </c>
      <c r="CL12" s="587">
        <v>3.5880000000000001</v>
      </c>
      <c r="CM12" s="587">
        <v>3.5830000000000002</v>
      </c>
      <c r="CN12" s="587">
        <v>3.5390000000000001</v>
      </c>
      <c r="CO12" s="587">
        <v>3.32</v>
      </c>
      <c r="CP12" s="587">
        <v>3.32</v>
      </c>
      <c r="CQ12" s="587">
        <v>3.2229999999999999</v>
      </c>
      <c r="CR12" s="587">
        <v>3.3029999999999999</v>
      </c>
      <c r="CS12" s="587">
        <v>3.319</v>
      </c>
      <c r="CT12" s="587">
        <v>3.2309999999999999</v>
      </c>
      <c r="CU12" s="587">
        <v>3.254</v>
      </c>
      <c r="CV12" s="587">
        <v>3.34</v>
      </c>
      <c r="CW12" s="587">
        <v>3.3370000000000002</v>
      </c>
      <c r="CX12" s="587">
        <v>3.4129999999999998</v>
      </c>
      <c r="CY12" s="587">
        <v>3.3740000000000001</v>
      </c>
      <c r="CZ12" s="587">
        <v>3.4630000000000001</v>
      </c>
      <c r="DA12" s="587">
        <v>3.4289999999999998</v>
      </c>
      <c r="DB12" s="587">
        <v>3.3820000000000001</v>
      </c>
      <c r="DC12" s="587">
        <v>3.3069999999999999</v>
      </c>
      <c r="DD12" s="587">
        <v>3.4950000000000001</v>
      </c>
      <c r="DE12" s="587">
        <v>3.3719999999999999</v>
      </c>
      <c r="DF12" s="587">
        <v>3.3359999999999999</v>
      </c>
      <c r="DG12" s="587">
        <v>3.234</v>
      </c>
      <c r="DH12" s="587">
        <v>3.1579999999999999</v>
      </c>
      <c r="DI12" s="587">
        <v>3.3109999999999999</v>
      </c>
      <c r="DJ12" s="587">
        <v>3.2909999999999999</v>
      </c>
      <c r="DK12" s="587">
        <v>3.323</v>
      </c>
      <c r="DL12" s="587">
        <v>3.4369999999999998</v>
      </c>
      <c r="DM12" s="587">
        <v>3.3559999999999999</v>
      </c>
      <c r="DN12" s="587">
        <v>3.3319999999999999</v>
      </c>
      <c r="DO12" s="587">
        <v>3.294</v>
      </c>
      <c r="DP12" s="587">
        <v>3.323</v>
      </c>
      <c r="DQ12" s="587">
        <v>3.37</v>
      </c>
      <c r="DR12" s="587">
        <v>3.3220000000000001</v>
      </c>
      <c r="DS12" s="587">
        <v>3.2389999999999999</v>
      </c>
      <c r="DT12" s="587">
        <v>3.15</v>
      </c>
      <c r="DU12" s="587">
        <v>3.169</v>
      </c>
      <c r="DV12" s="587">
        <v>3.17</v>
      </c>
      <c r="DW12" s="587">
        <v>3.2810000000000001</v>
      </c>
      <c r="DX12" s="587">
        <v>3.3460000000000001</v>
      </c>
      <c r="DY12" s="587">
        <v>3.3159999999999998</v>
      </c>
      <c r="DZ12" s="587">
        <v>3.472</v>
      </c>
      <c r="EA12" s="587">
        <v>3.4359999999999999</v>
      </c>
      <c r="EB12" s="587">
        <v>3.4180000000000001</v>
      </c>
      <c r="EC12" s="587">
        <v>3.4089999999999998</v>
      </c>
      <c r="ED12" s="587">
        <v>3.4620000000000002</v>
      </c>
      <c r="EE12" s="587">
        <v>3.49</v>
      </c>
      <c r="EF12" s="587">
        <v>3.5640000000000001</v>
      </c>
      <c r="EG12" s="587">
        <v>3.7370000000000001</v>
      </c>
      <c r="EH12" s="587">
        <v>3.7509999999999999</v>
      </c>
      <c r="EI12" s="587">
        <v>3.7320000000000002</v>
      </c>
      <c r="EJ12" s="587">
        <v>3.8180000000000001</v>
      </c>
      <c r="EK12" s="587">
        <v>3.8289999999999997</v>
      </c>
      <c r="EL12" s="587">
        <v>3.8380000000000001</v>
      </c>
      <c r="EM12" s="587">
        <v>3.7669999999999999</v>
      </c>
      <c r="EN12" s="587">
        <v>3.9009999999999998</v>
      </c>
      <c r="EO12" s="587">
        <v>3.7410000000000001</v>
      </c>
      <c r="EP12" s="587">
        <v>3.657</v>
      </c>
      <c r="EQ12" s="587">
        <v>3.669</v>
      </c>
      <c r="ER12" s="587">
        <v>3.633</v>
      </c>
      <c r="ES12" s="587">
        <v>3.4289999999999998</v>
      </c>
      <c r="ET12" s="587">
        <v>3.4790000000000001</v>
      </c>
      <c r="EU12" s="587">
        <v>3.61</v>
      </c>
      <c r="EV12" s="587">
        <v>3.819</v>
      </c>
      <c r="EW12" s="587">
        <v>3.5540000000000003</v>
      </c>
      <c r="EX12" s="587">
        <v>3.7010000000000001</v>
      </c>
      <c r="EY12" s="587">
        <v>3.34</v>
      </c>
      <c r="EZ12" s="587">
        <v>3.0470000000000002</v>
      </c>
      <c r="FA12" s="587">
        <v>3.121</v>
      </c>
      <c r="FB12" s="587">
        <v>2.9550000000000001</v>
      </c>
      <c r="FC12" s="587">
        <v>3.0419999999999998</v>
      </c>
      <c r="FD12" s="587">
        <v>3.0390000000000001</v>
      </c>
      <c r="FE12" s="587">
        <v>2.919</v>
      </c>
      <c r="FF12" s="587">
        <v>2.7949999999999999</v>
      </c>
      <c r="FG12" s="587">
        <v>2.94</v>
      </c>
      <c r="FH12" s="587">
        <v>2.8970000000000002</v>
      </c>
      <c r="FI12" s="587">
        <v>2.8849999999999998</v>
      </c>
      <c r="FJ12" s="587">
        <v>2.6739999999999999</v>
      </c>
      <c r="FK12" s="587">
        <v>2.67</v>
      </c>
      <c r="FL12" s="587">
        <v>2.6150000000000002</v>
      </c>
      <c r="FM12" s="587">
        <v>2.7610000000000001</v>
      </c>
      <c r="FN12" s="587">
        <v>2.8759999999999999</v>
      </c>
      <c r="FO12" s="587">
        <v>2.911</v>
      </c>
      <c r="FP12" s="587">
        <v>2.944</v>
      </c>
      <c r="FQ12" s="587">
        <v>2.8820000000000001</v>
      </c>
      <c r="FR12" s="587">
        <v>2.883</v>
      </c>
      <c r="FS12" s="587">
        <v>3.1789999999999998</v>
      </c>
      <c r="FT12" s="587">
        <v>3.1539999999999999</v>
      </c>
      <c r="FU12" s="587">
        <v>3.109</v>
      </c>
      <c r="FV12" s="587">
        <v>3.133</v>
      </c>
      <c r="FW12" s="587">
        <v>3.0550000000000002</v>
      </c>
      <c r="FX12" s="587">
        <v>3.0750000000000002</v>
      </c>
      <c r="FY12" s="587">
        <v>3.01</v>
      </c>
      <c r="FZ12" s="587">
        <v>3.085</v>
      </c>
      <c r="GA12" s="587">
        <v>3.093</v>
      </c>
      <c r="GB12" s="587">
        <v>3.05</v>
      </c>
      <c r="GC12" s="587">
        <v>2.968</v>
      </c>
      <c r="GD12" s="587">
        <v>2.9159999999999999</v>
      </c>
      <c r="GE12" s="587">
        <v>2.8250000000000002</v>
      </c>
      <c r="GF12" s="587">
        <v>2.883</v>
      </c>
      <c r="GG12" s="587">
        <v>2.8120000000000003</v>
      </c>
      <c r="GH12" s="587">
        <v>2.8780000000000001</v>
      </c>
      <c r="GI12" s="587">
        <v>2.9859999999999998</v>
      </c>
      <c r="GJ12" s="587">
        <v>2.952</v>
      </c>
      <c r="GK12" s="587">
        <v>2.95</v>
      </c>
      <c r="GL12" s="587">
        <v>3.0659999999999998</v>
      </c>
      <c r="GM12" s="587">
        <v>3.121</v>
      </c>
      <c r="GN12" s="587">
        <v>3.1440000000000001</v>
      </c>
      <c r="GO12" s="587">
        <v>3.1</v>
      </c>
      <c r="GP12" s="587">
        <v>2.984</v>
      </c>
      <c r="GQ12" s="587">
        <v>2.9319999999999999</v>
      </c>
      <c r="GR12" s="587">
        <v>2.9430000000000001</v>
      </c>
      <c r="GS12" s="587">
        <v>3.137</v>
      </c>
      <c r="GT12" s="587">
        <v>2.9130000000000003</v>
      </c>
      <c r="GU12" s="587">
        <v>3.117</v>
      </c>
      <c r="GV12" s="587">
        <v>2.8959999999999999</v>
      </c>
      <c r="GW12" s="587">
        <v>2.62</v>
      </c>
      <c r="GX12" s="587">
        <v>2.7119999999999997</v>
      </c>
      <c r="GY12" s="587">
        <v>2.6840000000000002</v>
      </c>
      <c r="GZ12" s="587">
        <v>2.9119999999999999</v>
      </c>
      <c r="HA12" s="587">
        <v>2.661</v>
      </c>
      <c r="HB12" s="587">
        <v>2.6080000000000001</v>
      </c>
      <c r="HC12" s="587">
        <v>2.6760000000000002</v>
      </c>
      <c r="HD12" s="587">
        <v>2.6680000000000001</v>
      </c>
      <c r="HE12" s="587">
        <v>2.6539999999999999</v>
      </c>
      <c r="HF12" s="587">
        <v>2.835</v>
      </c>
      <c r="HG12" s="587">
        <v>2.8959999999999999</v>
      </c>
      <c r="HH12" s="587">
        <v>2.9820000000000002</v>
      </c>
      <c r="HI12" s="587">
        <v>2.9239999999999999</v>
      </c>
      <c r="HJ12" s="587">
        <v>2.9060000000000001</v>
      </c>
      <c r="HK12" s="587">
        <v>2.7229999999999999</v>
      </c>
      <c r="HL12" s="587">
        <v>2.7829999999999999</v>
      </c>
      <c r="HM12" s="587">
        <v>3.0350000000000001</v>
      </c>
      <c r="HN12" s="587">
        <v>2.9340000000000002</v>
      </c>
      <c r="HO12" s="587">
        <v>2.8719999999999999</v>
      </c>
      <c r="HP12" s="587">
        <v>2.8919999999999999</v>
      </c>
      <c r="HQ12" s="587">
        <v>3.048</v>
      </c>
      <c r="HR12" s="587">
        <v>3.1920000000000002</v>
      </c>
      <c r="HS12" s="587">
        <v>3.2330000000000001</v>
      </c>
      <c r="HT12" s="587">
        <v>3.262</v>
      </c>
      <c r="HU12" s="587">
        <v>3.2050000000000001</v>
      </c>
      <c r="HV12" s="587">
        <v>3.1589999999999998</v>
      </c>
      <c r="HW12" s="587">
        <v>2.9319999999999999</v>
      </c>
      <c r="HX12" s="587">
        <v>2.8079999999999998</v>
      </c>
      <c r="HY12" s="587">
        <v>2.8369999999999997</v>
      </c>
      <c r="HZ12" s="587">
        <v>2.6989999999999998</v>
      </c>
      <c r="IA12" s="587">
        <v>2.6320000000000001</v>
      </c>
      <c r="IB12" s="587">
        <v>2.4569999999999999</v>
      </c>
      <c r="IC12" s="587">
        <v>2.3010000000000002</v>
      </c>
      <c r="ID12" s="587">
        <v>2.294</v>
      </c>
      <c r="IE12" s="587">
        <v>2.3050000000000002</v>
      </c>
      <c r="IF12" s="587">
        <v>2.31</v>
      </c>
      <c r="IG12" s="587">
        <v>2.2589999999999999</v>
      </c>
      <c r="IH12" s="587">
        <v>2.4569999999999999</v>
      </c>
      <c r="II12" s="587">
        <v>2.46</v>
      </c>
      <c r="IJ12" s="587">
        <v>2.157</v>
      </c>
      <c r="IK12" s="587">
        <v>2.331</v>
      </c>
      <c r="IL12" s="587">
        <v>2.181</v>
      </c>
      <c r="IM12" s="587">
        <v>2.2109999999999999</v>
      </c>
      <c r="IN12" s="587">
        <v>1.98</v>
      </c>
      <c r="IO12" s="587">
        <v>2.085</v>
      </c>
      <c r="IP12" s="587">
        <v>2.278</v>
      </c>
      <c r="IQ12" s="587">
        <v>2.3290000000000002</v>
      </c>
      <c r="IR12" s="587">
        <v>2.456</v>
      </c>
    </row>
    <row r="13" spans="2:252" x14ac:dyDescent="0.3">
      <c r="H13" s="115"/>
    </row>
    <row r="14" spans="2:252" x14ac:dyDescent="0.3">
      <c r="H14" s="115"/>
    </row>
    <row r="15" spans="2:252" x14ac:dyDescent="0.3">
      <c r="H15" s="115"/>
      <c r="I15" s="10" t="s">
        <v>182</v>
      </c>
      <c r="O15" s="585"/>
      <c r="P15" s="585"/>
      <c r="Q15" s="585"/>
      <c r="R15" s="585"/>
      <c r="S15" s="585"/>
      <c r="T15" s="585"/>
      <c r="U15" s="585"/>
      <c r="V15" s="585"/>
    </row>
    <row r="16" spans="2:252" x14ac:dyDescent="0.3">
      <c r="H16" s="115"/>
      <c r="I16" s="19"/>
      <c r="J16" s="19"/>
      <c r="K16" s="19"/>
      <c r="L16" s="19"/>
      <c r="M16" s="19"/>
      <c r="N16" s="19"/>
      <c r="O16" s="19"/>
      <c r="P16" s="585"/>
      <c r="Q16" s="585"/>
      <c r="R16" s="585"/>
      <c r="S16" s="585"/>
      <c r="T16" s="585"/>
      <c r="U16" s="585"/>
      <c r="V16" s="585"/>
    </row>
    <row r="17" spans="2:24" x14ac:dyDescent="0.3">
      <c r="H17" s="115"/>
      <c r="I17" s="594"/>
      <c r="K17" s="535" t="s">
        <v>681</v>
      </c>
      <c r="L17" s="535" t="s">
        <v>556</v>
      </c>
      <c r="M17" s="535" t="s">
        <v>557</v>
      </c>
      <c r="N17" s="585" t="s">
        <v>558</v>
      </c>
      <c r="O17" s="585" t="s">
        <v>559</v>
      </c>
      <c r="P17" s="116"/>
      <c r="Q17" s="585"/>
      <c r="R17" s="585"/>
      <c r="S17" s="585"/>
      <c r="T17" s="585"/>
      <c r="U17" s="585"/>
      <c r="V17" s="585"/>
    </row>
    <row r="18" spans="2:24" x14ac:dyDescent="0.3">
      <c r="H18" s="115"/>
      <c r="K18" s="727" t="s">
        <v>1075</v>
      </c>
      <c r="L18" s="727" t="s">
        <v>1077</v>
      </c>
      <c r="M18" s="727" t="s">
        <v>1076</v>
      </c>
      <c r="N18" s="727" t="s">
        <v>1078</v>
      </c>
      <c r="O18" s="727" t="s">
        <v>1079</v>
      </c>
      <c r="P18" s="116"/>
      <c r="Q18" s="116"/>
      <c r="R18" s="116"/>
      <c r="S18" s="116"/>
      <c r="T18" s="585"/>
      <c r="U18" s="116"/>
      <c r="V18" s="585"/>
      <c r="W18" s="585"/>
      <c r="X18" s="585"/>
    </row>
    <row r="19" spans="2:24" x14ac:dyDescent="0.3">
      <c r="H19" s="115"/>
      <c r="I19" s="594">
        <v>40237</v>
      </c>
      <c r="J19" s="535" t="s">
        <v>560</v>
      </c>
      <c r="K19" s="595">
        <v>0.38971822812214896</v>
      </c>
      <c r="L19" s="587">
        <v>53.7</v>
      </c>
      <c r="M19" s="587">
        <v>56.951000000000001</v>
      </c>
      <c r="N19" s="596">
        <v>51.81</v>
      </c>
      <c r="O19" s="585">
        <v>50</v>
      </c>
      <c r="P19" s="116"/>
      <c r="Q19" s="116"/>
      <c r="R19" s="585"/>
      <c r="S19" s="585"/>
      <c r="T19" s="585"/>
      <c r="U19" s="585"/>
      <c r="V19" s="585"/>
      <c r="W19" s="585"/>
      <c r="X19" s="585"/>
    </row>
    <row r="20" spans="2:24" x14ac:dyDescent="0.3">
      <c r="H20" s="115"/>
      <c r="I20" s="594">
        <v>40268</v>
      </c>
      <c r="J20" s="535" t="s">
        <v>543</v>
      </c>
      <c r="K20" s="595"/>
      <c r="L20" s="587">
        <v>55.9</v>
      </c>
      <c r="M20" s="587">
        <v>59.83</v>
      </c>
      <c r="N20" s="596">
        <v>54.08</v>
      </c>
      <c r="O20" s="585">
        <v>50</v>
      </c>
      <c r="P20" s="116"/>
      <c r="Q20" s="116"/>
      <c r="R20" s="585"/>
      <c r="S20" s="585"/>
      <c r="T20" s="585"/>
      <c r="U20" s="585"/>
      <c r="V20" s="585"/>
      <c r="W20" s="585"/>
      <c r="X20" s="585"/>
    </row>
    <row r="21" spans="2:24" ht="14.4" x14ac:dyDescent="0.3">
      <c r="H21" s="115"/>
      <c r="I21" s="594">
        <v>40298</v>
      </c>
      <c r="J21" s="535" t="s">
        <v>543</v>
      </c>
      <c r="K21" s="595"/>
      <c r="L21" s="587">
        <v>57.3</v>
      </c>
      <c r="M21" s="587">
        <v>61.216000000000001</v>
      </c>
      <c r="N21" s="596">
        <v>55.595999999999997</v>
      </c>
      <c r="O21" s="585">
        <v>50</v>
      </c>
      <c r="P21" s="585"/>
      <c r="Q21" s="856" t="s">
        <v>1074</v>
      </c>
      <c r="R21" s="857"/>
      <c r="S21" s="857"/>
      <c r="T21" s="857"/>
      <c r="U21" s="857"/>
      <c r="V21" s="857"/>
      <c r="W21" s="585"/>
      <c r="X21" s="585"/>
    </row>
    <row r="22" spans="2:24" x14ac:dyDescent="0.3">
      <c r="H22" s="115"/>
      <c r="I22" s="594">
        <v>40329</v>
      </c>
      <c r="J22" s="535" t="s">
        <v>561</v>
      </c>
      <c r="K22" s="595">
        <v>0.92037030816438659</v>
      </c>
      <c r="L22" s="587">
        <v>56.4</v>
      </c>
      <c r="M22" s="587">
        <v>56.776000000000003</v>
      </c>
      <c r="N22" s="596">
        <v>56.167999999999999</v>
      </c>
      <c r="O22" s="585">
        <v>50</v>
      </c>
      <c r="P22" s="585"/>
      <c r="Q22" s="585"/>
      <c r="R22" s="585"/>
      <c r="S22" s="585"/>
      <c r="T22" s="585"/>
      <c r="U22" s="585"/>
      <c r="V22" s="585"/>
      <c r="W22" s="585"/>
      <c r="X22" s="585"/>
    </row>
    <row r="23" spans="2:24" x14ac:dyDescent="0.3">
      <c r="B23" s="10"/>
      <c r="H23" s="115"/>
      <c r="I23" s="594">
        <v>40359</v>
      </c>
      <c r="J23" s="535" t="s">
        <v>543</v>
      </c>
      <c r="K23" s="595"/>
      <c r="L23" s="587">
        <v>56</v>
      </c>
      <c r="M23" s="587">
        <v>57.223999999999997</v>
      </c>
      <c r="N23" s="596">
        <v>55.506999999999998</v>
      </c>
      <c r="O23" s="585">
        <v>50</v>
      </c>
      <c r="P23" s="585"/>
      <c r="Q23" s="585"/>
      <c r="R23" s="585"/>
      <c r="S23" s="585"/>
      <c r="T23" s="585"/>
      <c r="U23" s="585"/>
      <c r="V23" s="585"/>
      <c r="W23" s="585"/>
      <c r="X23" s="585"/>
    </row>
    <row r="24" spans="2:24" x14ac:dyDescent="0.3">
      <c r="H24" s="115"/>
      <c r="I24" s="594">
        <v>40390</v>
      </c>
      <c r="J24" s="535" t="s">
        <v>543</v>
      </c>
      <c r="K24" s="595"/>
      <c r="L24" s="587">
        <v>56.7</v>
      </c>
      <c r="M24" s="587">
        <v>58.726999999999997</v>
      </c>
      <c r="N24" s="596">
        <v>55.783000000000001</v>
      </c>
      <c r="O24" s="585">
        <v>50</v>
      </c>
      <c r="P24" s="585"/>
      <c r="Q24" s="585"/>
      <c r="R24" s="585"/>
      <c r="S24" s="585"/>
      <c r="T24" s="585"/>
      <c r="U24" s="585"/>
      <c r="V24" s="585"/>
      <c r="W24" s="585"/>
      <c r="X24" s="585"/>
    </row>
    <row r="25" spans="2:24" x14ac:dyDescent="0.3">
      <c r="H25" s="115"/>
      <c r="I25" s="594">
        <v>40421</v>
      </c>
      <c r="J25" s="535" t="s">
        <v>562</v>
      </c>
      <c r="K25" s="595">
        <v>0.46329588990046133</v>
      </c>
      <c r="L25" s="587">
        <v>56.2</v>
      </c>
      <c r="M25" s="587">
        <v>57.07</v>
      </c>
      <c r="N25" s="596">
        <v>55.875</v>
      </c>
      <c r="O25" s="585">
        <v>50</v>
      </c>
      <c r="P25" s="585"/>
      <c r="Q25" s="585"/>
      <c r="R25" s="585"/>
      <c r="S25" s="585"/>
      <c r="T25" s="585"/>
      <c r="U25" s="585"/>
      <c r="V25" s="585"/>
      <c r="W25" s="585"/>
      <c r="X25" s="585"/>
    </row>
    <row r="26" spans="2:24" ht="14.4" x14ac:dyDescent="0.3">
      <c r="B26" s="856" t="s">
        <v>743</v>
      </c>
      <c r="C26" s="857"/>
      <c r="D26" s="857"/>
      <c r="E26" s="857"/>
      <c r="F26" s="857"/>
      <c r="G26" s="857"/>
      <c r="H26" s="115"/>
      <c r="I26" s="594">
        <v>40451</v>
      </c>
      <c r="J26" s="535" t="s">
        <v>543</v>
      </c>
      <c r="K26" s="595"/>
      <c r="L26" s="587">
        <v>54.1</v>
      </c>
      <c r="M26" s="587">
        <v>53.991</v>
      </c>
      <c r="N26" s="587">
        <v>54.085999999999999</v>
      </c>
      <c r="O26" s="535">
        <v>50</v>
      </c>
      <c r="Q26" s="585"/>
      <c r="R26" s="585"/>
      <c r="S26" s="585"/>
      <c r="U26" s="585"/>
      <c r="V26" s="585"/>
    </row>
    <row r="27" spans="2:24" x14ac:dyDescent="0.3">
      <c r="H27" s="115"/>
      <c r="I27" s="594">
        <v>40482</v>
      </c>
      <c r="J27" s="535" t="s">
        <v>543</v>
      </c>
      <c r="K27" s="595"/>
      <c r="L27" s="587">
        <v>53.8</v>
      </c>
      <c r="M27" s="587">
        <v>54.674999999999997</v>
      </c>
      <c r="N27" s="587">
        <v>53.347999999999999</v>
      </c>
      <c r="O27" s="535">
        <v>50</v>
      </c>
    </row>
    <row r="28" spans="2:24" x14ac:dyDescent="0.3">
      <c r="H28" s="115"/>
      <c r="I28" s="594">
        <v>40512</v>
      </c>
      <c r="J28" s="535" t="s">
        <v>563</v>
      </c>
      <c r="K28" s="595">
        <v>0.62708164488158857</v>
      </c>
      <c r="L28" s="587">
        <v>55.5</v>
      </c>
      <c r="M28" s="587">
        <v>55.787999999999997</v>
      </c>
      <c r="N28" s="587">
        <v>55.42</v>
      </c>
      <c r="O28" s="535">
        <v>50</v>
      </c>
    </row>
    <row r="29" spans="2:24" x14ac:dyDescent="0.3">
      <c r="H29" s="115"/>
      <c r="I29" s="594">
        <v>40543</v>
      </c>
      <c r="J29" s="535" t="s">
        <v>543</v>
      </c>
      <c r="K29" s="595"/>
      <c r="L29" s="587">
        <v>55.5</v>
      </c>
      <c r="M29" s="587">
        <v>58.408999999999999</v>
      </c>
      <c r="N29" s="587">
        <v>54.22</v>
      </c>
      <c r="O29" s="535">
        <v>50</v>
      </c>
    </row>
    <row r="30" spans="2:24" x14ac:dyDescent="0.3">
      <c r="H30" s="115"/>
      <c r="I30" s="594">
        <v>40574</v>
      </c>
      <c r="J30" s="535" t="s">
        <v>543</v>
      </c>
      <c r="K30" s="595"/>
      <c r="L30" s="587">
        <v>57</v>
      </c>
      <c r="M30" s="587">
        <v>59.354999999999997</v>
      </c>
      <c r="N30" s="587">
        <v>55.936</v>
      </c>
      <c r="O30" s="535">
        <v>50</v>
      </c>
    </row>
    <row r="31" spans="2:24" x14ac:dyDescent="0.3">
      <c r="H31" s="115"/>
      <c r="I31" s="594">
        <v>40602</v>
      </c>
      <c r="J31" s="535" t="s">
        <v>564</v>
      </c>
      <c r="K31" s="595">
        <v>0.7544619451327117</v>
      </c>
      <c r="L31" s="587">
        <v>58.2</v>
      </c>
      <c r="M31" s="587">
        <v>61.404000000000003</v>
      </c>
      <c r="N31" s="587">
        <v>56.753999999999998</v>
      </c>
      <c r="O31" s="535">
        <v>50</v>
      </c>
    </row>
    <row r="32" spans="2:24" x14ac:dyDescent="0.3">
      <c r="H32" s="115"/>
      <c r="I32" s="594">
        <v>40633</v>
      </c>
      <c r="J32" s="535" t="s">
        <v>543</v>
      </c>
      <c r="K32" s="595"/>
      <c r="L32" s="587">
        <v>57.6</v>
      </c>
      <c r="M32" s="587">
        <v>58.462000000000003</v>
      </c>
      <c r="N32" s="587">
        <v>57.158999999999999</v>
      </c>
      <c r="O32" s="535">
        <v>50</v>
      </c>
    </row>
    <row r="33" spans="8:22" x14ac:dyDescent="0.3">
      <c r="H33" s="115"/>
      <c r="I33" s="594">
        <v>40663</v>
      </c>
      <c r="J33" s="535" t="s">
        <v>543</v>
      </c>
      <c r="K33" s="595"/>
      <c r="L33" s="587">
        <v>57.8</v>
      </c>
      <c r="M33" s="587">
        <v>60.162999999999997</v>
      </c>
      <c r="N33" s="587">
        <v>56.732999999999997</v>
      </c>
      <c r="O33" s="535">
        <v>50</v>
      </c>
    </row>
    <row r="34" spans="8:22" x14ac:dyDescent="0.3">
      <c r="H34" s="115"/>
      <c r="I34" s="594">
        <v>40694</v>
      </c>
      <c r="J34" s="535" t="s">
        <v>561</v>
      </c>
      <c r="K34" s="595">
        <v>1.3940656035704713E-2</v>
      </c>
      <c r="L34" s="587">
        <v>55.8</v>
      </c>
      <c r="M34" s="587">
        <v>55.225999999999999</v>
      </c>
      <c r="N34" s="587">
        <v>55.991</v>
      </c>
      <c r="O34" s="535">
        <v>50</v>
      </c>
    </row>
    <row r="35" spans="8:22" x14ac:dyDescent="0.3">
      <c r="H35" s="115"/>
      <c r="I35" s="594">
        <v>40724</v>
      </c>
      <c r="J35" s="535" t="s">
        <v>543</v>
      </c>
      <c r="K35" s="595"/>
      <c r="L35" s="587">
        <v>53.3</v>
      </c>
      <c r="M35" s="587">
        <v>52.494999999999997</v>
      </c>
      <c r="N35" s="587">
        <v>53.710999999999999</v>
      </c>
      <c r="O35" s="535">
        <v>50</v>
      </c>
    </row>
    <row r="36" spans="8:22" x14ac:dyDescent="0.3">
      <c r="H36" s="115"/>
      <c r="I36" s="594">
        <v>40755</v>
      </c>
      <c r="J36" s="535" t="s">
        <v>543</v>
      </c>
      <c r="K36" s="595"/>
      <c r="L36" s="587">
        <v>51.1</v>
      </c>
      <c r="M36" s="587">
        <v>50.2</v>
      </c>
      <c r="N36" s="587">
        <v>51.578000000000003</v>
      </c>
      <c r="O36" s="535">
        <v>50</v>
      </c>
    </row>
    <row r="37" spans="8:22" x14ac:dyDescent="0.3">
      <c r="H37" s="115"/>
      <c r="I37" s="594">
        <v>40786</v>
      </c>
      <c r="J37" s="535" t="s">
        <v>562</v>
      </c>
      <c r="K37" s="595">
        <v>-4.2177578336799471E-3</v>
      </c>
      <c r="L37" s="587">
        <v>50.7</v>
      </c>
      <c r="M37" s="587">
        <v>48.868000000000002</v>
      </c>
      <c r="N37" s="587">
        <v>51.484000000000002</v>
      </c>
      <c r="O37" s="535">
        <v>50</v>
      </c>
    </row>
    <row r="38" spans="8:22" x14ac:dyDescent="0.3">
      <c r="H38" s="115"/>
      <c r="I38" s="594">
        <v>40816</v>
      </c>
      <c r="J38" s="535" t="s">
        <v>543</v>
      </c>
      <c r="K38" s="595"/>
      <c r="L38" s="587">
        <v>49.1</v>
      </c>
      <c r="M38" s="587">
        <v>49.63</v>
      </c>
      <c r="N38" s="587">
        <v>48.843000000000004</v>
      </c>
      <c r="O38" s="535">
        <v>50</v>
      </c>
    </row>
    <row r="39" spans="8:22" x14ac:dyDescent="0.3">
      <c r="H39" s="115"/>
      <c r="I39" s="594">
        <v>40847</v>
      </c>
      <c r="J39" s="535" t="s">
        <v>543</v>
      </c>
      <c r="K39" s="595"/>
      <c r="L39" s="587">
        <v>46.5</v>
      </c>
      <c r="M39" s="587">
        <v>46.564999999999998</v>
      </c>
      <c r="N39" s="587">
        <v>46.402999999999999</v>
      </c>
      <c r="O39" s="535">
        <v>50</v>
      </c>
    </row>
    <row r="40" spans="8:22" x14ac:dyDescent="0.3">
      <c r="H40" s="115"/>
      <c r="I40" s="594">
        <v>40877</v>
      </c>
      <c r="J40" s="535" t="s">
        <v>563</v>
      </c>
      <c r="K40" s="595">
        <v>-0.28531404872561561</v>
      </c>
      <c r="L40" s="587">
        <v>47</v>
      </c>
      <c r="M40" s="587">
        <v>45.685000000000002</v>
      </c>
      <c r="N40" s="587">
        <v>47.533000000000001</v>
      </c>
      <c r="O40" s="535">
        <v>50</v>
      </c>
    </row>
    <row r="41" spans="8:22" ht="14.4" x14ac:dyDescent="0.3">
      <c r="H41" s="115"/>
      <c r="I41" s="594">
        <v>40908</v>
      </c>
      <c r="J41" s="535" t="s">
        <v>543</v>
      </c>
      <c r="K41" s="595"/>
      <c r="L41" s="587">
        <v>48.3</v>
      </c>
      <c r="M41" s="587">
        <v>47.109000000000002</v>
      </c>
      <c r="N41" s="587">
        <v>48.802</v>
      </c>
      <c r="O41" s="535">
        <v>50</v>
      </c>
      <c r="Q41" s="856" t="s">
        <v>1073</v>
      </c>
      <c r="R41" s="857"/>
      <c r="S41" s="857"/>
      <c r="T41" s="857"/>
      <c r="U41" s="857"/>
      <c r="V41" s="857"/>
    </row>
    <row r="42" spans="8:22" x14ac:dyDescent="0.3">
      <c r="H42" s="115"/>
      <c r="I42" s="594">
        <v>40939</v>
      </c>
      <c r="J42" s="535" t="s">
        <v>543</v>
      </c>
      <c r="K42" s="595"/>
      <c r="L42" s="587">
        <v>50.4</v>
      </c>
      <c r="M42" s="587">
        <v>50.421999999999997</v>
      </c>
      <c r="N42" s="587">
        <v>50.445999999999998</v>
      </c>
      <c r="O42" s="535">
        <v>50</v>
      </c>
    </row>
    <row r="43" spans="8:22" x14ac:dyDescent="0.3">
      <c r="H43" s="115"/>
      <c r="I43" s="594">
        <v>40968</v>
      </c>
      <c r="J43" s="535" t="s">
        <v>565</v>
      </c>
      <c r="K43" s="595">
        <v>-0.1435378507183227</v>
      </c>
      <c r="L43" s="587">
        <v>49.3</v>
      </c>
      <c r="M43" s="587">
        <v>50.331000000000003</v>
      </c>
      <c r="N43" s="587">
        <v>48.847999999999999</v>
      </c>
      <c r="O43" s="535">
        <v>50</v>
      </c>
    </row>
    <row r="44" spans="8:22" x14ac:dyDescent="0.3">
      <c r="H44" s="115"/>
      <c r="I44" s="594">
        <v>40999</v>
      </c>
      <c r="J44" s="535" t="s">
        <v>543</v>
      </c>
      <c r="K44" s="595"/>
      <c r="L44" s="587">
        <v>49.1</v>
      </c>
      <c r="M44" s="587">
        <v>48.728999999999999</v>
      </c>
      <c r="N44" s="587">
        <v>49.197000000000003</v>
      </c>
      <c r="O44" s="535">
        <v>50</v>
      </c>
    </row>
    <row r="45" spans="8:22" x14ac:dyDescent="0.3">
      <c r="H45" s="115"/>
      <c r="I45" s="594">
        <v>41029</v>
      </c>
      <c r="J45" s="535" t="s">
        <v>543</v>
      </c>
      <c r="K45" s="595"/>
      <c r="L45" s="587">
        <v>46.7</v>
      </c>
      <c r="M45" s="587">
        <v>46.14</v>
      </c>
      <c r="N45" s="587">
        <v>46.881999999999998</v>
      </c>
      <c r="O45" s="535">
        <v>50</v>
      </c>
    </row>
    <row r="46" spans="8:22" x14ac:dyDescent="0.3">
      <c r="H46" s="115"/>
      <c r="I46" s="594">
        <v>41060</v>
      </c>
      <c r="J46" s="535" t="s">
        <v>561</v>
      </c>
      <c r="K46" s="595">
        <v>-0.37743913988981248</v>
      </c>
      <c r="L46" s="587">
        <v>46</v>
      </c>
      <c r="M46" s="587">
        <v>44.600999999999999</v>
      </c>
      <c r="N46" s="587">
        <v>46.668999999999997</v>
      </c>
      <c r="O46" s="535">
        <v>50</v>
      </c>
    </row>
    <row r="47" spans="8:22" x14ac:dyDescent="0.3">
      <c r="H47" s="115"/>
      <c r="I47" s="594">
        <v>41090</v>
      </c>
      <c r="J47" s="535" t="s">
        <v>543</v>
      </c>
      <c r="K47" s="595"/>
      <c r="L47" s="587">
        <v>46.4</v>
      </c>
      <c r="M47" s="587">
        <v>44.746000000000002</v>
      </c>
      <c r="N47" s="587">
        <v>47.131999999999998</v>
      </c>
      <c r="O47" s="535">
        <v>50</v>
      </c>
    </row>
    <row r="48" spans="8:22" x14ac:dyDescent="0.3">
      <c r="H48" s="115"/>
      <c r="I48" s="594">
        <v>41121</v>
      </c>
      <c r="J48" s="535" t="s">
        <v>543</v>
      </c>
      <c r="K48" s="595"/>
      <c r="L48" s="587">
        <v>46.5</v>
      </c>
      <c r="M48" s="587">
        <v>43.44</v>
      </c>
      <c r="N48" s="587">
        <v>47.9</v>
      </c>
      <c r="O48" s="535">
        <v>50</v>
      </c>
    </row>
    <row r="49" spans="8:15" x14ac:dyDescent="0.3">
      <c r="H49" s="115"/>
      <c r="I49" s="594">
        <v>41152</v>
      </c>
      <c r="J49" s="535" t="s">
        <v>562</v>
      </c>
      <c r="K49" s="595">
        <v>-0.11962274603912748</v>
      </c>
      <c r="L49" s="587">
        <v>46.3</v>
      </c>
      <c r="M49" s="587">
        <v>44.384</v>
      </c>
      <c r="N49" s="587">
        <v>47.23</v>
      </c>
      <c r="O49" s="535">
        <v>50</v>
      </c>
    </row>
    <row r="50" spans="8:15" x14ac:dyDescent="0.3">
      <c r="H50" s="115"/>
      <c r="I50" s="594">
        <v>41182</v>
      </c>
      <c r="J50" s="535" t="s">
        <v>543</v>
      </c>
      <c r="K50" s="595"/>
      <c r="L50" s="587">
        <v>46.1</v>
      </c>
      <c r="M50" s="587">
        <v>45.878</v>
      </c>
      <c r="N50" s="587">
        <v>46.149000000000001</v>
      </c>
      <c r="O50" s="535">
        <v>50</v>
      </c>
    </row>
    <row r="51" spans="8:15" x14ac:dyDescent="0.3">
      <c r="H51" s="115"/>
      <c r="I51" s="594">
        <v>41213</v>
      </c>
      <c r="J51" s="535" t="s">
        <v>543</v>
      </c>
      <c r="K51" s="595"/>
      <c r="L51" s="587">
        <v>45.7</v>
      </c>
      <c r="M51" s="587">
        <v>45.008000000000003</v>
      </c>
      <c r="N51" s="587">
        <v>46.042999999999999</v>
      </c>
      <c r="O51" s="535">
        <v>50</v>
      </c>
    </row>
    <row r="52" spans="8:15" x14ac:dyDescent="0.3">
      <c r="H52" s="115"/>
      <c r="I52" s="594">
        <v>41243</v>
      </c>
      <c r="J52" s="535" t="s">
        <v>563</v>
      </c>
      <c r="K52" s="595">
        <v>-0.41338403867600126</v>
      </c>
      <c r="L52" s="587">
        <v>46.5</v>
      </c>
      <c r="M52" s="587">
        <v>46.124000000000002</v>
      </c>
      <c r="N52" s="587">
        <v>46.741</v>
      </c>
      <c r="O52" s="535">
        <v>50</v>
      </c>
    </row>
    <row r="53" spans="8:15" x14ac:dyDescent="0.3">
      <c r="H53" s="115"/>
      <c r="I53" s="594">
        <v>41274</v>
      </c>
      <c r="J53" s="535" t="s">
        <v>543</v>
      </c>
      <c r="K53" s="595"/>
      <c r="L53" s="587">
        <v>47.2</v>
      </c>
      <c r="M53" s="587">
        <v>45.981000000000002</v>
      </c>
      <c r="N53" s="587">
        <v>47.823999999999998</v>
      </c>
      <c r="O53" s="535">
        <v>50</v>
      </c>
    </row>
    <row r="54" spans="8:15" x14ac:dyDescent="0.3">
      <c r="H54" s="115"/>
      <c r="I54" s="594">
        <v>41305</v>
      </c>
      <c r="J54" s="535" t="s">
        <v>543</v>
      </c>
      <c r="K54" s="595"/>
      <c r="L54" s="587">
        <v>48.6</v>
      </c>
      <c r="M54" s="587">
        <v>48.712000000000003</v>
      </c>
      <c r="N54" s="587">
        <v>48.618000000000002</v>
      </c>
      <c r="O54" s="535">
        <v>50</v>
      </c>
    </row>
    <row r="55" spans="8:15" x14ac:dyDescent="0.3">
      <c r="H55" s="115"/>
      <c r="I55" s="594">
        <v>41333</v>
      </c>
      <c r="J55" s="535" t="s">
        <v>566</v>
      </c>
      <c r="K55" s="595">
        <v>-0.36597124488734201</v>
      </c>
      <c r="L55" s="587">
        <v>47.9</v>
      </c>
      <c r="M55" s="587">
        <v>47.801000000000002</v>
      </c>
      <c r="N55" s="587">
        <v>47.871000000000002</v>
      </c>
      <c r="O55" s="535">
        <v>50</v>
      </c>
    </row>
    <row r="56" spans="8:15" x14ac:dyDescent="0.3">
      <c r="H56" s="115"/>
      <c r="I56" s="594">
        <v>41364</v>
      </c>
      <c r="J56" s="535" t="s">
        <v>543</v>
      </c>
      <c r="K56" s="595"/>
      <c r="L56" s="587">
        <v>46.5</v>
      </c>
      <c r="M56" s="587">
        <v>46.713000000000001</v>
      </c>
      <c r="N56" s="587">
        <v>46.353999999999999</v>
      </c>
      <c r="O56" s="535">
        <v>50</v>
      </c>
    </row>
    <row r="57" spans="8:15" x14ac:dyDescent="0.3">
      <c r="H57" s="115"/>
      <c r="I57" s="594">
        <v>41394</v>
      </c>
      <c r="J57" s="535" t="s">
        <v>543</v>
      </c>
      <c r="K57" s="595"/>
      <c r="L57" s="587">
        <v>46.9</v>
      </c>
      <c r="M57" s="587">
        <v>46.545000000000002</v>
      </c>
      <c r="N57" s="587">
        <v>47.012</v>
      </c>
      <c r="O57" s="535">
        <v>50</v>
      </c>
    </row>
    <row r="58" spans="8:15" x14ac:dyDescent="0.3">
      <c r="H58" s="115"/>
      <c r="I58" s="594">
        <v>41425</v>
      </c>
      <c r="J58" s="535" t="s">
        <v>561</v>
      </c>
      <c r="K58" s="595">
        <v>0.50127709520839669</v>
      </c>
      <c r="L58" s="587">
        <v>47.7</v>
      </c>
      <c r="M58" s="587">
        <v>48.79</v>
      </c>
      <c r="N58" s="587">
        <v>47.235999999999997</v>
      </c>
      <c r="O58" s="535">
        <v>50</v>
      </c>
    </row>
    <row r="59" spans="8:15" x14ac:dyDescent="0.3">
      <c r="H59" s="115"/>
      <c r="I59" s="594">
        <v>41455</v>
      </c>
      <c r="J59" s="535" t="s">
        <v>543</v>
      </c>
      <c r="K59" s="595"/>
      <c r="L59" s="587">
        <v>48.7</v>
      </c>
      <c r="M59" s="587">
        <v>49.838000000000001</v>
      </c>
      <c r="N59" s="587">
        <v>48.26</v>
      </c>
      <c r="O59" s="535">
        <v>50</v>
      </c>
    </row>
    <row r="60" spans="8:15" x14ac:dyDescent="0.3">
      <c r="H60" s="115"/>
      <c r="I60" s="594">
        <v>41486</v>
      </c>
      <c r="J60" s="535" t="s">
        <v>543</v>
      </c>
      <c r="K60" s="595"/>
      <c r="L60" s="587">
        <v>50.5</v>
      </c>
      <c r="M60" s="587">
        <v>52.301000000000002</v>
      </c>
      <c r="N60" s="587">
        <v>49.765999999999998</v>
      </c>
      <c r="O60" s="535">
        <v>50</v>
      </c>
    </row>
    <row r="61" spans="8:15" x14ac:dyDescent="0.3">
      <c r="H61" s="115"/>
      <c r="I61" s="594">
        <v>41517</v>
      </c>
      <c r="J61" s="535" t="s">
        <v>562</v>
      </c>
      <c r="K61" s="595">
        <v>0.37571257350499376</v>
      </c>
      <c r="L61" s="587">
        <v>51.5</v>
      </c>
      <c r="M61" s="587">
        <v>53.383000000000003</v>
      </c>
      <c r="N61" s="587">
        <v>50.694000000000003</v>
      </c>
      <c r="O61" s="535">
        <v>50</v>
      </c>
    </row>
    <row r="62" spans="8:15" x14ac:dyDescent="0.3">
      <c r="H62" s="115"/>
      <c r="I62" s="594">
        <v>41547</v>
      </c>
      <c r="J62" s="535" t="s">
        <v>543</v>
      </c>
      <c r="K62" s="595"/>
      <c r="L62" s="587">
        <v>52.2</v>
      </c>
      <c r="M62" s="587">
        <v>52.210999999999999</v>
      </c>
      <c r="N62" s="587">
        <v>52.182000000000002</v>
      </c>
      <c r="O62" s="535">
        <v>50</v>
      </c>
    </row>
    <row r="63" spans="8:15" x14ac:dyDescent="0.3">
      <c r="H63" s="115"/>
      <c r="I63" s="594">
        <v>41578</v>
      </c>
      <c r="J63" s="535" t="s">
        <v>543</v>
      </c>
      <c r="K63" s="595"/>
      <c r="L63" s="587">
        <v>51.9</v>
      </c>
      <c r="M63" s="587">
        <v>52.878999999999998</v>
      </c>
      <c r="N63" s="587">
        <v>51.551000000000002</v>
      </c>
      <c r="O63" s="535">
        <v>50</v>
      </c>
    </row>
    <row r="64" spans="8:15" x14ac:dyDescent="0.3">
      <c r="H64" s="115"/>
      <c r="I64" s="594">
        <v>41608</v>
      </c>
      <c r="J64" s="535" t="s">
        <v>563</v>
      </c>
      <c r="K64" s="595">
        <v>0.24324481139208487</v>
      </c>
      <c r="L64" s="587">
        <v>51.7</v>
      </c>
      <c r="M64" s="587">
        <v>53.064999999999998</v>
      </c>
      <c r="N64" s="587">
        <v>51.180999999999997</v>
      </c>
      <c r="O64" s="535">
        <v>50</v>
      </c>
    </row>
    <row r="65" spans="8:15" x14ac:dyDescent="0.3">
      <c r="H65" s="115"/>
      <c r="I65" s="594">
        <v>41639</v>
      </c>
      <c r="J65" s="535" t="s">
        <v>543</v>
      </c>
      <c r="K65" s="595"/>
      <c r="L65" s="587">
        <v>52.1</v>
      </c>
      <c r="M65" s="587">
        <v>54.850999999999999</v>
      </c>
      <c r="N65" s="587">
        <v>50.959000000000003</v>
      </c>
      <c r="O65" s="535">
        <v>50</v>
      </c>
    </row>
    <row r="66" spans="8:15" x14ac:dyDescent="0.3">
      <c r="H66" s="115"/>
      <c r="I66" s="594">
        <v>41670</v>
      </c>
      <c r="J66" s="535" t="s">
        <v>543</v>
      </c>
      <c r="K66" s="595"/>
      <c r="L66" s="587">
        <v>52.9</v>
      </c>
      <c r="M66" s="587">
        <v>56.703000000000003</v>
      </c>
      <c r="N66" s="587">
        <v>51.569000000000003</v>
      </c>
      <c r="O66" s="535">
        <v>50</v>
      </c>
    </row>
    <row r="67" spans="8:15" x14ac:dyDescent="0.3">
      <c r="H67" s="115"/>
      <c r="I67" s="594">
        <v>41698</v>
      </c>
      <c r="J67" s="535" t="s">
        <v>567</v>
      </c>
      <c r="K67" s="595">
        <v>0.46310086549892215</v>
      </c>
      <c r="L67" s="587">
        <v>53.3</v>
      </c>
      <c r="M67" s="587">
        <v>55.304000000000002</v>
      </c>
      <c r="N67" s="587">
        <v>52.573</v>
      </c>
      <c r="O67" s="535">
        <v>50</v>
      </c>
    </row>
    <row r="68" spans="8:15" x14ac:dyDescent="0.3">
      <c r="H68" s="115"/>
      <c r="I68" s="594">
        <v>41729</v>
      </c>
      <c r="J68" s="535" t="s">
        <v>543</v>
      </c>
      <c r="K68" s="595"/>
      <c r="L68" s="587">
        <v>53.1</v>
      </c>
      <c r="M68" s="587">
        <v>55.594999999999999</v>
      </c>
      <c r="N68" s="587">
        <v>52.158999999999999</v>
      </c>
      <c r="O68" s="535">
        <v>50</v>
      </c>
    </row>
    <row r="69" spans="8:15" x14ac:dyDescent="0.3">
      <c r="H69" s="115"/>
      <c r="I69" s="594">
        <v>41759</v>
      </c>
      <c r="J69" s="535" t="s">
        <v>543</v>
      </c>
      <c r="K69" s="595"/>
      <c r="L69" s="587">
        <v>54</v>
      </c>
      <c r="M69" s="587">
        <v>56.521000000000001</v>
      </c>
      <c r="N69" s="587">
        <v>53.121000000000002</v>
      </c>
      <c r="O69" s="535">
        <v>50</v>
      </c>
    </row>
    <row r="70" spans="8:15" x14ac:dyDescent="0.3">
      <c r="H70" s="115"/>
      <c r="I70" s="594">
        <v>41790</v>
      </c>
      <c r="J70" s="535" t="s">
        <v>561</v>
      </c>
      <c r="K70" s="595">
        <v>0.15869017879639458</v>
      </c>
      <c r="L70" s="587">
        <v>53.5</v>
      </c>
      <c r="M70" s="587">
        <v>54.265000000000001</v>
      </c>
      <c r="N70" s="587">
        <v>53.225000000000001</v>
      </c>
      <c r="O70" s="535">
        <v>50</v>
      </c>
    </row>
    <row r="71" spans="8:15" x14ac:dyDescent="0.3">
      <c r="H71" s="115"/>
      <c r="I71" s="594">
        <v>41820</v>
      </c>
      <c r="J71" s="535" t="s">
        <v>543</v>
      </c>
      <c r="K71" s="595"/>
      <c r="L71" s="587">
        <v>52.8</v>
      </c>
      <c r="M71" s="587">
        <v>52.805</v>
      </c>
      <c r="N71" s="587">
        <v>52.820999999999998</v>
      </c>
      <c r="O71" s="535">
        <v>50</v>
      </c>
    </row>
    <row r="72" spans="8:15" x14ac:dyDescent="0.3">
      <c r="H72" s="115"/>
      <c r="I72" s="594">
        <v>41851</v>
      </c>
      <c r="J72" s="535" t="s">
        <v>543</v>
      </c>
      <c r="K72" s="595"/>
      <c r="L72" s="587">
        <v>53.8</v>
      </c>
      <c r="M72" s="587">
        <v>52.662999999999997</v>
      </c>
      <c r="N72" s="587">
        <v>54.162999999999997</v>
      </c>
      <c r="O72" s="535">
        <v>50</v>
      </c>
    </row>
    <row r="73" spans="8:15" x14ac:dyDescent="0.3">
      <c r="H73" s="115"/>
      <c r="I73" s="594">
        <v>41882</v>
      </c>
      <c r="J73" s="535" t="s">
        <v>562</v>
      </c>
      <c r="K73" s="595">
        <v>0.42681283156367211</v>
      </c>
      <c r="L73" s="587">
        <v>52.5</v>
      </c>
      <c r="M73" s="587">
        <v>50.973999999999997</v>
      </c>
      <c r="N73" s="587">
        <v>53.104999999999997</v>
      </c>
      <c r="O73" s="535">
        <v>50</v>
      </c>
    </row>
    <row r="74" spans="8:15" x14ac:dyDescent="0.3">
      <c r="H74" s="115"/>
      <c r="I74" s="594">
        <v>41912</v>
      </c>
      <c r="J74" s="535" t="s">
        <v>543</v>
      </c>
      <c r="K74" s="595"/>
      <c r="L74" s="587">
        <v>52</v>
      </c>
      <c r="M74" s="587">
        <v>51.027999999999999</v>
      </c>
      <c r="N74" s="587">
        <v>52.354999999999997</v>
      </c>
      <c r="O74" s="535">
        <v>50</v>
      </c>
    </row>
    <row r="75" spans="8:15" x14ac:dyDescent="0.3">
      <c r="H75" s="115"/>
      <c r="I75" s="594">
        <v>41943</v>
      </c>
      <c r="J75" s="535" t="s">
        <v>543</v>
      </c>
      <c r="K75" s="595"/>
      <c r="L75" s="587">
        <v>52.1</v>
      </c>
      <c r="M75" s="587">
        <v>51.539000000000001</v>
      </c>
      <c r="N75" s="587">
        <v>52.281999999999996</v>
      </c>
      <c r="O75" s="535">
        <v>50</v>
      </c>
    </row>
    <row r="76" spans="8:15" x14ac:dyDescent="0.3">
      <c r="H76" s="115"/>
      <c r="I76" s="594">
        <v>41973</v>
      </c>
      <c r="J76" s="535" t="s">
        <v>563</v>
      </c>
      <c r="K76" s="595">
        <v>0.47675968833826854</v>
      </c>
      <c r="L76" s="587">
        <v>51.1</v>
      </c>
      <c r="M76" s="587">
        <v>51.201999999999998</v>
      </c>
      <c r="N76" s="587">
        <v>51.121000000000002</v>
      </c>
      <c r="O76" s="535">
        <v>50</v>
      </c>
    </row>
    <row r="77" spans="8:15" x14ac:dyDescent="0.3">
      <c r="H77" s="115"/>
      <c r="I77" s="594">
        <v>42004</v>
      </c>
      <c r="J77" s="535" t="s">
        <v>543</v>
      </c>
      <c r="K77" s="595"/>
      <c r="L77" s="587">
        <v>51.4</v>
      </c>
      <c r="M77" s="587">
        <v>50.859000000000002</v>
      </c>
      <c r="N77" s="587">
        <v>51.600999999999999</v>
      </c>
      <c r="O77" s="535">
        <v>50</v>
      </c>
    </row>
    <row r="78" spans="8:15" x14ac:dyDescent="0.3">
      <c r="H78" s="115"/>
      <c r="I78" s="594">
        <v>42035</v>
      </c>
      <c r="J78" s="535" t="s">
        <v>543</v>
      </c>
      <c r="K78" s="595"/>
      <c r="L78" s="587">
        <v>52.6</v>
      </c>
      <c r="M78" s="587">
        <v>52.107999999999997</v>
      </c>
      <c r="N78" s="587">
        <v>52.725999999999999</v>
      </c>
      <c r="O78" s="535">
        <v>50</v>
      </c>
    </row>
    <row r="79" spans="8:15" x14ac:dyDescent="0.3">
      <c r="H79" s="115"/>
      <c r="I79" s="594">
        <v>42063</v>
      </c>
      <c r="J79" s="535" t="s">
        <v>568</v>
      </c>
      <c r="K79" s="595">
        <v>0.75200142332580988</v>
      </c>
      <c r="L79" s="587">
        <v>53.3</v>
      </c>
      <c r="M79" s="587">
        <v>52.08</v>
      </c>
      <c r="N79" s="587">
        <v>53.747</v>
      </c>
      <c r="O79" s="535">
        <v>50</v>
      </c>
    </row>
    <row r="80" spans="8:15" x14ac:dyDescent="0.3">
      <c r="H80" s="115"/>
      <c r="I80" s="594">
        <v>42094</v>
      </c>
      <c r="J80" s="535" t="s">
        <v>543</v>
      </c>
      <c r="K80" s="595"/>
      <c r="L80" s="587">
        <v>54</v>
      </c>
      <c r="M80" s="587">
        <v>53.618000000000002</v>
      </c>
      <c r="N80" s="587">
        <v>54.183</v>
      </c>
      <c r="O80" s="535">
        <v>50</v>
      </c>
    </row>
    <row r="81" spans="8:15" x14ac:dyDescent="0.3">
      <c r="H81" s="115"/>
      <c r="I81" s="594">
        <v>42124</v>
      </c>
      <c r="J81" s="535" t="s">
        <v>543</v>
      </c>
      <c r="K81" s="595"/>
      <c r="L81" s="587">
        <v>53.9</v>
      </c>
      <c r="M81" s="587">
        <v>53.372</v>
      </c>
      <c r="N81" s="587">
        <v>54.087000000000003</v>
      </c>
      <c r="O81" s="535">
        <v>50</v>
      </c>
    </row>
    <row r="82" spans="8:15" x14ac:dyDescent="0.3">
      <c r="H82" s="115"/>
      <c r="I82" s="594">
        <v>42155</v>
      </c>
      <c r="J82" s="535" t="s">
        <v>561</v>
      </c>
      <c r="K82" s="595">
        <v>0.37419208007751781</v>
      </c>
      <c r="L82" s="587">
        <v>53.6</v>
      </c>
      <c r="M82" s="587">
        <v>53.276000000000003</v>
      </c>
      <c r="N82" s="587">
        <v>53.762999999999998</v>
      </c>
      <c r="O82" s="535">
        <v>50</v>
      </c>
    </row>
    <row r="83" spans="8:15" x14ac:dyDescent="0.3">
      <c r="H83" s="115"/>
      <c r="I83" s="594">
        <v>42185</v>
      </c>
      <c r="J83" s="535" t="s">
        <v>543</v>
      </c>
      <c r="K83" s="595"/>
      <c r="L83" s="587">
        <v>54.2</v>
      </c>
      <c r="M83" s="587">
        <v>53.555999999999997</v>
      </c>
      <c r="N83" s="587">
        <v>54.372999999999998</v>
      </c>
      <c r="O83" s="535">
        <v>50</v>
      </c>
    </row>
    <row r="84" spans="8:15" x14ac:dyDescent="0.3">
      <c r="H84" s="115"/>
      <c r="I84" s="594">
        <v>42216</v>
      </c>
      <c r="J84" s="535" t="s">
        <v>543</v>
      </c>
      <c r="K84" s="595"/>
      <c r="L84" s="587">
        <v>53.7</v>
      </c>
      <c r="M84" s="587">
        <v>53.646999999999998</v>
      </c>
      <c r="N84" s="587">
        <v>53.951999999999998</v>
      </c>
      <c r="O84" s="535">
        <v>50</v>
      </c>
    </row>
    <row r="85" spans="8:15" x14ac:dyDescent="0.3">
      <c r="H85" s="115"/>
      <c r="I85" s="594">
        <v>42247</v>
      </c>
      <c r="J85" s="535" t="s">
        <v>562</v>
      </c>
      <c r="K85" s="595">
        <v>0.43207255969051062</v>
      </c>
      <c r="L85" s="587">
        <v>54.3</v>
      </c>
      <c r="M85" s="587">
        <v>53.860999999999997</v>
      </c>
      <c r="N85" s="587">
        <v>54.430999999999997</v>
      </c>
      <c r="O85" s="535">
        <v>50</v>
      </c>
    </row>
    <row r="86" spans="8:15" x14ac:dyDescent="0.3">
      <c r="H86" s="115"/>
      <c r="I86" s="594">
        <v>42277</v>
      </c>
      <c r="K86" s="595"/>
      <c r="L86" s="587">
        <v>53.6</v>
      </c>
      <c r="M86" s="587"/>
      <c r="N86" s="587"/>
      <c r="O86" s="535">
        <v>50</v>
      </c>
    </row>
    <row r="87" spans="8:15" x14ac:dyDescent="0.3">
      <c r="H87" s="115"/>
      <c r="I87" s="594">
        <v>42308</v>
      </c>
      <c r="K87" s="595"/>
      <c r="L87" s="587">
        <v>53.9</v>
      </c>
      <c r="M87" s="587"/>
      <c r="N87" s="587"/>
      <c r="O87" s="535">
        <v>50</v>
      </c>
    </row>
    <row r="88" spans="8:15" x14ac:dyDescent="0.3">
      <c r="H88" s="115"/>
      <c r="I88" s="594">
        <v>42338</v>
      </c>
      <c r="J88" s="535" t="s">
        <v>563</v>
      </c>
      <c r="K88" s="595">
        <v>0.44834247209624145</v>
      </c>
      <c r="L88" s="587">
        <v>54.2</v>
      </c>
      <c r="M88" s="587"/>
      <c r="N88" s="587"/>
      <c r="O88" s="535">
        <v>50</v>
      </c>
    </row>
    <row r="89" spans="8:15" x14ac:dyDescent="0.3">
      <c r="H89" s="115"/>
      <c r="I89" s="594">
        <v>42369</v>
      </c>
      <c r="K89" s="595"/>
      <c r="L89" s="587">
        <v>54.3</v>
      </c>
      <c r="M89" s="587"/>
      <c r="N89" s="587"/>
      <c r="O89" s="535">
        <v>50</v>
      </c>
    </row>
    <row r="90" spans="8:15" x14ac:dyDescent="0.3">
      <c r="H90" s="115"/>
      <c r="I90" s="594">
        <v>42400</v>
      </c>
      <c r="K90" s="595"/>
      <c r="L90" s="587">
        <v>53.6</v>
      </c>
      <c r="M90" s="587"/>
      <c r="N90" s="587"/>
      <c r="O90" s="535">
        <v>50</v>
      </c>
    </row>
    <row r="91" spans="8:15" x14ac:dyDescent="0.3">
      <c r="H91" s="115"/>
      <c r="I91" s="594">
        <v>42429</v>
      </c>
      <c r="J91" s="535" t="s">
        <v>569</v>
      </c>
      <c r="K91" s="595">
        <v>0.63006996665653237</v>
      </c>
      <c r="L91" s="587">
        <v>53</v>
      </c>
      <c r="M91" s="587"/>
      <c r="N91" s="587"/>
      <c r="O91" s="535">
        <v>50</v>
      </c>
    </row>
    <row r="92" spans="8:15" x14ac:dyDescent="0.3">
      <c r="H92" s="115"/>
      <c r="I92" s="594">
        <v>42460</v>
      </c>
      <c r="J92" s="535" t="s">
        <v>543</v>
      </c>
      <c r="K92" s="595"/>
      <c r="L92" s="587">
        <v>53.1</v>
      </c>
      <c r="M92" s="587"/>
      <c r="N92" s="587"/>
      <c r="O92" s="535">
        <v>50</v>
      </c>
    </row>
    <row r="93" spans="8:15" x14ac:dyDescent="0.3">
      <c r="H93" s="115"/>
      <c r="I93" s="594">
        <v>42490</v>
      </c>
      <c r="J93" s="535" t="s">
        <v>543</v>
      </c>
      <c r="K93" s="595"/>
      <c r="L93" s="587">
        <v>53</v>
      </c>
      <c r="M93" s="587"/>
      <c r="N93" s="587"/>
      <c r="O93" s="535">
        <v>50</v>
      </c>
    </row>
    <row r="94" spans="8:15" x14ac:dyDescent="0.3">
      <c r="H94" s="115"/>
      <c r="I94" s="594">
        <v>42521</v>
      </c>
      <c r="J94" s="535" t="s">
        <v>561</v>
      </c>
      <c r="K94" s="595">
        <v>0.27896608945798818</v>
      </c>
      <c r="L94" s="587">
        <v>53.1</v>
      </c>
      <c r="M94" s="587"/>
      <c r="N94" s="587"/>
      <c r="O94" s="535">
        <v>50</v>
      </c>
    </row>
    <row r="95" spans="8:15" x14ac:dyDescent="0.3">
      <c r="H95" s="115"/>
      <c r="I95" s="594">
        <v>42551</v>
      </c>
      <c r="J95" s="535" t="s">
        <v>543</v>
      </c>
      <c r="K95" s="595"/>
      <c r="L95" s="587">
        <v>53.1</v>
      </c>
      <c r="M95" s="587"/>
      <c r="N95" s="587"/>
      <c r="O95" s="535">
        <v>50</v>
      </c>
    </row>
    <row r="96" spans="8:15" x14ac:dyDescent="0.3">
      <c r="H96" s="115"/>
      <c r="I96" s="594">
        <v>42582</v>
      </c>
      <c r="J96" s="535" t="s">
        <v>543</v>
      </c>
      <c r="K96" s="595"/>
      <c r="L96" s="587">
        <v>53.2</v>
      </c>
      <c r="M96" s="587"/>
      <c r="N96" s="587"/>
      <c r="O96" s="535">
        <v>50</v>
      </c>
    </row>
    <row r="97" spans="8:15" x14ac:dyDescent="0.3">
      <c r="H97" s="115"/>
      <c r="I97" s="594">
        <v>42613</v>
      </c>
      <c r="J97" s="535" t="s">
        <v>562</v>
      </c>
      <c r="K97" s="595">
        <v>0.37839732046658359</v>
      </c>
      <c r="L97" s="587">
        <v>52.9</v>
      </c>
      <c r="M97" s="587">
        <v>51.7</v>
      </c>
      <c r="N97" s="587">
        <v>52.8</v>
      </c>
      <c r="O97" s="535">
        <v>50</v>
      </c>
    </row>
    <row r="98" spans="8:15" x14ac:dyDescent="0.3">
      <c r="H98" s="115"/>
      <c r="I98" s="594">
        <v>42643</v>
      </c>
      <c r="K98" s="595"/>
      <c r="L98" s="587">
        <v>52.6</v>
      </c>
      <c r="M98" s="587">
        <v>52.6</v>
      </c>
      <c r="N98" s="587">
        <v>52.2</v>
      </c>
      <c r="O98" s="535">
        <v>50</v>
      </c>
    </row>
    <row r="99" spans="8:15" x14ac:dyDescent="0.3">
      <c r="H99" s="115"/>
      <c r="I99" s="594">
        <v>42674</v>
      </c>
      <c r="K99" s="595"/>
      <c r="L99" s="587">
        <v>53.3</v>
      </c>
      <c r="M99" s="587">
        <v>53.5</v>
      </c>
      <c r="N99" s="587">
        <v>52.8</v>
      </c>
      <c r="O99" s="535">
        <v>50</v>
      </c>
    </row>
    <row r="100" spans="8:15" x14ac:dyDescent="0.3">
      <c r="H100" s="115"/>
      <c r="I100" s="594">
        <v>42704</v>
      </c>
      <c r="J100" s="535" t="s">
        <v>563</v>
      </c>
      <c r="K100" s="595">
        <v>0.78353724279651704</v>
      </c>
      <c r="L100" s="587">
        <v>53.9</v>
      </c>
      <c r="M100" s="587">
        <v>53.7</v>
      </c>
      <c r="N100" s="587">
        <v>53.8</v>
      </c>
      <c r="O100" s="535">
        <v>50</v>
      </c>
    </row>
    <row r="101" spans="8:15" x14ac:dyDescent="0.3">
      <c r="H101" s="115"/>
      <c r="I101" s="594">
        <v>42735</v>
      </c>
      <c r="K101" s="595"/>
      <c r="L101" s="587">
        <v>54.4</v>
      </c>
      <c r="M101" s="587">
        <v>54.9</v>
      </c>
      <c r="N101" s="587">
        <v>53.7</v>
      </c>
      <c r="O101" s="535">
        <v>50</v>
      </c>
    </row>
    <row r="102" spans="8:15" x14ac:dyDescent="0.3">
      <c r="H102" s="115"/>
      <c r="I102" s="594">
        <v>42736</v>
      </c>
      <c r="K102" s="595"/>
      <c r="L102" s="587">
        <v>54.4</v>
      </c>
      <c r="M102" s="587">
        <v>55.2</v>
      </c>
      <c r="N102" s="587">
        <v>53.7</v>
      </c>
      <c r="O102" s="535">
        <v>50</v>
      </c>
    </row>
    <row r="103" spans="8:15" x14ac:dyDescent="0.3">
      <c r="H103" s="115"/>
      <c r="I103" s="594">
        <v>42767</v>
      </c>
      <c r="J103" s="535" t="s">
        <v>570</v>
      </c>
      <c r="K103" s="595">
        <v>0.66827955227313218</v>
      </c>
      <c r="L103" s="587">
        <v>56</v>
      </c>
      <c r="M103" s="587">
        <v>55.4</v>
      </c>
      <c r="N103" s="587">
        <v>55.5</v>
      </c>
      <c r="O103" s="535">
        <v>50</v>
      </c>
    </row>
    <row r="104" spans="8:15" x14ac:dyDescent="0.3">
      <c r="H104" s="115"/>
      <c r="I104" s="594">
        <v>42795</v>
      </c>
      <c r="K104" s="595"/>
      <c r="L104" s="587">
        <v>56.4</v>
      </c>
      <c r="M104" s="587">
        <v>56.2</v>
      </c>
      <c r="N104" s="587">
        <v>56</v>
      </c>
      <c r="O104" s="535">
        <v>50</v>
      </c>
    </row>
    <row r="105" spans="8:15" x14ac:dyDescent="0.3">
      <c r="H105" s="115"/>
      <c r="I105" s="594">
        <v>42827</v>
      </c>
      <c r="K105" s="595"/>
      <c r="L105" s="587">
        <v>56.8</v>
      </c>
      <c r="M105" s="587">
        <v>56.7</v>
      </c>
      <c r="N105" s="587">
        <v>56.4</v>
      </c>
      <c r="O105" s="535">
        <v>50</v>
      </c>
    </row>
    <row r="106" spans="8:15" x14ac:dyDescent="0.3">
      <c r="H106" s="115"/>
      <c r="I106" s="594">
        <v>42858</v>
      </c>
      <c r="J106" s="535" t="s">
        <v>561</v>
      </c>
      <c r="K106" s="595">
        <v>0.6742829183645549</v>
      </c>
      <c r="L106" s="587">
        <v>56.8</v>
      </c>
      <c r="M106" s="587">
        <v>57</v>
      </c>
      <c r="N106" s="587">
        <v>56.3</v>
      </c>
      <c r="O106" s="535">
        <v>50</v>
      </c>
    </row>
    <row r="107" spans="8:15" x14ac:dyDescent="0.3">
      <c r="H107" s="115"/>
      <c r="I107" s="594">
        <v>42887</v>
      </c>
      <c r="K107" s="595"/>
      <c r="L107" s="587">
        <v>56.3</v>
      </c>
      <c r="M107" s="587">
        <v>57.4</v>
      </c>
      <c r="N107" s="587">
        <v>55.4</v>
      </c>
      <c r="O107" s="535">
        <v>50</v>
      </c>
    </row>
    <row r="108" spans="8:15" x14ac:dyDescent="0.3">
      <c r="H108" s="115"/>
      <c r="I108" s="594">
        <v>42946</v>
      </c>
      <c r="K108" s="595"/>
      <c r="L108" s="587">
        <v>55.7</v>
      </c>
      <c r="M108" s="587">
        <v>56.6</v>
      </c>
      <c r="N108" s="587">
        <v>55.4</v>
      </c>
      <c r="O108" s="535">
        <v>50</v>
      </c>
    </row>
    <row r="109" spans="8:15" x14ac:dyDescent="0.3">
      <c r="H109" s="115"/>
      <c r="I109" s="594">
        <v>42948</v>
      </c>
      <c r="J109" s="595" t="s">
        <v>562</v>
      </c>
      <c r="K109" s="595">
        <v>0.6866773472827159</v>
      </c>
      <c r="L109" s="587">
        <v>55.7</v>
      </c>
      <c r="M109" s="587">
        <v>57.4</v>
      </c>
      <c r="N109" s="587">
        <v>54.7</v>
      </c>
      <c r="O109" s="535">
        <v>50</v>
      </c>
    </row>
    <row r="110" spans="8:15" x14ac:dyDescent="0.3">
      <c r="H110" s="115"/>
      <c r="I110" s="594">
        <v>42980</v>
      </c>
      <c r="J110" s="595"/>
      <c r="K110" s="595"/>
      <c r="L110" s="587">
        <v>56.7</v>
      </c>
      <c r="M110" s="587">
        <v>58.1</v>
      </c>
      <c r="N110" s="587">
        <v>55.8</v>
      </c>
      <c r="O110" s="535">
        <v>50</v>
      </c>
    </row>
    <row r="111" spans="8:15" x14ac:dyDescent="0.3">
      <c r="H111" s="115"/>
      <c r="I111" s="594">
        <v>43011</v>
      </c>
      <c r="K111" s="595"/>
      <c r="L111" s="587">
        <v>56</v>
      </c>
      <c r="M111" s="587">
        <v>58.5</v>
      </c>
      <c r="N111" s="587">
        <v>55</v>
      </c>
      <c r="O111" s="535">
        <v>50</v>
      </c>
    </row>
    <row r="112" spans="8:15" x14ac:dyDescent="0.3">
      <c r="H112" s="115"/>
      <c r="I112" s="594">
        <v>43040</v>
      </c>
      <c r="J112" s="535" t="s">
        <v>563</v>
      </c>
      <c r="K112" s="595">
        <v>0.72609505889524861</v>
      </c>
      <c r="L112" s="587">
        <v>57.5</v>
      </c>
      <c r="M112" s="587">
        <v>60.1</v>
      </c>
      <c r="N112" s="587">
        <v>56.2</v>
      </c>
      <c r="O112" s="535">
        <v>50</v>
      </c>
    </row>
    <row r="113" spans="8:15" x14ac:dyDescent="0.3">
      <c r="H113" s="115"/>
      <c r="I113" s="594">
        <v>43099</v>
      </c>
      <c r="K113" s="595"/>
      <c r="L113" s="587">
        <v>58.1</v>
      </c>
      <c r="M113" s="587">
        <v>60.6</v>
      </c>
      <c r="N113" s="587">
        <v>56.6</v>
      </c>
      <c r="O113" s="535">
        <v>50</v>
      </c>
    </row>
    <row r="114" spans="8:15" x14ac:dyDescent="0.3">
      <c r="H114" s="115"/>
      <c r="I114" s="594">
        <v>43101</v>
      </c>
      <c r="K114" s="595"/>
      <c r="L114" s="587">
        <v>58.8</v>
      </c>
      <c r="M114" s="587">
        <v>59.6</v>
      </c>
      <c r="N114" s="587">
        <v>58</v>
      </c>
      <c r="O114" s="535">
        <v>50</v>
      </c>
    </row>
    <row r="115" spans="8:15" x14ac:dyDescent="0.3">
      <c r="H115" s="115"/>
      <c r="I115" s="594">
        <v>43132</v>
      </c>
      <c r="J115" s="535" t="s">
        <v>571</v>
      </c>
      <c r="K115" s="595">
        <v>0.40074381353514266</v>
      </c>
      <c r="L115" s="587">
        <v>57.1</v>
      </c>
      <c r="M115" s="587">
        <v>58.6</v>
      </c>
      <c r="N115" s="587">
        <v>56.2</v>
      </c>
      <c r="O115" s="535">
        <v>50</v>
      </c>
    </row>
    <row r="116" spans="8:15" x14ac:dyDescent="0.3">
      <c r="H116" s="115"/>
      <c r="I116" s="594">
        <v>43160</v>
      </c>
      <c r="K116" s="595"/>
      <c r="L116" s="587">
        <v>55.2</v>
      </c>
      <c r="M116" s="587">
        <v>56.6</v>
      </c>
      <c r="N116" s="587">
        <v>54.9</v>
      </c>
      <c r="O116" s="535">
        <v>50</v>
      </c>
    </row>
    <row r="117" spans="8:15" x14ac:dyDescent="0.3">
      <c r="H117" s="115"/>
      <c r="I117" s="594">
        <v>43191</v>
      </c>
      <c r="K117" s="595"/>
      <c r="L117" s="587">
        <v>55.1</v>
      </c>
      <c r="M117" s="587">
        <v>56.2</v>
      </c>
      <c r="N117" s="587">
        <v>54.7</v>
      </c>
      <c r="O117" s="535">
        <v>50</v>
      </c>
    </row>
    <row r="118" spans="8:15" x14ac:dyDescent="0.3">
      <c r="H118" s="115"/>
      <c r="I118" s="594">
        <v>43221</v>
      </c>
      <c r="J118" s="535" t="s">
        <v>561</v>
      </c>
      <c r="K118" s="595">
        <v>0.38122216320963798</v>
      </c>
      <c r="L118" s="587">
        <v>54.1</v>
      </c>
      <c r="M118" s="587">
        <v>55.5</v>
      </c>
      <c r="N118" s="587">
        <v>53.8</v>
      </c>
      <c r="O118" s="535">
        <v>50</v>
      </c>
    </row>
    <row r="119" spans="8:15" x14ac:dyDescent="0.3">
      <c r="H119" s="115"/>
      <c r="I119" s="594">
        <v>43252</v>
      </c>
      <c r="K119" s="595"/>
      <c r="L119" s="587">
        <v>54.9</v>
      </c>
      <c r="M119" s="587">
        <v>54.9</v>
      </c>
      <c r="N119" s="587">
        <v>55.2</v>
      </c>
      <c r="O119" s="535">
        <v>50</v>
      </c>
    </row>
    <row r="120" spans="8:15" x14ac:dyDescent="0.3">
      <c r="H120" s="115"/>
      <c r="I120" s="594">
        <v>43282</v>
      </c>
      <c r="K120" s="595"/>
      <c r="L120" s="587">
        <v>54.3</v>
      </c>
      <c r="M120" s="587">
        <v>55.1</v>
      </c>
      <c r="N120" s="587">
        <v>54.2</v>
      </c>
      <c r="O120" s="535">
        <v>50</v>
      </c>
    </row>
    <row r="121" spans="8:15" x14ac:dyDescent="0.3">
      <c r="H121" s="115"/>
      <c r="I121" s="594">
        <v>43313</v>
      </c>
      <c r="J121" s="535" t="s">
        <v>562</v>
      </c>
      <c r="K121" s="595">
        <v>0.17122946333505418</v>
      </c>
      <c r="L121" s="587">
        <v>54.5</v>
      </c>
      <c r="M121" s="587">
        <v>54.6</v>
      </c>
      <c r="N121" s="587">
        <v>54.4</v>
      </c>
      <c r="O121" s="535">
        <v>50</v>
      </c>
    </row>
    <row r="122" spans="8:15" x14ac:dyDescent="0.3">
      <c r="H122" s="115"/>
      <c r="I122" s="594">
        <v>43344</v>
      </c>
      <c r="K122" s="595"/>
      <c r="L122" s="587">
        <v>54.1</v>
      </c>
      <c r="M122" s="587">
        <v>53.2</v>
      </c>
      <c r="N122" s="587">
        <v>54.7</v>
      </c>
      <c r="O122" s="535">
        <v>50</v>
      </c>
    </row>
    <row r="123" spans="8:15" x14ac:dyDescent="0.3">
      <c r="H123" s="115"/>
      <c r="I123" s="594">
        <v>43374</v>
      </c>
      <c r="K123" s="595"/>
      <c r="L123" s="587">
        <v>53.1</v>
      </c>
      <c r="M123" s="587">
        <v>52</v>
      </c>
      <c r="N123" s="587">
        <v>53.7</v>
      </c>
      <c r="O123" s="535">
        <v>50</v>
      </c>
    </row>
    <row r="124" spans="8:15" x14ac:dyDescent="0.3">
      <c r="H124" s="115"/>
      <c r="I124" s="594">
        <v>43405</v>
      </c>
      <c r="J124" s="535" t="s">
        <v>563</v>
      </c>
      <c r="K124" s="595">
        <v>0.23747177089143978</v>
      </c>
      <c r="L124" s="587">
        <v>52.7</v>
      </c>
      <c r="M124" s="587">
        <v>51.8</v>
      </c>
      <c r="N124" s="587">
        <v>53.4</v>
      </c>
      <c r="O124" s="535">
        <v>50</v>
      </c>
    </row>
    <row r="125" spans="8:15" x14ac:dyDescent="0.3">
      <c r="H125" s="115"/>
      <c r="I125" s="594">
        <v>43435</v>
      </c>
      <c r="K125" s="595"/>
      <c r="L125" s="587">
        <v>51.1</v>
      </c>
      <c r="M125" s="587">
        <v>51.4</v>
      </c>
      <c r="N125" s="587">
        <v>51.2</v>
      </c>
      <c r="O125" s="535">
        <v>50</v>
      </c>
    </row>
    <row r="126" spans="8:15" x14ac:dyDescent="0.3">
      <c r="H126" s="115"/>
      <c r="I126" s="594">
        <v>43466</v>
      </c>
      <c r="K126" s="595"/>
      <c r="L126" s="587">
        <v>51</v>
      </c>
      <c r="M126" s="587">
        <v>50.5</v>
      </c>
      <c r="N126" s="587">
        <v>51.2</v>
      </c>
      <c r="O126" s="535">
        <v>50</v>
      </c>
    </row>
    <row r="127" spans="8:15" x14ac:dyDescent="0.3">
      <c r="H127" s="115"/>
      <c r="I127" s="594">
        <v>43497</v>
      </c>
      <c r="J127" s="535" t="s">
        <v>572</v>
      </c>
      <c r="K127" s="595">
        <v>0.44916524986529094</v>
      </c>
      <c r="L127" s="587">
        <v>51.9</v>
      </c>
      <c r="M127" s="587">
        <v>49.3</v>
      </c>
      <c r="N127" s="587">
        <v>52.8</v>
      </c>
      <c r="O127" s="535">
        <v>50</v>
      </c>
    </row>
    <row r="128" spans="8:15" x14ac:dyDescent="0.3">
      <c r="H128" s="115"/>
      <c r="I128" s="594">
        <v>43525</v>
      </c>
      <c r="K128" s="595"/>
      <c r="L128" s="587">
        <v>51.6</v>
      </c>
      <c r="M128" s="587">
        <v>47.5</v>
      </c>
      <c r="N128" s="587">
        <v>53.3</v>
      </c>
      <c r="O128" s="535">
        <v>50</v>
      </c>
    </row>
    <row r="129" spans="8:16" x14ac:dyDescent="0.3">
      <c r="H129" s="115"/>
      <c r="I129" s="594">
        <v>43556</v>
      </c>
      <c r="K129" s="595"/>
      <c r="L129" s="587">
        <v>51.5</v>
      </c>
      <c r="M129" s="587">
        <v>47.9</v>
      </c>
      <c r="N129" s="587">
        <v>52.8</v>
      </c>
      <c r="O129" s="535">
        <v>50</v>
      </c>
    </row>
    <row r="130" spans="8:16" x14ac:dyDescent="0.3">
      <c r="H130" s="115"/>
      <c r="I130" s="594">
        <v>43586</v>
      </c>
      <c r="J130" s="535" t="s">
        <v>561</v>
      </c>
      <c r="K130" s="595">
        <v>0.19342692697619235</v>
      </c>
      <c r="L130" s="587">
        <v>51.8</v>
      </c>
      <c r="M130" s="587">
        <v>47.7</v>
      </c>
      <c r="N130" s="587">
        <v>52.9</v>
      </c>
      <c r="O130" s="535">
        <v>50</v>
      </c>
    </row>
    <row r="131" spans="8:16" x14ac:dyDescent="0.3">
      <c r="H131" s="115"/>
      <c r="I131" s="594">
        <v>43617</v>
      </c>
      <c r="K131" s="595"/>
      <c r="L131" s="587">
        <v>52.2</v>
      </c>
      <c r="M131" s="587">
        <v>47.6</v>
      </c>
      <c r="N131" s="587">
        <v>53.6</v>
      </c>
      <c r="O131" s="535">
        <v>50</v>
      </c>
    </row>
    <row r="132" spans="8:16" x14ac:dyDescent="0.3">
      <c r="H132" s="115"/>
      <c r="I132" s="594">
        <v>43647</v>
      </c>
      <c r="K132" s="595"/>
      <c r="L132" s="587">
        <v>51.5</v>
      </c>
      <c r="M132" s="587">
        <v>46.5</v>
      </c>
      <c r="N132" s="587">
        <v>53.2</v>
      </c>
      <c r="O132" s="535">
        <v>50</v>
      </c>
    </row>
    <row r="133" spans="8:16" x14ac:dyDescent="0.3">
      <c r="H133" s="115"/>
      <c r="I133" s="594">
        <v>43678</v>
      </c>
      <c r="J133" s="535" t="s">
        <v>562</v>
      </c>
      <c r="K133" s="595">
        <v>0.1</v>
      </c>
      <c r="L133" s="587">
        <v>51.9</v>
      </c>
      <c r="M133" s="587">
        <v>47</v>
      </c>
      <c r="N133" s="587">
        <v>53.5</v>
      </c>
      <c r="O133" s="535">
        <v>50</v>
      </c>
    </row>
    <row r="134" spans="8:16" x14ac:dyDescent="0.3">
      <c r="H134" s="115"/>
      <c r="I134" s="594">
        <v>43709</v>
      </c>
      <c r="K134" s="595"/>
      <c r="L134" s="587">
        <v>50.4</v>
      </c>
      <c r="M134" s="587">
        <v>45.6</v>
      </c>
      <c r="N134" s="587">
        <v>52</v>
      </c>
      <c r="O134" s="535">
        <v>50</v>
      </c>
    </row>
    <row r="135" spans="8:16" x14ac:dyDescent="0.3">
      <c r="H135" s="115"/>
      <c r="I135" s="594">
        <v>43739</v>
      </c>
      <c r="K135" s="595"/>
      <c r="L135" s="587"/>
      <c r="M135" s="587"/>
      <c r="N135" s="587"/>
      <c r="O135" s="535">
        <v>50</v>
      </c>
    </row>
    <row r="136" spans="8:16" x14ac:dyDescent="0.3">
      <c r="H136" s="115"/>
      <c r="I136" s="594">
        <v>43770</v>
      </c>
      <c r="J136" s="535" t="s">
        <v>563</v>
      </c>
      <c r="K136" s="595"/>
      <c r="L136" s="587"/>
      <c r="M136" s="587"/>
      <c r="N136" s="587"/>
      <c r="O136" s="535">
        <v>50</v>
      </c>
    </row>
    <row r="137" spans="8:16" x14ac:dyDescent="0.3">
      <c r="H137" s="115"/>
      <c r="I137" s="594"/>
      <c r="P137" s="535" t="s">
        <v>543</v>
      </c>
    </row>
    <row r="138" spans="8:16" x14ac:dyDescent="0.3">
      <c r="H138" s="115"/>
      <c r="I138" s="594"/>
    </row>
    <row r="139" spans="8:16" x14ac:dyDescent="0.3">
      <c r="H139" s="115"/>
      <c r="I139" s="594"/>
    </row>
    <row r="140" spans="8:16" x14ac:dyDescent="0.3">
      <c r="H140" s="115"/>
      <c r="I140" s="594"/>
    </row>
    <row r="141" spans="8:16" x14ac:dyDescent="0.3">
      <c r="H141" s="115"/>
      <c r="I141" s="594"/>
    </row>
    <row r="142" spans="8:16" x14ac:dyDescent="0.3">
      <c r="H142" s="115"/>
      <c r="I142" s="594"/>
    </row>
    <row r="143" spans="8:16" x14ac:dyDescent="0.3">
      <c r="H143" s="115"/>
      <c r="I143" s="594"/>
    </row>
    <row r="144" spans="8:16" x14ac:dyDescent="0.3">
      <c r="H144" s="115"/>
      <c r="I144" s="594"/>
    </row>
    <row r="145" spans="8:9" x14ac:dyDescent="0.3">
      <c r="H145" s="115"/>
      <c r="I145" s="594"/>
    </row>
    <row r="146" spans="8:9" x14ac:dyDescent="0.3">
      <c r="H146" s="115"/>
      <c r="I146" s="594"/>
    </row>
    <row r="147" spans="8:9" x14ac:dyDescent="0.3">
      <c r="H147" s="115"/>
      <c r="I147" s="594"/>
    </row>
    <row r="148" spans="8:9" x14ac:dyDescent="0.3">
      <c r="H148" s="115"/>
      <c r="I148" s="594"/>
    </row>
    <row r="149" spans="8:9" x14ac:dyDescent="0.3">
      <c r="H149" s="115"/>
      <c r="I149" s="594"/>
    </row>
    <row r="150" spans="8:9" x14ac:dyDescent="0.3">
      <c r="H150" s="115"/>
      <c r="I150" s="594"/>
    </row>
    <row r="151" spans="8:9" x14ac:dyDescent="0.3">
      <c r="H151" s="115"/>
      <c r="I151" s="594"/>
    </row>
    <row r="152" spans="8:9" x14ac:dyDescent="0.3">
      <c r="H152" s="115"/>
      <c r="I152" s="594"/>
    </row>
    <row r="153" spans="8:9" x14ac:dyDescent="0.3">
      <c r="H153" s="115"/>
      <c r="I153" s="594"/>
    </row>
    <row r="154" spans="8:9" x14ac:dyDescent="0.3">
      <c r="H154" s="115"/>
      <c r="I154" s="594"/>
    </row>
    <row r="155" spans="8:9" x14ac:dyDescent="0.3">
      <c r="H155" s="115"/>
      <c r="I155" s="594"/>
    </row>
    <row r="156" spans="8:9" x14ac:dyDescent="0.3">
      <c r="H156" s="115"/>
      <c r="I156" s="594"/>
    </row>
    <row r="157" spans="8:9" x14ac:dyDescent="0.3">
      <c r="H157" s="115"/>
      <c r="I157" s="594"/>
    </row>
    <row r="158" spans="8:9" x14ac:dyDescent="0.3">
      <c r="H158" s="115"/>
      <c r="I158" s="594"/>
    </row>
    <row r="159" spans="8:9" x14ac:dyDescent="0.3">
      <c r="H159" s="115"/>
      <c r="I159" s="594"/>
    </row>
    <row r="160" spans="8:9" x14ac:dyDescent="0.3">
      <c r="H160" s="115"/>
      <c r="I160" s="594"/>
    </row>
    <row r="161" spans="8:9" x14ac:dyDescent="0.3">
      <c r="H161" s="115"/>
      <c r="I161" s="594"/>
    </row>
    <row r="162" spans="8:9" x14ac:dyDescent="0.3">
      <c r="H162" s="115"/>
      <c r="I162" s="594"/>
    </row>
    <row r="163" spans="8:9" x14ac:dyDescent="0.3">
      <c r="H163" s="115"/>
      <c r="I163" s="594"/>
    </row>
    <row r="164" spans="8:9" x14ac:dyDescent="0.3">
      <c r="H164" s="115"/>
      <c r="I164" s="594"/>
    </row>
    <row r="165" spans="8:9" x14ac:dyDescent="0.3">
      <c r="H165" s="115"/>
      <c r="I165" s="594"/>
    </row>
    <row r="166" spans="8:9" x14ac:dyDescent="0.3">
      <c r="I166" s="594"/>
    </row>
    <row r="167" spans="8:9" x14ac:dyDescent="0.3">
      <c r="I167" s="594"/>
    </row>
    <row r="168" spans="8:9" x14ac:dyDescent="0.3">
      <c r="I168" s="594"/>
    </row>
    <row r="169" spans="8:9" x14ac:dyDescent="0.3">
      <c r="I169" s="594"/>
    </row>
    <row r="170" spans="8:9" x14ac:dyDescent="0.3">
      <c r="I170" s="594"/>
    </row>
    <row r="171" spans="8:9" x14ac:dyDescent="0.3">
      <c r="I171" s="594"/>
    </row>
    <row r="172" spans="8:9" x14ac:dyDescent="0.3">
      <c r="I172" s="594"/>
    </row>
    <row r="173" spans="8:9" x14ac:dyDescent="0.3">
      <c r="I173" s="594"/>
    </row>
    <row r="174" spans="8:9" x14ac:dyDescent="0.3">
      <c r="I174" s="594"/>
    </row>
    <row r="175" spans="8:9" x14ac:dyDescent="0.3">
      <c r="I175" s="594"/>
    </row>
  </sheetData>
  <mergeCells count="4">
    <mergeCell ref="B6:G6"/>
    <mergeCell ref="B26:G26"/>
    <mergeCell ref="Q41:V41"/>
    <mergeCell ref="Q21:V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45"/>
  <sheetViews>
    <sheetView showGridLines="0" zoomScaleNormal="100" workbookViewId="0">
      <selection activeCell="L16" sqref="L16"/>
    </sheetView>
  </sheetViews>
  <sheetFormatPr defaultColWidth="8.88671875" defaultRowHeight="13.8" x14ac:dyDescent="0.3"/>
  <cols>
    <col min="1" max="1" width="9.44140625" style="535" customWidth="1"/>
    <col min="2" max="2" width="8.88671875" style="535"/>
    <col min="3" max="3" width="11.33203125" style="535" customWidth="1"/>
    <col min="4" max="11" width="8.88671875" style="535"/>
    <col min="12" max="13" width="15.109375" style="535" customWidth="1"/>
    <col min="14" max="14" width="8.88671875" style="535" customWidth="1"/>
    <col min="15" max="16384" width="8.88671875" style="535"/>
  </cols>
  <sheetData>
    <row r="4" spans="2:32" x14ac:dyDescent="0.3">
      <c r="L4" s="116" t="s">
        <v>176</v>
      </c>
      <c r="M4" s="116" t="s">
        <v>1010</v>
      </c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  <c r="AC4" s="585"/>
      <c r="AD4" s="585"/>
      <c r="AE4" s="585"/>
      <c r="AF4" s="585"/>
    </row>
    <row r="5" spans="2:32" x14ac:dyDescent="0.3">
      <c r="L5" s="10"/>
      <c r="M5" s="10"/>
    </row>
    <row r="6" spans="2:32" ht="14.4" x14ac:dyDescent="0.3">
      <c r="B6" s="856" t="s">
        <v>952</v>
      </c>
      <c r="C6" s="857"/>
      <c r="D6" s="857"/>
      <c r="E6" s="857"/>
      <c r="F6" s="857"/>
      <c r="G6" s="857"/>
      <c r="H6" s="857"/>
      <c r="I6" s="857"/>
      <c r="L6" s="10" t="s">
        <v>1091</v>
      </c>
      <c r="M6" s="10" t="s">
        <v>1090</v>
      </c>
    </row>
    <row r="7" spans="2:32" x14ac:dyDescent="0.3">
      <c r="B7" s="115"/>
      <c r="L7" s="19"/>
      <c r="M7" s="19"/>
      <c r="N7" s="19">
        <v>2015</v>
      </c>
      <c r="O7" s="19">
        <v>2016</v>
      </c>
      <c r="P7" s="19">
        <v>2017</v>
      </c>
      <c r="Q7" s="19">
        <v>2018</v>
      </c>
      <c r="R7" s="19">
        <v>2019</v>
      </c>
      <c r="S7" s="19">
        <v>2020</v>
      </c>
    </row>
    <row r="8" spans="2:32" x14ac:dyDescent="0.3">
      <c r="B8" s="115"/>
      <c r="L8" s="10" t="s">
        <v>684</v>
      </c>
      <c r="M8" s="10" t="s">
        <v>1085</v>
      </c>
      <c r="N8" s="587">
        <v>-0.30251290240038697</v>
      </c>
      <c r="O8" s="587">
        <v>-9.7242007685194309E-2</v>
      </c>
      <c r="P8" s="587">
        <v>0.32142659830600717</v>
      </c>
      <c r="Q8" s="587">
        <v>1.2435943740391586</v>
      </c>
      <c r="R8" s="587">
        <v>0.55103860292062823</v>
      </c>
      <c r="S8" s="587">
        <v>3.4995192323838964E-2</v>
      </c>
    </row>
    <row r="9" spans="2:32" x14ac:dyDescent="0.3">
      <c r="L9" s="10" t="s">
        <v>746</v>
      </c>
      <c r="M9" s="10" t="s">
        <v>1092</v>
      </c>
      <c r="N9" s="587">
        <v>-0.27700483322325797</v>
      </c>
      <c r="O9" s="587">
        <v>-0.20230872732807301</v>
      </c>
      <c r="P9" s="587">
        <v>0.18662844239649001</v>
      </c>
      <c r="Q9" s="587">
        <v>1.2170781081973301</v>
      </c>
      <c r="R9" s="587">
        <v>0.77219916503055885</v>
      </c>
      <c r="S9" s="587">
        <v>0.29410832392114949</v>
      </c>
    </row>
    <row r="10" spans="2:32" x14ac:dyDescent="0.3">
      <c r="B10" s="115"/>
      <c r="L10" s="10" t="s">
        <v>685</v>
      </c>
      <c r="M10" s="10" t="s">
        <v>1086</v>
      </c>
      <c r="N10" s="587">
        <v>-0.34054422841947934</v>
      </c>
      <c r="O10" s="587">
        <v>1.2135027592420385E-2</v>
      </c>
      <c r="P10" s="587">
        <v>0.23100950977054652</v>
      </c>
      <c r="Q10" s="587">
        <v>0.93599952566038125</v>
      </c>
      <c r="R10" s="587">
        <v>0.93484443081319424</v>
      </c>
      <c r="S10" s="587">
        <v>0.77132380969948078</v>
      </c>
    </row>
    <row r="11" spans="2:32" x14ac:dyDescent="0.3">
      <c r="B11" s="115"/>
      <c r="L11" s="10" t="s">
        <v>686</v>
      </c>
      <c r="M11" s="10" t="s">
        <v>1087</v>
      </c>
      <c r="N11" s="587">
        <v>-1.2277712000000001</v>
      </c>
      <c r="O11" s="587">
        <v>-0.34416190000000002</v>
      </c>
      <c r="P11" s="587">
        <v>0.4035145</v>
      </c>
      <c r="Q11" s="587">
        <v>1.4603976999999999</v>
      </c>
      <c r="R11" s="587">
        <v>2.1326303000000002</v>
      </c>
      <c r="S11" s="587">
        <v>2.2617197</v>
      </c>
    </row>
    <row r="12" spans="2:32" x14ac:dyDescent="0.3">
      <c r="B12" s="115"/>
      <c r="L12" s="10" t="s">
        <v>687</v>
      </c>
      <c r="M12" s="10" t="s">
        <v>1088</v>
      </c>
      <c r="N12" s="587">
        <v>-1.6327239285999999</v>
      </c>
      <c r="O12" s="587">
        <v>-0.94717419319999996</v>
      </c>
      <c r="P12" s="587">
        <v>-0.36948802749999998</v>
      </c>
      <c r="Q12" s="587">
        <v>0.35327597370000002</v>
      </c>
      <c r="R12" s="587">
        <v>0.1102847451</v>
      </c>
      <c r="S12" s="587">
        <v>6.0489662899999998E-2</v>
      </c>
    </row>
    <row r="13" spans="2:32" x14ac:dyDescent="0.3">
      <c r="B13" s="115"/>
      <c r="L13" s="10" t="s">
        <v>688</v>
      </c>
      <c r="M13" s="10" t="s">
        <v>1089</v>
      </c>
      <c r="N13" s="587">
        <v>0.74</v>
      </c>
      <c r="O13" s="587">
        <v>1.363</v>
      </c>
      <c r="P13" s="587">
        <v>1.1990000000000001</v>
      </c>
      <c r="Q13" s="587">
        <v>1.099</v>
      </c>
      <c r="R13" s="587">
        <v>0.89900000000000002</v>
      </c>
      <c r="S13" s="587">
        <v>0.47199999999999998</v>
      </c>
    </row>
    <row r="14" spans="2:32" x14ac:dyDescent="0.3">
      <c r="B14" s="115"/>
    </row>
    <row r="15" spans="2:32" x14ac:dyDescent="0.3">
      <c r="B15" s="115"/>
      <c r="L15" s="113" t="s">
        <v>1093</v>
      </c>
    </row>
    <row r="16" spans="2:32" x14ac:dyDescent="0.3">
      <c r="B16" s="115"/>
    </row>
    <row r="17" spans="2:18" x14ac:dyDescent="0.3">
      <c r="B17" s="115"/>
    </row>
    <row r="18" spans="2:18" x14ac:dyDescent="0.3">
      <c r="B18" s="115"/>
    </row>
    <row r="19" spans="2:18" x14ac:dyDescent="0.3">
      <c r="B19" s="115"/>
    </row>
    <row r="20" spans="2:18" x14ac:dyDescent="0.3">
      <c r="B20" s="115"/>
    </row>
    <row r="23" spans="2:18" x14ac:dyDescent="0.3">
      <c r="J23" s="10"/>
    </row>
    <row r="26" spans="2:18" ht="14.4" x14ac:dyDescent="0.3">
      <c r="B26" s="856" t="s">
        <v>523</v>
      </c>
      <c r="C26" s="857"/>
      <c r="D26" s="857"/>
      <c r="E26" s="857"/>
      <c r="F26" s="857"/>
      <c r="G26" s="857"/>
      <c r="H26" s="857"/>
      <c r="I26" s="857"/>
      <c r="J26" s="857"/>
    </row>
    <row r="27" spans="2:18" ht="14.4" x14ac:dyDescent="0.3">
      <c r="B27" s="113" t="s">
        <v>1080</v>
      </c>
      <c r="C27" s="737"/>
      <c r="D27" s="737"/>
      <c r="E27" s="737"/>
      <c r="F27" s="737"/>
      <c r="G27" s="737"/>
      <c r="H27" s="737"/>
      <c r="I27" s="737"/>
      <c r="J27" s="737"/>
    </row>
    <row r="28" spans="2:18" ht="42" thickBot="1" x14ac:dyDescent="0.35">
      <c r="B28" s="597"/>
      <c r="C28" s="130" t="s">
        <v>683</v>
      </c>
      <c r="D28" s="130" t="s">
        <v>100</v>
      </c>
      <c r="E28" s="130" t="s">
        <v>472</v>
      </c>
      <c r="F28" s="130" t="s">
        <v>531</v>
      </c>
      <c r="G28" s="130" t="s">
        <v>101</v>
      </c>
    </row>
    <row r="29" spans="2:18" ht="42" thickBot="1" x14ac:dyDescent="0.35">
      <c r="B29" s="597"/>
      <c r="C29" s="130" t="s">
        <v>1081</v>
      </c>
      <c r="D29" s="130" t="s">
        <v>1082</v>
      </c>
      <c r="E29" s="130" t="s">
        <v>472</v>
      </c>
      <c r="F29" s="130" t="s">
        <v>1083</v>
      </c>
      <c r="G29" s="130" t="s">
        <v>1084</v>
      </c>
    </row>
    <row r="30" spans="2:18" x14ac:dyDescent="0.3">
      <c r="B30" s="257">
        <v>2015</v>
      </c>
      <c r="C30" s="132">
        <v>-0.30251290240038697</v>
      </c>
      <c r="D30" s="133">
        <v>2.8914771905658387</v>
      </c>
      <c r="E30" s="133">
        <v>1.8150243463872728</v>
      </c>
      <c r="F30" s="133">
        <v>0.4965911325639269</v>
      </c>
      <c r="G30" s="132">
        <v>0.56086010690819732</v>
      </c>
      <c r="O30" s="587"/>
      <c r="P30" s="587"/>
      <c r="Q30" s="587"/>
      <c r="R30" s="587"/>
    </row>
    <row r="31" spans="2:18" x14ac:dyDescent="0.3">
      <c r="B31" s="257">
        <v>2016</v>
      </c>
      <c r="C31" s="132">
        <v>-9.7242007685194309E-2</v>
      </c>
      <c r="D31" s="133">
        <v>2.9135176041973354</v>
      </c>
      <c r="E31" s="133">
        <v>1.6496531982024498</v>
      </c>
      <c r="F31" s="133">
        <v>0.64115990645711385</v>
      </c>
      <c r="G31" s="132">
        <v>0.60225753465853205</v>
      </c>
      <c r="O31" s="587"/>
      <c r="P31" s="587"/>
      <c r="Q31" s="587"/>
      <c r="R31" s="587"/>
    </row>
    <row r="32" spans="2:18" x14ac:dyDescent="0.3">
      <c r="B32" s="479">
        <v>2017</v>
      </c>
      <c r="C32" s="301">
        <v>0.32142659830600717</v>
      </c>
      <c r="D32" s="1">
        <v>2.7577080345634108</v>
      </c>
      <c r="E32" s="1">
        <v>1.6845388793892413</v>
      </c>
      <c r="F32" s="1">
        <v>0.47479002411091042</v>
      </c>
      <c r="G32" s="301">
        <v>0.58087815514355223</v>
      </c>
      <c r="O32" s="587"/>
      <c r="P32" s="587"/>
      <c r="Q32" s="587"/>
      <c r="R32" s="587"/>
    </row>
    <row r="33" spans="2:18" ht="14.4" thickBot="1" x14ac:dyDescent="0.35">
      <c r="B33" s="302">
        <v>2018</v>
      </c>
      <c r="C33" s="3">
        <v>1.2435943740391586</v>
      </c>
      <c r="D33" s="2">
        <v>3.1607820769797845</v>
      </c>
      <c r="E33" s="2">
        <v>1.9693605381902568</v>
      </c>
      <c r="F33" s="2">
        <v>0.6618897690823069</v>
      </c>
      <c r="G33" s="3">
        <v>0.50652233345264153</v>
      </c>
      <c r="O33" s="587"/>
      <c r="P33" s="587"/>
      <c r="Q33" s="587"/>
      <c r="R33" s="587"/>
    </row>
    <row r="34" spans="2:18" x14ac:dyDescent="0.3">
      <c r="B34" s="257" t="s">
        <v>102</v>
      </c>
      <c r="C34" s="132">
        <v>0.55103860292062823</v>
      </c>
      <c r="D34" s="133">
        <v>3.144828602874461</v>
      </c>
      <c r="E34" s="133">
        <v>2.1131451500449261</v>
      </c>
      <c r="F34" s="133">
        <v>0.67873684764547615</v>
      </c>
      <c r="G34" s="132">
        <v>0.33184765770606611</v>
      </c>
      <c r="O34" s="587"/>
      <c r="P34" s="587"/>
      <c r="Q34" s="587"/>
      <c r="R34" s="587"/>
    </row>
    <row r="35" spans="2:18" x14ac:dyDescent="0.3">
      <c r="B35" s="257" t="s">
        <v>203</v>
      </c>
      <c r="C35" s="132">
        <v>3.4995192323838964E-2</v>
      </c>
      <c r="D35" s="133">
        <v>2.7870769349604307</v>
      </c>
      <c r="E35" s="133">
        <v>1.9255044025573431</v>
      </c>
      <c r="F35" s="133">
        <v>0.72010555714403635</v>
      </c>
      <c r="G35" s="132">
        <v>0.1264014945257548</v>
      </c>
      <c r="O35" s="587"/>
      <c r="P35" s="587"/>
      <c r="Q35" s="587"/>
      <c r="R35" s="587"/>
    </row>
    <row r="36" spans="2:18" x14ac:dyDescent="0.3">
      <c r="B36" s="257" t="s">
        <v>474</v>
      </c>
      <c r="C36" s="132">
        <v>0.22855949884010851</v>
      </c>
      <c r="D36" s="133">
        <v>2.5633395035028261</v>
      </c>
      <c r="E36" s="133">
        <v>1.7544629943388124</v>
      </c>
      <c r="F36" s="133">
        <v>0.74217856368812707</v>
      </c>
      <c r="G36" s="132">
        <v>5.4507710307833267E-2</v>
      </c>
      <c r="K36" s="587"/>
      <c r="O36" s="587"/>
      <c r="P36" s="587"/>
      <c r="Q36" s="587"/>
      <c r="R36" s="587"/>
    </row>
    <row r="37" spans="2:18" x14ac:dyDescent="0.3">
      <c r="B37" s="257" t="s">
        <v>682</v>
      </c>
      <c r="C37" s="132">
        <v>0.44720360876258081</v>
      </c>
      <c r="D37" s="133">
        <v>2.4829120249572734</v>
      </c>
      <c r="E37" s="133">
        <v>1.6673038241561633</v>
      </c>
      <c r="F37" s="133">
        <v>0.799129475744772</v>
      </c>
      <c r="G37" s="132">
        <v>5.5398596076441228E-3</v>
      </c>
      <c r="J37" s="587"/>
      <c r="K37" s="587"/>
      <c r="O37" s="587"/>
      <c r="P37" s="587"/>
      <c r="Q37" s="587"/>
      <c r="R37" s="587"/>
    </row>
    <row r="38" spans="2:18" x14ac:dyDescent="0.3">
      <c r="J38" s="587"/>
      <c r="K38" s="587"/>
    </row>
    <row r="39" spans="2:18" x14ac:dyDescent="0.3">
      <c r="H39" s="587"/>
      <c r="I39" s="587"/>
      <c r="J39" s="587"/>
      <c r="K39" s="587"/>
    </row>
    <row r="40" spans="2:18" x14ac:dyDescent="0.3">
      <c r="H40" s="587"/>
      <c r="I40" s="587"/>
      <c r="J40" s="587"/>
      <c r="K40" s="587"/>
    </row>
    <row r="41" spans="2:18" x14ac:dyDescent="0.3">
      <c r="H41" s="587"/>
      <c r="I41" s="587"/>
      <c r="J41" s="587"/>
      <c r="K41" s="587"/>
    </row>
    <row r="42" spans="2:18" x14ac:dyDescent="0.3">
      <c r="H42" s="587"/>
      <c r="I42" s="587"/>
      <c r="J42" s="587"/>
      <c r="K42" s="587"/>
    </row>
    <row r="43" spans="2:18" x14ac:dyDescent="0.3">
      <c r="H43" s="587"/>
      <c r="I43" s="587"/>
      <c r="J43" s="587"/>
    </row>
    <row r="44" spans="2:18" x14ac:dyDescent="0.3">
      <c r="H44" s="587"/>
      <c r="I44" s="587"/>
    </row>
    <row r="45" spans="2:18" x14ac:dyDescent="0.3">
      <c r="H45" s="587"/>
      <c r="I45" s="587"/>
    </row>
  </sheetData>
  <mergeCells count="2">
    <mergeCell ref="B6:I6"/>
    <mergeCell ref="B26:J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41</vt:i4>
      </vt:variant>
      <vt:variant>
        <vt:lpstr>Pomenované rozsahy</vt:lpstr>
      </vt:variant>
      <vt:variant>
        <vt:i4>17</vt:i4>
      </vt:variant>
    </vt:vector>
  </HeadingPairs>
  <TitlesOfParts>
    <vt:vector size="58" baseType="lpstr">
      <vt:lpstr>Obsah</vt:lpstr>
      <vt:lpstr>MMF_TABULKA</vt:lpstr>
      <vt:lpstr>ESA_porovnanie</vt:lpstr>
      <vt:lpstr>Graf 1+2</vt:lpstr>
      <vt:lpstr>Graf 3+4</vt:lpstr>
      <vt:lpstr>Graf 5</vt:lpstr>
      <vt:lpstr>Graf 6+7</vt:lpstr>
      <vt:lpstr>Graf 8+9</vt:lpstr>
      <vt:lpstr>Graf 10+Tabuľka 1</vt:lpstr>
      <vt:lpstr>Graf 11+12</vt:lpstr>
      <vt:lpstr>Graf 13 </vt:lpstr>
      <vt:lpstr>Graf 14</vt:lpstr>
      <vt:lpstr>Graf 15</vt:lpstr>
      <vt:lpstr>Graf 16</vt:lpstr>
      <vt:lpstr>Tabuľka 2 </vt:lpstr>
      <vt:lpstr>Graf 17</vt:lpstr>
      <vt:lpstr>Tab 3 + Graf 18</vt:lpstr>
      <vt:lpstr>Graf 19</vt:lpstr>
      <vt:lpstr>Graf 20</vt:lpstr>
      <vt:lpstr>Graf 21</vt:lpstr>
      <vt:lpstr>Graf 22 </vt:lpstr>
      <vt:lpstr>Graf 23</vt:lpstr>
      <vt:lpstr>Graf 24+25</vt:lpstr>
      <vt:lpstr>Tabuľka 4+5+6</vt:lpstr>
      <vt:lpstr>Tabuľka 7 </vt:lpstr>
      <vt:lpstr>Tabuľka 8+9</vt:lpstr>
      <vt:lpstr>Tabuľka 10+11</vt:lpstr>
      <vt:lpstr>Graf 26+27</vt:lpstr>
      <vt:lpstr>Graf 28</vt:lpstr>
      <vt:lpstr>Graf 29 </vt:lpstr>
      <vt:lpstr>Graf 30+31</vt:lpstr>
      <vt:lpstr>Tabuľka 12</vt:lpstr>
      <vt:lpstr>Tabuľka 13</vt:lpstr>
      <vt:lpstr>Tabuľka 14</vt:lpstr>
      <vt:lpstr>Tabuľka 15</vt:lpstr>
      <vt:lpstr>Graf 32+33</vt:lpstr>
      <vt:lpstr>Graf 34</vt:lpstr>
      <vt:lpstr>Tabuľka 17 </vt:lpstr>
      <vt:lpstr>Tabuľka 20</vt:lpstr>
      <vt:lpstr>DRM</vt:lpstr>
      <vt:lpstr>Tabuľka 23</vt:lpstr>
      <vt:lpstr>'Graf 14'!_ftn1</vt:lpstr>
      <vt:lpstr>'Graf 14'!_ftnref1</vt:lpstr>
      <vt:lpstr>'Tabuľka 10+11'!_Toc21886708</vt:lpstr>
      <vt:lpstr>'Tabuľka 10+11'!_Toc21886709</vt:lpstr>
      <vt:lpstr>Obsah!_Toc21886711</vt:lpstr>
      <vt:lpstr>Obsah!_Toc21886718</vt:lpstr>
      <vt:lpstr>'Graf 11+12'!_Toc21894785</vt:lpstr>
      <vt:lpstr>'Graf 16'!_Toc21894789</vt:lpstr>
      <vt:lpstr>'Graf 26+27'!_Toc21894800</vt:lpstr>
      <vt:lpstr>'Graf 29 '!_Toc463861271</vt:lpstr>
      <vt:lpstr>'Tab 3 + Graf 18'!_Toc495334756</vt:lpstr>
      <vt:lpstr>'Graf 14'!_Toc495395911</vt:lpstr>
      <vt:lpstr>'Tabuľka 15'!_Toc495395955</vt:lpstr>
      <vt:lpstr>'Tabuľka 17 '!_Toc495395979</vt:lpstr>
      <vt:lpstr>'Tabuľka 20'!_Toc526688278</vt:lpstr>
      <vt:lpstr>'Tabuľka 7 '!_Toc526688280</vt:lpstr>
      <vt:lpstr>'Graf 23'!GRAF22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2019-10-18T08:23:37Z</dcterms:modified>
</cp:coreProperties>
</file>